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BIData" sheetId="2" r:id="rId1"/>
    <sheet name="ReferenceData" sheetId="3" r:id="rId2"/>
    <sheet name="Help-Reference" sheetId="4" r:id="rId3"/>
  </sheets>
  <calcPr calcId="162913"/>
</workbook>
</file>

<file path=xl/calcChain.xml><?xml version="1.0" encoding="utf-8"?>
<calcChain xmlns="http://schemas.openxmlformats.org/spreadsheetml/2006/main">
  <c r="C2198" i="3" l="1"/>
  <c r="C2200" i="3"/>
  <c r="C2196" i="3"/>
  <c r="O2212" i="3"/>
  <c r="N2212" i="3"/>
  <c r="M2212" i="3"/>
  <c r="L2212" i="3"/>
  <c r="K2212" i="3"/>
  <c r="E2212" i="3"/>
  <c r="D2212" i="3"/>
  <c r="C2212" i="3"/>
  <c r="B2212" i="3"/>
  <c r="A2212" i="3"/>
  <c r="O2211" i="3"/>
  <c r="N2211" i="3"/>
  <c r="M2211" i="3"/>
  <c r="L2211" i="3"/>
  <c r="K2211" i="3"/>
  <c r="A2211" i="3"/>
  <c r="O2210" i="3"/>
  <c r="N2210" i="3"/>
  <c r="M2210" i="3"/>
  <c r="L2210" i="3"/>
  <c r="K2210" i="3"/>
  <c r="A2210" i="3"/>
  <c r="O2209" i="3"/>
  <c r="N2209" i="3"/>
  <c r="M2209" i="3"/>
  <c r="L2209" i="3"/>
  <c r="K2209" i="3"/>
  <c r="A2209" i="3"/>
  <c r="O2208" i="3"/>
  <c r="N2208" i="3"/>
  <c r="M2208" i="3"/>
  <c r="L2208" i="3"/>
  <c r="K2208" i="3"/>
  <c r="A2208" i="3"/>
  <c r="O2207" i="3"/>
  <c r="N2207" i="3"/>
  <c r="M2207" i="3"/>
  <c r="L2207" i="3"/>
  <c r="K2207" i="3"/>
  <c r="A2207" i="3"/>
  <c r="O2206" i="3"/>
  <c r="N2206" i="3"/>
  <c r="M2206" i="3"/>
  <c r="L2206" i="3"/>
  <c r="K2206" i="3"/>
  <c r="A2206" i="3"/>
  <c r="O2205" i="3"/>
  <c r="N2205" i="3"/>
  <c r="M2205" i="3"/>
  <c r="L2205" i="3"/>
  <c r="K2205" i="3"/>
  <c r="A2205" i="3"/>
  <c r="O2204" i="3"/>
  <c r="N2204" i="3"/>
  <c r="M2204" i="3"/>
  <c r="L2204" i="3"/>
  <c r="K2204" i="3"/>
  <c r="A2204" i="3"/>
  <c r="O2203" i="3"/>
  <c r="N2203" i="3"/>
  <c r="M2203" i="3"/>
  <c r="L2203" i="3"/>
  <c r="K2203" i="3"/>
  <c r="A2203" i="3"/>
  <c r="O2202" i="3"/>
  <c r="N2202" i="3"/>
  <c r="M2202" i="3"/>
  <c r="L2202" i="3"/>
  <c r="K2202" i="3"/>
  <c r="A2202" i="3"/>
  <c r="O2201" i="3"/>
  <c r="N2201" i="3"/>
  <c r="M2201" i="3"/>
  <c r="L2201" i="3"/>
  <c r="K2201" i="3"/>
  <c r="A2201" i="3"/>
  <c r="O2200" i="3"/>
  <c r="N2200" i="3"/>
  <c r="M2200" i="3"/>
  <c r="L2200" i="3"/>
  <c r="K2200" i="3"/>
  <c r="A2200" i="3"/>
  <c r="O2199" i="3"/>
  <c r="N2199" i="3"/>
  <c r="M2199" i="3"/>
  <c r="L2199" i="3"/>
  <c r="K2199" i="3"/>
  <c r="A2199" i="3"/>
  <c r="O2198" i="3"/>
  <c r="N2198" i="3"/>
  <c r="M2198" i="3"/>
  <c r="L2198" i="3"/>
  <c r="K2198" i="3"/>
  <c r="A2198" i="3"/>
  <c r="O2197" i="3"/>
  <c r="N2197" i="3"/>
  <c r="M2197" i="3"/>
  <c r="L2197" i="3"/>
  <c r="K2197" i="3"/>
  <c r="A2197" i="3"/>
  <c r="O2196" i="3"/>
  <c r="N2196" i="3"/>
  <c r="M2196" i="3"/>
  <c r="L2196" i="3"/>
  <c r="K2196" i="3"/>
  <c r="A2196" i="3"/>
  <c r="O2195" i="3"/>
  <c r="N2195" i="3"/>
  <c r="M2195" i="3"/>
  <c r="L2195" i="3"/>
  <c r="K2195" i="3"/>
  <c r="G2195" i="3"/>
  <c r="F2195" i="3"/>
  <c r="E2195" i="3"/>
  <c r="D2195" i="3"/>
  <c r="C2195" i="3"/>
  <c r="B2195" i="3"/>
  <c r="A2195" i="3"/>
  <c r="O2194" i="3"/>
  <c r="N2194" i="3"/>
  <c r="M2194" i="3"/>
  <c r="L2194" i="3"/>
  <c r="K2194" i="3"/>
  <c r="E2194" i="3"/>
  <c r="D2194" i="3"/>
  <c r="C2194" i="3"/>
  <c r="B2194" i="3"/>
  <c r="A2194" i="3"/>
  <c r="O2193" i="3"/>
  <c r="N2193" i="3"/>
  <c r="M2193" i="3"/>
  <c r="L2193" i="3"/>
  <c r="K2193" i="3"/>
  <c r="E2193" i="3"/>
  <c r="D2193" i="3"/>
  <c r="C2193" i="3"/>
  <c r="B2193" i="3"/>
  <c r="A2193" i="3"/>
  <c r="O2192" i="3"/>
  <c r="N2192" i="3"/>
  <c r="M2192" i="3"/>
  <c r="L2192" i="3"/>
  <c r="K2192" i="3"/>
  <c r="E2192" i="3"/>
  <c r="D2192" i="3"/>
  <c r="C2192" i="3"/>
  <c r="A2192" i="3"/>
  <c r="O2191" i="3"/>
  <c r="N2191" i="3"/>
  <c r="M2191" i="3"/>
  <c r="L2191" i="3"/>
  <c r="K2191" i="3"/>
  <c r="E2191" i="3"/>
  <c r="D2191" i="3"/>
  <c r="C2191" i="3"/>
  <c r="B2191" i="3"/>
  <c r="A2191" i="3"/>
  <c r="O2190" i="3"/>
  <c r="N2190" i="3"/>
  <c r="M2190" i="3"/>
  <c r="L2190" i="3"/>
  <c r="K2190" i="3"/>
  <c r="A2190" i="3"/>
  <c r="O2189" i="3"/>
  <c r="N2189" i="3"/>
  <c r="M2189" i="3"/>
  <c r="L2189" i="3"/>
  <c r="K2189" i="3"/>
  <c r="E2189" i="3"/>
  <c r="D2189" i="3"/>
  <c r="C2189" i="3"/>
  <c r="B2189" i="3"/>
  <c r="A2189" i="3"/>
  <c r="O2188" i="3"/>
  <c r="N2188" i="3"/>
  <c r="M2188" i="3"/>
  <c r="L2188" i="3"/>
  <c r="K2188" i="3"/>
  <c r="E2188" i="3"/>
  <c r="D2188" i="3"/>
  <c r="C2188" i="3"/>
  <c r="B2188" i="3"/>
  <c r="A2188" i="3"/>
  <c r="O2187" i="3"/>
  <c r="N2187" i="3"/>
  <c r="M2187" i="3"/>
  <c r="L2187" i="3"/>
  <c r="K2187" i="3"/>
  <c r="E2187" i="3"/>
  <c r="D2187" i="3"/>
  <c r="C2187" i="3"/>
  <c r="B2187" i="3"/>
  <c r="A2187" i="3"/>
  <c r="O2186" i="3"/>
  <c r="N2186" i="3"/>
  <c r="M2186" i="3"/>
  <c r="L2186" i="3"/>
  <c r="K2186" i="3"/>
  <c r="E2186" i="3"/>
  <c r="D2186" i="3"/>
  <c r="C2186" i="3"/>
  <c r="B2186" i="3"/>
  <c r="A2186" i="3"/>
  <c r="O2185" i="3"/>
  <c r="N2185" i="3"/>
  <c r="M2185" i="3"/>
  <c r="L2185" i="3"/>
  <c r="K2185" i="3"/>
  <c r="E2185" i="3"/>
  <c r="D2185" i="3"/>
  <c r="C2185" i="3"/>
  <c r="B2185" i="3"/>
  <c r="A2185" i="3"/>
  <c r="O2184" i="3"/>
  <c r="N2184" i="3"/>
  <c r="M2184" i="3"/>
  <c r="L2184" i="3"/>
  <c r="K2184" i="3"/>
  <c r="E2184" i="3"/>
  <c r="D2184" i="3"/>
  <c r="C2184" i="3"/>
  <c r="B2184" i="3"/>
  <c r="A2184" i="3"/>
  <c r="O2183" i="3"/>
  <c r="N2183" i="3"/>
  <c r="M2183" i="3"/>
  <c r="L2183" i="3"/>
  <c r="K2183" i="3"/>
  <c r="O2182" i="3"/>
  <c r="N2182" i="3"/>
  <c r="M2182" i="3"/>
  <c r="L2182" i="3"/>
  <c r="K2182" i="3"/>
  <c r="O2181" i="3"/>
  <c r="N2181" i="3"/>
  <c r="M2181" i="3"/>
  <c r="L2181" i="3"/>
  <c r="K2181" i="3"/>
  <c r="O2180" i="3"/>
  <c r="N2180" i="3"/>
  <c r="M2180" i="3"/>
  <c r="L2180" i="3"/>
  <c r="K2180" i="3"/>
  <c r="O2179" i="3"/>
  <c r="N2179" i="3"/>
  <c r="M2179" i="3"/>
  <c r="L2179" i="3"/>
  <c r="K2179" i="3"/>
  <c r="O2178" i="3"/>
  <c r="N2178" i="3"/>
  <c r="M2178" i="3"/>
  <c r="L2178" i="3"/>
  <c r="K2178" i="3"/>
  <c r="O2177" i="3"/>
  <c r="N2177" i="3"/>
  <c r="M2177" i="3"/>
  <c r="L2177" i="3"/>
  <c r="K2177" i="3"/>
  <c r="O2176" i="3"/>
  <c r="N2176" i="3"/>
  <c r="M2176" i="3"/>
  <c r="L2176" i="3"/>
  <c r="K2176" i="3"/>
  <c r="O2175" i="3"/>
  <c r="N2175" i="3"/>
  <c r="M2175" i="3"/>
  <c r="L2175" i="3"/>
  <c r="K2175" i="3"/>
  <c r="O2174" i="3"/>
  <c r="N2174" i="3"/>
  <c r="M2174" i="3"/>
  <c r="L2174" i="3"/>
  <c r="K2174" i="3"/>
  <c r="O2173" i="3"/>
  <c r="N2173" i="3"/>
  <c r="M2173" i="3"/>
  <c r="L2173" i="3"/>
  <c r="K2173" i="3"/>
  <c r="O2172" i="3"/>
  <c r="N2172" i="3"/>
  <c r="M2172" i="3"/>
  <c r="L2172" i="3"/>
  <c r="K2172" i="3"/>
  <c r="O2171" i="3"/>
  <c r="N2171" i="3"/>
  <c r="M2171" i="3"/>
  <c r="L2171" i="3"/>
  <c r="K2171" i="3"/>
  <c r="O2170" i="3"/>
  <c r="N2170" i="3"/>
  <c r="M2170" i="3"/>
  <c r="L2170" i="3"/>
  <c r="K2170" i="3"/>
  <c r="O2169" i="3"/>
  <c r="N2169" i="3"/>
  <c r="M2169" i="3"/>
  <c r="L2169" i="3"/>
  <c r="K2169" i="3"/>
  <c r="O2168" i="3"/>
  <c r="N2168" i="3"/>
  <c r="M2168" i="3"/>
  <c r="L2168" i="3"/>
  <c r="K2168" i="3"/>
  <c r="O2167" i="3"/>
  <c r="N2167" i="3"/>
  <c r="M2167" i="3"/>
  <c r="L2167" i="3"/>
  <c r="K2167" i="3"/>
  <c r="O2166" i="3"/>
  <c r="N2166" i="3"/>
  <c r="M2166" i="3"/>
  <c r="L2166" i="3"/>
  <c r="K2166" i="3"/>
  <c r="O2165" i="3"/>
  <c r="N2165" i="3"/>
  <c r="M2165" i="3"/>
  <c r="L2165" i="3"/>
  <c r="K2165" i="3"/>
  <c r="O2164" i="3"/>
  <c r="N2164" i="3"/>
  <c r="M2164" i="3"/>
  <c r="L2164" i="3"/>
  <c r="K2164" i="3"/>
  <c r="O2163" i="3"/>
  <c r="N2163" i="3"/>
  <c r="M2163" i="3"/>
  <c r="L2163" i="3"/>
  <c r="K2163" i="3"/>
  <c r="O2162" i="3"/>
  <c r="N2162" i="3"/>
  <c r="M2162" i="3"/>
  <c r="L2162" i="3"/>
  <c r="K2162" i="3"/>
  <c r="O2161" i="3"/>
  <c r="N2161" i="3"/>
  <c r="M2161" i="3"/>
  <c r="L2161" i="3"/>
  <c r="K2161" i="3"/>
  <c r="O2160" i="3"/>
  <c r="N2160" i="3"/>
  <c r="M2160" i="3"/>
  <c r="L2160" i="3"/>
  <c r="K2160" i="3"/>
  <c r="O2159" i="3"/>
  <c r="N2159" i="3"/>
  <c r="M2159" i="3"/>
  <c r="L2159" i="3"/>
  <c r="K2159" i="3"/>
  <c r="O2158" i="3"/>
  <c r="N2158" i="3"/>
  <c r="M2158" i="3"/>
  <c r="L2158" i="3"/>
  <c r="K2158" i="3"/>
  <c r="O2157" i="3"/>
  <c r="N2157" i="3"/>
  <c r="M2157" i="3"/>
  <c r="L2157" i="3"/>
  <c r="K2157" i="3"/>
  <c r="O2156" i="3"/>
  <c r="N2156" i="3"/>
  <c r="M2156" i="3"/>
  <c r="L2156" i="3"/>
  <c r="K2156" i="3"/>
  <c r="O2155" i="3"/>
  <c r="N2155" i="3"/>
  <c r="M2155" i="3"/>
  <c r="L2155" i="3"/>
  <c r="K2155" i="3"/>
  <c r="O2154" i="3"/>
  <c r="N2154" i="3"/>
  <c r="M2154" i="3"/>
  <c r="L2154" i="3"/>
  <c r="K2154" i="3"/>
  <c r="O2153" i="3"/>
  <c r="N2153" i="3"/>
  <c r="M2153" i="3"/>
  <c r="L2153" i="3"/>
  <c r="K2153" i="3"/>
  <c r="O2152" i="3"/>
  <c r="N2152" i="3"/>
  <c r="M2152" i="3"/>
  <c r="L2152" i="3"/>
  <c r="K2152" i="3"/>
  <c r="O2151" i="3"/>
  <c r="N2151" i="3"/>
  <c r="M2151" i="3"/>
  <c r="L2151" i="3"/>
  <c r="K2151" i="3"/>
  <c r="O2150" i="3"/>
  <c r="N2150" i="3"/>
  <c r="M2150" i="3"/>
  <c r="L2150" i="3"/>
  <c r="K2150" i="3"/>
  <c r="O2149" i="3"/>
  <c r="N2149" i="3"/>
  <c r="M2149" i="3"/>
  <c r="L2149" i="3"/>
  <c r="K2149" i="3"/>
  <c r="O2148" i="3"/>
  <c r="N2148" i="3"/>
  <c r="M2148" i="3"/>
  <c r="L2148" i="3"/>
  <c r="K2148" i="3"/>
  <c r="O2147" i="3"/>
  <c r="N2147" i="3"/>
  <c r="M2147" i="3"/>
  <c r="L2147" i="3"/>
  <c r="K2147" i="3"/>
  <c r="O2146" i="3"/>
  <c r="N2146" i="3"/>
  <c r="M2146" i="3"/>
  <c r="L2146" i="3"/>
  <c r="K2146" i="3"/>
  <c r="O2145" i="3"/>
  <c r="N2145" i="3"/>
  <c r="M2145" i="3"/>
  <c r="L2145" i="3"/>
  <c r="K2145" i="3"/>
  <c r="O2144" i="3"/>
  <c r="N2144" i="3"/>
  <c r="M2144" i="3"/>
  <c r="L2144" i="3"/>
  <c r="K2144" i="3"/>
  <c r="O2143" i="3"/>
  <c r="N2143" i="3"/>
  <c r="M2143" i="3"/>
  <c r="L2143" i="3"/>
  <c r="K2143" i="3"/>
  <c r="O2142" i="3"/>
  <c r="N2142" i="3"/>
  <c r="M2142" i="3"/>
  <c r="L2142" i="3"/>
  <c r="K2142" i="3"/>
  <c r="O2141" i="3"/>
  <c r="N2141" i="3"/>
  <c r="M2141" i="3"/>
  <c r="L2141" i="3"/>
  <c r="K2141" i="3"/>
  <c r="O2140" i="3"/>
  <c r="N2140" i="3"/>
  <c r="M2140" i="3"/>
  <c r="L2140" i="3"/>
  <c r="K2140" i="3"/>
  <c r="O2139" i="3"/>
  <c r="N2139" i="3"/>
  <c r="M2139" i="3"/>
  <c r="L2139" i="3"/>
  <c r="K2139" i="3"/>
  <c r="O2138" i="3"/>
  <c r="N2138" i="3"/>
  <c r="M2138" i="3"/>
  <c r="L2138" i="3"/>
  <c r="K2138" i="3"/>
  <c r="O2137" i="3"/>
  <c r="N2137" i="3"/>
  <c r="M2137" i="3"/>
  <c r="L2137" i="3"/>
  <c r="K2137" i="3"/>
  <c r="O2136" i="3"/>
  <c r="N2136" i="3"/>
  <c r="M2136" i="3"/>
  <c r="L2136" i="3"/>
  <c r="K2136" i="3"/>
  <c r="O2135" i="3"/>
  <c r="N2135" i="3"/>
  <c r="M2135" i="3"/>
  <c r="L2135" i="3"/>
  <c r="K2135" i="3"/>
  <c r="O2134" i="3"/>
  <c r="N2134" i="3"/>
  <c r="M2134" i="3"/>
  <c r="L2134" i="3"/>
  <c r="K2134" i="3"/>
  <c r="O2133" i="3"/>
  <c r="N2133" i="3"/>
  <c r="M2133" i="3"/>
  <c r="L2133" i="3"/>
  <c r="K2133" i="3"/>
  <c r="O2132" i="3"/>
  <c r="N2132" i="3"/>
  <c r="M2132" i="3"/>
  <c r="L2132" i="3"/>
  <c r="K2132" i="3"/>
  <c r="O2131" i="3"/>
  <c r="N2131" i="3"/>
  <c r="M2131" i="3"/>
  <c r="L2131" i="3"/>
  <c r="K2131" i="3"/>
  <c r="O2130" i="3"/>
  <c r="N2130" i="3"/>
  <c r="M2130" i="3"/>
  <c r="L2130" i="3"/>
  <c r="K2130" i="3"/>
  <c r="O2129" i="3"/>
  <c r="N2129" i="3"/>
  <c r="M2129" i="3"/>
  <c r="L2129" i="3"/>
  <c r="K2129" i="3"/>
  <c r="O2128" i="3"/>
  <c r="N2128" i="3"/>
  <c r="M2128" i="3"/>
  <c r="L2128" i="3"/>
  <c r="K2128" i="3"/>
  <c r="O2127" i="3"/>
  <c r="N2127" i="3"/>
  <c r="M2127" i="3"/>
  <c r="L2127" i="3"/>
  <c r="K2127" i="3"/>
  <c r="O2126" i="3"/>
  <c r="N2126" i="3"/>
  <c r="M2126" i="3"/>
  <c r="L2126" i="3"/>
  <c r="K2126" i="3"/>
  <c r="O2125" i="3"/>
  <c r="N2125" i="3"/>
  <c r="M2125" i="3"/>
  <c r="L2125" i="3"/>
  <c r="K2125" i="3"/>
  <c r="O2124" i="3"/>
  <c r="N2124" i="3"/>
  <c r="M2124" i="3"/>
  <c r="L2124" i="3"/>
  <c r="K2124" i="3"/>
  <c r="O2123" i="3"/>
  <c r="N2123" i="3"/>
  <c r="M2123" i="3"/>
  <c r="L2123" i="3"/>
  <c r="K2123" i="3"/>
  <c r="O2122" i="3"/>
  <c r="N2122" i="3"/>
  <c r="M2122" i="3"/>
  <c r="L2122" i="3"/>
  <c r="K2122" i="3"/>
  <c r="O2121" i="3"/>
  <c r="N2121" i="3"/>
  <c r="M2121" i="3"/>
  <c r="L2121" i="3"/>
  <c r="K2121" i="3"/>
  <c r="O2120" i="3"/>
  <c r="N2120" i="3"/>
  <c r="M2120" i="3"/>
  <c r="L2120" i="3"/>
  <c r="K2120" i="3"/>
  <c r="O2119" i="3"/>
  <c r="N2119" i="3"/>
  <c r="M2119" i="3"/>
  <c r="L2119" i="3"/>
  <c r="K2119" i="3"/>
  <c r="O2118" i="3"/>
  <c r="N2118" i="3"/>
  <c r="M2118" i="3"/>
  <c r="L2118" i="3"/>
  <c r="K2118" i="3"/>
  <c r="O2117" i="3"/>
  <c r="N2117" i="3"/>
  <c r="M2117" i="3"/>
  <c r="L2117" i="3"/>
  <c r="K2117" i="3"/>
  <c r="O2116" i="3"/>
  <c r="N2116" i="3"/>
  <c r="M2116" i="3"/>
  <c r="L2116" i="3"/>
  <c r="K2116" i="3"/>
  <c r="O2115" i="3"/>
  <c r="N2115" i="3"/>
  <c r="M2115" i="3"/>
  <c r="L2115" i="3"/>
  <c r="K2115" i="3"/>
  <c r="O2114" i="3"/>
  <c r="N2114" i="3"/>
  <c r="M2114" i="3"/>
  <c r="L2114" i="3"/>
  <c r="K2114" i="3"/>
  <c r="O2113" i="3"/>
  <c r="N2113" i="3"/>
  <c r="M2113" i="3"/>
  <c r="L2113" i="3"/>
  <c r="K2113" i="3"/>
  <c r="O2112" i="3"/>
  <c r="N2112" i="3"/>
  <c r="M2112" i="3"/>
  <c r="L2112" i="3"/>
  <c r="K2112" i="3"/>
  <c r="O2111" i="3"/>
  <c r="N2111" i="3"/>
  <c r="M2111" i="3"/>
  <c r="L2111" i="3"/>
  <c r="K2111" i="3"/>
  <c r="O2110" i="3"/>
  <c r="N2110" i="3"/>
  <c r="M2110" i="3"/>
  <c r="L2110" i="3"/>
  <c r="K2110" i="3"/>
  <c r="O2109" i="3"/>
  <c r="N2109" i="3"/>
  <c r="M2109" i="3"/>
  <c r="L2109" i="3"/>
  <c r="K2109" i="3"/>
  <c r="O2108" i="3"/>
  <c r="N2108" i="3"/>
  <c r="M2108" i="3"/>
  <c r="L2108" i="3"/>
  <c r="K2108" i="3"/>
  <c r="O2107" i="3"/>
  <c r="N2107" i="3"/>
  <c r="M2107" i="3"/>
  <c r="L2107" i="3"/>
  <c r="K2107" i="3"/>
  <c r="O2106" i="3"/>
  <c r="N2106" i="3"/>
  <c r="M2106" i="3"/>
  <c r="L2106" i="3"/>
  <c r="K2106" i="3"/>
  <c r="O2105" i="3"/>
  <c r="N2105" i="3"/>
  <c r="M2105" i="3"/>
  <c r="L2105" i="3"/>
  <c r="K2105" i="3"/>
  <c r="O2104" i="3"/>
  <c r="N2104" i="3"/>
  <c r="M2104" i="3"/>
  <c r="L2104" i="3"/>
  <c r="K2104" i="3"/>
  <c r="O2103" i="3"/>
  <c r="N2103" i="3"/>
  <c r="M2103" i="3"/>
  <c r="L2103" i="3"/>
  <c r="K2103" i="3"/>
  <c r="O2102" i="3"/>
  <c r="N2102" i="3"/>
  <c r="M2102" i="3"/>
  <c r="L2102" i="3"/>
  <c r="K2102" i="3"/>
  <c r="O2101" i="3"/>
  <c r="N2101" i="3"/>
  <c r="M2101" i="3"/>
  <c r="L2101" i="3"/>
  <c r="K2101" i="3"/>
  <c r="O2100" i="3"/>
  <c r="N2100" i="3"/>
  <c r="M2100" i="3"/>
  <c r="L2100" i="3"/>
  <c r="K2100" i="3"/>
  <c r="O2099" i="3"/>
  <c r="N2099" i="3"/>
  <c r="M2099" i="3"/>
  <c r="L2099" i="3"/>
  <c r="K2099" i="3"/>
  <c r="O2098" i="3"/>
  <c r="N2098" i="3"/>
  <c r="M2098" i="3"/>
  <c r="L2098" i="3"/>
  <c r="K2098" i="3"/>
  <c r="O2097" i="3"/>
  <c r="N2097" i="3"/>
  <c r="M2097" i="3"/>
  <c r="L2097" i="3"/>
  <c r="K2097" i="3"/>
  <c r="O2096" i="3"/>
  <c r="N2096" i="3"/>
  <c r="M2096" i="3"/>
  <c r="L2096" i="3"/>
  <c r="K2096" i="3"/>
  <c r="O2095" i="3"/>
  <c r="N2095" i="3"/>
  <c r="M2095" i="3"/>
  <c r="L2095" i="3"/>
  <c r="K2095" i="3"/>
  <c r="O2094" i="3"/>
  <c r="N2094" i="3"/>
  <c r="M2094" i="3"/>
  <c r="L2094" i="3"/>
  <c r="K2094" i="3"/>
  <c r="O2093" i="3"/>
  <c r="N2093" i="3"/>
  <c r="M2093" i="3"/>
  <c r="L2093" i="3"/>
  <c r="K2093" i="3"/>
  <c r="O2092" i="3"/>
  <c r="N2092" i="3"/>
  <c r="M2092" i="3"/>
  <c r="L2092" i="3"/>
  <c r="K2092" i="3"/>
  <c r="O2091" i="3"/>
  <c r="N2091" i="3"/>
  <c r="M2091" i="3"/>
  <c r="L2091" i="3"/>
  <c r="K2091" i="3"/>
  <c r="O2090" i="3"/>
  <c r="N2090" i="3"/>
  <c r="M2090" i="3"/>
  <c r="L2090" i="3"/>
  <c r="K2090" i="3"/>
  <c r="O2089" i="3"/>
  <c r="N2089" i="3"/>
  <c r="M2089" i="3"/>
  <c r="L2089" i="3"/>
  <c r="K2089" i="3"/>
  <c r="O2088" i="3"/>
  <c r="N2088" i="3"/>
  <c r="M2088" i="3"/>
  <c r="L2088" i="3"/>
  <c r="K2088" i="3"/>
  <c r="O2087" i="3"/>
  <c r="N2087" i="3"/>
  <c r="M2087" i="3"/>
  <c r="L2087" i="3"/>
  <c r="K2087" i="3"/>
  <c r="O2086" i="3"/>
  <c r="N2086" i="3"/>
  <c r="M2086" i="3"/>
  <c r="L2086" i="3"/>
  <c r="K2086" i="3"/>
  <c r="O2085" i="3"/>
  <c r="N2085" i="3"/>
  <c r="M2085" i="3"/>
  <c r="L2085" i="3"/>
  <c r="K2085" i="3"/>
  <c r="O2084" i="3"/>
  <c r="N2084" i="3"/>
  <c r="M2084" i="3"/>
  <c r="L2084" i="3"/>
  <c r="K2084" i="3"/>
  <c r="O2083" i="3"/>
  <c r="N2083" i="3"/>
  <c r="M2083" i="3"/>
  <c r="L2083" i="3"/>
  <c r="K2083" i="3"/>
  <c r="O2082" i="3"/>
  <c r="N2082" i="3"/>
  <c r="M2082" i="3"/>
  <c r="L2082" i="3"/>
  <c r="K2082" i="3"/>
  <c r="O2081" i="3"/>
  <c r="N2081" i="3"/>
  <c r="M2081" i="3"/>
  <c r="L2081" i="3"/>
  <c r="K2081" i="3"/>
  <c r="O2080" i="3"/>
  <c r="N2080" i="3"/>
  <c r="M2080" i="3"/>
  <c r="L2080" i="3"/>
  <c r="K2080" i="3"/>
  <c r="O2079" i="3"/>
  <c r="N2079" i="3"/>
  <c r="M2079" i="3"/>
  <c r="L2079" i="3"/>
  <c r="K2079" i="3"/>
  <c r="O2078" i="3"/>
  <c r="N2078" i="3"/>
  <c r="M2078" i="3"/>
  <c r="L2078" i="3"/>
  <c r="K2078" i="3"/>
  <c r="O2077" i="3"/>
  <c r="N2077" i="3"/>
  <c r="M2077" i="3"/>
  <c r="L2077" i="3"/>
  <c r="K2077" i="3"/>
  <c r="O2076" i="3"/>
  <c r="N2076" i="3"/>
  <c r="M2076" i="3"/>
  <c r="L2076" i="3"/>
  <c r="K2076" i="3"/>
  <c r="O2075" i="3"/>
  <c r="N2075" i="3"/>
  <c r="M2075" i="3"/>
  <c r="L2075" i="3"/>
  <c r="K2075" i="3"/>
  <c r="O2074" i="3"/>
  <c r="N2074" i="3"/>
  <c r="M2074" i="3"/>
  <c r="L2074" i="3"/>
  <c r="K2074" i="3"/>
  <c r="O2073" i="3"/>
  <c r="N2073" i="3"/>
  <c r="M2073" i="3"/>
  <c r="L2073" i="3"/>
  <c r="K2073" i="3"/>
  <c r="O2072" i="3"/>
  <c r="N2072" i="3"/>
  <c r="M2072" i="3"/>
  <c r="L2072" i="3"/>
  <c r="K2072" i="3"/>
  <c r="O2071" i="3"/>
  <c r="N2071" i="3"/>
  <c r="M2071" i="3"/>
  <c r="L2071" i="3"/>
  <c r="K2071" i="3"/>
  <c r="O2070" i="3"/>
  <c r="N2070" i="3"/>
  <c r="M2070" i="3"/>
  <c r="L2070" i="3"/>
  <c r="K2070" i="3"/>
  <c r="O2069" i="3"/>
  <c r="N2069" i="3"/>
  <c r="M2069" i="3"/>
  <c r="L2069" i="3"/>
  <c r="K2069" i="3"/>
  <c r="O2068" i="3"/>
  <c r="N2068" i="3"/>
  <c r="M2068" i="3"/>
  <c r="L2068" i="3"/>
  <c r="K2068" i="3"/>
  <c r="O2067" i="3"/>
  <c r="N2067" i="3"/>
  <c r="M2067" i="3"/>
  <c r="L2067" i="3"/>
  <c r="K2067" i="3"/>
  <c r="O2066" i="3"/>
  <c r="N2066" i="3"/>
  <c r="M2066" i="3"/>
  <c r="L2066" i="3"/>
  <c r="K2066" i="3"/>
  <c r="O2065" i="3"/>
  <c r="N2065" i="3"/>
  <c r="M2065" i="3"/>
  <c r="L2065" i="3"/>
  <c r="K2065" i="3"/>
  <c r="O2064" i="3"/>
  <c r="N2064" i="3"/>
  <c r="M2064" i="3"/>
  <c r="L2064" i="3"/>
  <c r="K2064" i="3"/>
  <c r="O2063" i="3"/>
  <c r="N2063" i="3"/>
  <c r="M2063" i="3"/>
  <c r="L2063" i="3"/>
  <c r="K2063" i="3"/>
  <c r="O2062" i="3"/>
  <c r="N2062" i="3"/>
  <c r="M2062" i="3"/>
  <c r="L2062" i="3"/>
  <c r="K2062" i="3"/>
  <c r="O2061" i="3"/>
  <c r="N2061" i="3"/>
  <c r="M2061" i="3"/>
  <c r="L2061" i="3"/>
  <c r="K2061" i="3"/>
  <c r="O2060" i="3"/>
  <c r="N2060" i="3"/>
  <c r="M2060" i="3"/>
  <c r="L2060" i="3"/>
  <c r="K2060" i="3"/>
  <c r="O2059" i="3"/>
  <c r="N2059" i="3"/>
  <c r="M2059" i="3"/>
  <c r="L2059" i="3"/>
  <c r="K2059" i="3"/>
  <c r="O2058" i="3"/>
  <c r="N2058" i="3"/>
  <c r="M2058" i="3"/>
  <c r="L2058" i="3"/>
  <c r="K2058" i="3"/>
  <c r="O2057" i="3"/>
  <c r="N2057" i="3"/>
  <c r="M2057" i="3"/>
  <c r="L2057" i="3"/>
  <c r="K2057" i="3"/>
  <c r="O2056" i="3"/>
  <c r="N2056" i="3"/>
  <c r="M2056" i="3"/>
  <c r="L2056" i="3"/>
  <c r="K2056" i="3"/>
  <c r="O2055" i="3"/>
  <c r="N2055" i="3"/>
  <c r="M2055" i="3"/>
  <c r="L2055" i="3"/>
  <c r="K2055" i="3"/>
  <c r="O2054" i="3"/>
  <c r="N2054" i="3"/>
  <c r="M2054" i="3"/>
  <c r="L2054" i="3"/>
  <c r="K2054" i="3"/>
  <c r="O2053" i="3"/>
  <c r="N2053" i="3"/>
  <c r="M2053" i="3"/>
  <c r="L2053" i="3"/>
  <c r="K2053" i="3"/>
  <c r="O2052" i="3"/>
  <c r="N2052" i="3"/>
  <c r="M2052" i="3"/>
  <c r="L2052" i="3"/>
  <c r="K2052" i="3"/>
  <c r="O2051" i="3"/>
  <c r="N2051" i="3"/>
  <c r="M2051" i="3"/>
  <c r="L2051" i="3"/>
  <c r="K2051" i="3"/>
  <c r="O2050" i="3"/>
  <c r="N2050" i="3"/>
  <c r="M2050" i="3"/>
  <c r="L2050" i="3"/>
  <c r="K2050" i="3"/>
  <c r="O2049" i="3"/>
  <c r="N2049" i="3"/>
  <c r="M2049" i="3"/>
  <c r="L2049" i="3"/>
  <c r="K2049" i="3"/>
  <c r="O2048" i="3"/>
  <c r="N2048" i="3"/>
  <c r="M2048" i="3"/>
  <c r="L2048" i="3"/>
  <c r="K2048" i="3"/>
  <c r="O2047" i="3"/>
  <c r="N2047" i="3"/>
  <c r="M2047" i="3"/>
  <c r="L2047" i="3"/>
  <c r="K2047" i="3"/>
  <c r="O2046" i="3"/>
  <c r="N2046" i="3"/>
  <c r="M2046" i="3"/>
  <c r="L2046" i="3"/>
  <c r="K2046" i="3"/>
  <c r="O2045" i="3"/>
  <c r="N2045" i="3"/>
  <c r="M2045" i="3"/>
  <c r="L2045" i="3"/>
  <c r="K2045" i="3"/>
  <c r="O2044" i="3"/>
  <c r="N2044" i="3"/>
  <c r="M2044" i="3"/>
  <c r="L2044" i="3"/>
  <c r="K2044" i="3"/>
  <c r="O2043" i="3"/>
  <c r="N2043" i="3"/>
  <c r="M2043" i="3"/>
  <c r="L2043" i="3"/>
  <c r="K2043" i="3"/>
  <c r="O2042" i="3"/>
  <c r="N2042" i="3"/>
  <c r="M2042" i="3"/>
  <c r="L2042" i="3"/>
  <c r="K2042" i="3"/>
  <c r="O2041" i="3"/>
  <c r="N2041" i="3"/>
  <c r="M2041" i="3"/>
  <c r="L2041" i="3"/>
  <c r="K2041" i="3"/>
  <c r="O2040" i="3"/>
  <c r="N2040" i="3"/>
  <c r="M2040" i="3"/>
  <c r="L2040" i="3"/>
  <c r="K2040" i="3"/>
  <c r="O2039" i="3"/>
  <c r="N2039" i="3"/>
  <c r="M2039" i="3"/>
  <c r="L2039" i="3"/>
  <c r="K2039" i="3"/>
  <c r="O2038" i="3"/>
  <c r="N2038" i="3"/>
  <c r="M2038" i="3"/>
  <c r="L2038" i="3"/>
  <c r="K2038" i="3"/>
  <c r="O2037" i="3"/>
  <c r="N2037" i="3"/>
  <c r="M2037" i="3"/>
  <c r="L2037" i="3"/>
  <c r="K2037" i="3"/>
  <c r="O2036" i="3"/>
  <c r="N2036" i="3"/>
  <c r="M2036" i="3"/>
  <c r="L2036" i="3"/>
  <c r="K2036" i="3"/>
  <c r="O2035" i="3"/>
  <c r="N2035" i="3"/>
  <c r="M2035" i="3"/>
  <c r="L2035" i="3"/>
  <c r="K2035" i="3"/>
  <c r="O2034" i="3"/>
  <c r="N2034" i="3"/>
  <c r="M2034" i="3"/>
  <c r="L2034" i="3"/>
  <c r="K2034" i="3"/>
  <c r="O2033" i="3"/>
  <c r="N2033" i="3"/>
  <c r="M2033" i="3"/>
  <c r="L2033" i="3"/>
  <c r="K2033" i="3"/>
  <c r="O2032" i="3"/>
  <c r="N2032" i="3"/>
  <c r="M2032" i="3"/>
  <c r="L2032" i="3"/>
  <c r="K2032" i="3"/>
  <c r="O2031" i="3"/>
  <c r="N2031" i="3"/>
  <c r="M2031" i="3"/>
  <c r="L2031" i="3"/>
  <c r="K2031" i="3"/>
  <c r="O2030" i="3"/>
  <c r="N2030" i="3"/>
  <c r="M2030" i="3"/>
  <c r="L2030" i="3"/>
  <c r="K2030" i="3"/>
  <c r="O2029" i="3"/>
  <c r="N2029" i="3"/>
  <c r="M2029" i="3"/>
  <c r="L2029" i="3"/>
  <c r="K2029" i="3"/>
  <c r="O2028" i="3"/>
  <c r="N2028" i="3"/>
  <c r="M2028" i="3"/>
  <c r="L2028" i="3"/>
  <c r="K2028" i="3"/>
  <c r="O2027" i="3"/>
  <c r="N2027" i="3"/>
  <c r="M2027" i="3"/>
  <c r="L2027" i="3"/>
  <c r="K2027" i="3"/>
  <c r="O2026" i="3"/>
  <c r="N2026" i="3"/>
  <c r="M2026" i="3"/>
  <c r="L2026" i="3"/>
  <c r="K2026" i="3"/>
  <c r="O2025" i="3"/>
  <c r="N2025" i="3"/>
  <c r="M2025" i="3"/>
  <c r="L2025" i="3"/>
  <c r="K2025" i="3"/>
  <c r="O2024" i="3"/>
  <c r="N2024" i="3"/>
  <c r="M2024" i="3"/>
  <c r="L2024" i="3"/>
  <c r="K2024" i="3"/>
  <c r="O2023" i="3"/>
  <c r="N2023" i="3"/>
  <c r="M2023" i="3"/>
  <c r="L2023" i="3"/>
  <c r="K2023" i="3"/>
  <c r="O2022" i="3"/>
  <c r="N2022" i="3"/>
  <c r="M2022" i="3"/>
  <c r="L2022" i="3"/>
  <c r="K2022" i="3"/>
  <c r="O2021" i="3"/>
  <c r="N2021" i="3"/>
  <c r="M2021" i="3"/>
  <c r="L2021" i="3"/>
  <c r="K2021" i="3"/>
  <c r="O2020" i="3"/>
  <c r="N2020" i="3"/>
  <c r="M2020" i="3"/>
  <c r="L2020" i="3"/>
  <c r="K2020" i="3"/>
  <c r="O2019" i="3"/>
  <c r="N2019" i="3"/>
  <c r="M2019" i="3"/>
  <c r="L2019" i="3"/>
  <c r="K2019" i="3"/>
  <c r="O2018" i="3"/>
  <c r="N2018" i="3"/>
  <c r="M2018" i="3"/>
  <c r="L2018" i="3"/>
  <c r="K2018" i="3"/>
  <c r="O2017" i="3"/>
  <c r="N2017" i="3"/>
  <c r="M2017" i="3"/>
  <c r="L2017" i="3"/>
  <c r="K2017" i="3"/>
  <c r="O2016" i="3"/>
  <c r="N2016" i="3"/>
  <c r="M2016" i="3"/>
  <c r="L2016" i="3"/>
  <c r="K2016" i="3"/>
  <c r="O2015" i="3"/>
  <c r="N2015" i="3"/>
  <c r="M2015" i="3"/>
  <c r="L2015" i="3"/>
  <c r="K2015" i="3"/>
  <c r="O2014" i="3"/>
  <c r="N2014" i="3"/>
  <c r="M2014" i="3"/>
  <c r="L2014" i="3"/>
  <c r="K2014" i="3"/>
  <c r="O2013" i="3"/>
  <c r="N2013" i="3"/>
  <c r="M2013" i="3"/>
  <c r="L2013" i="3"/>
  <c r="K2013" i="3"/>
  <c r="O2012" i="3"/>
  <c r="N2012" i="3"/>
  <c r="M2012" i="3"/>
  <c r="L2012" i="3"/>
  <c r="K2012" i="3"/>
  <c r="O2011" i="3"/>
  <c r="N2011" i="3"/>
  <c r="M2011" i="3"/>
  <c r="L2011" i="3"/>
  <c r="K2011" i="3"/>
  <c r="O2010" i="3"/>
  <c r="N2010" i="3"/>
  <c r="M2010" i="3"/>
  <c r="L2010" i="3"/>
  <c r="K2010" i="3"/>
  <c r="O2009" i="3"/>
  <c r="N2009" i="3"/>
  <c r="M2009" i="3"/>
  <c r="L2009" i="3"/>
  <c r="K2009" i="3"/>
  <c r="O2008" i="3"/>
  <c r="N2008" i="3"/>
  <c r="M2008" i="3"/>
  <c r="L2008" i="3"/>
  <c r="K2008" i="3"/>
  <c r="O2007" i="3"/>
  <c r="N2007" i="3"/>
  <c r="M2007" i="3"/>
  <c r="L2007" i="3"/>
  <c r="K2007" i="3"/>
  <c r="O2006" i="3"/>
  <c r="N2006" i="3"/>
  <c r="M2006" i="3"/>
  <c r="L2006" i="3"/>
  <c r="K2006" i="3"/>
  <c r="O2005" i="3"/>
  <c r="N2005" i="3"/>
  <c r="M2005" i="3"/>
  <c r="L2005" i="3"/>
  <c r="K2005" i="3"/>
  <c r="O2004" i="3"/>
  <c r="N2004" i="3"/>
  <c r="M2004" i="3"/>
  <c r="L2004" i="3"/>
  <c r="K2004" i="3"/>
  <c r="O2003" i="3"/>
  <c r="N2003" i="3"/>
  <c r="M2003" i="3"/>
  <c r="L2003" i="3"/>
  <c r="K2003" i="3"/>
  <c r="O2002" i="3"/>
  <c r="N2002" i="3"/>
  <c r="M2002" i="3"/>
  <c r="L2002" i="3"/>
  <c r="K2002" i="3"/>
  <c r="O2001" i="3"/>
  <c r="N2001" i="3"/>
  <c r="M2001" i="3"/>
  <c r="L2001" i="3"/>
  <c r="K2001" i="3"/>
  <c r="O2000" i="3"/>
  <c r="N2000" i="3"/>
  <c r="M2000" i="3"/>
  <c r="L2000" i="3"/>
  <c r="K2000" i="3"/>
  <c r="O1999" i="3"/>
  <c r="N1999" i="3"/>
  <c r="M1999" i="3"/>
  <c r="L1999" i="3"/>
  <c r="K1999" i="3"/>
  <c r="O1998" i="3"/>
  <c r="N1998" i="3"/>
  <c r="M1998" i="3"/>
  <c r="L1998" i="3"/>
  <c r="K1998" i="3"/>
  <c r="O1997" i="3"/>
  <c r="N1997" i="3"/>
  <c r="M1997" i="3"/>
  <c r="L1997" i="3"/>
  <c r="K1997" i="3"/>
  <c r="O1996" i="3"/>
  <c r="N1996" i="3"/>
  <c r="M1996" i="3"/>
  <c r="L1996" i="3"/>
  <c r="K1996" i="3"/>
  <c r="O1995" i="3"/>
  <c r="N1995" i="3"/>
  <c r="M1995" i="3"/>
  <c r="L1995" i="3"/>
  <c r="K1995" i="3"/>
  <c r="O1994" i="3"/>
  <c r="N1994" i="3"/>
  <c r="M1994" i="3"/>
  <c r="L1994" i="3"/>
  <c r="K1994" i="3"/>
  <c r="O1993" i="3"/>
  <c r="N1993" i="3"/>
  <c r="M1993" i="3"/>
  <c r="L1993" i="3"/>
  <c r="K1993" i="3"/>
  <c r="O1992" i="3"/>
  <c r="N1992" i="3"/>
  <c r="M1992" i="3"/>
  <c r="L1992" i="3"/>
  <c r="K1992" i="3"/>
  <c r="O1991" i="3"/>
  <c r="N1991" i="3"/>
  <c r="M1991" i="3"/>
  <c r="L1991" i="3"/>
  <c r="K1991" i="3"/>
  <c r="O1990" i="3"/>
  <c r="N1990" i="3"/>
  <c r="M1990" i="3"/>
  <c r="L1990" i="3"/>
  <c r="K1990" i="3"/>
  <c r="O1989" i="3"/>
  <c r="N1989" i="3"/>
  <c r="M1989" i="3"/>
  <c r="L1989" i="3"/>
  <c r="K1989" i="3"/>
  <c r="O1988" i="3"/>
  <c r="N1988" i="3"/>
  <c r="M1988" i="3"/>
  <c r="L1988" i="3"/>
  <c r="K1988" i="3"/>
  <c r="O1987" i="3"/>
  <c r="N1987" i="3"/>
  <c r="M1987" i="3"/>
  <c r="L1987" i="3"/>
  <c r="K1987" i="3"/>
  <c r="O1986" i="3"/>
  <c r="N1986" i="3"/>
  <c r="M1986" i="3"/>
  <c r="L1986" i="3"/>
  <c r="K1986" i="3"/>
  <c r="O1985" i="3"/>
  <c r="N1985" i="3"/>
  <c r="M1985" i="3"/>
  <c r="L1985" i="3"/>
  <c r="K1985" i="3"/>
  <c r="O1984" i="3"/>
  <c r="N1984" i="3"/>
  <c r="M1984" i="3"/>
  <c r="L1984" i="3"/>
  <c r="K1984" i="3"/>
  <c r="O1983" i="3"/>
  <c r="N1983" i="3"/>
  <c r="M1983" i="3"/>
  <c r="L1983" i="3"/>
  <c r="K1983" i="3"/>
  <c r="O1982" i="3"/>
  <c r="N1982" i="3"/>
  <c r="M1982" i="3"/>
  <c r="L1982" i="3"/>
  <c r="K1982" i="3"/>
  <c r="O1981" i="3"/>
  <c r="N1981" i="3"/>
  <c r="M1981" i="3"/>
  <c r="L1981" i="3"/>
  <c r="K1981" i="3"/>
  <c r="O1980" i="3"/>
  <c r="N1980" i="3"/>
  <c r="M1980" i="3"/>
  <c r="L1980" i="3"/>
  <c r="K1980" i="3"/>
  <c r="O1979" i="3"/>
  <c r="N1979" i="3"/>
  <c r="M1979" i="3"/>
  <c r="L1979" i="3"/>
  <c r="K1979" i="3"/>
  <c r="O1978" i="3"/>
  <c r="N1978" i="3"/>
  <c r="M1978" i="3"/>
  <c r="L1978" i="3"/>
  <c r="K1978" i="3"/>
  <c r="O1977" i="3"/>
  <c r="N1977" i="3"/>
  <c r="M1977" i="3"/>
  <c r="L1977" i="3"/>
  <c r="K1977" i="3"/>
  <c r="O1976" i="3"/>
  <c r="N1976" i="3"/>
  <c r="M1976" i="3"/>
  <c r="L1976" i="3"/>
  <c r="K1976" i="3"/>
  <c r="O1975" i="3"/>
  <c r="N1975" i="3"/>
  <c r="M1975" i="3"/>
  <c r="L1975" i="3"/>
  <c r="K1975" i="3"/>
  <c r="O1974" i="3"/>
  <c r="N1974" i="3"/>
  <c r="M1974" i="3"/>
  <c r="L1974" i="3"/>
  <c r="K1974" i="3"/>
  <c r="O1973" i="3"/>
  <c r="N1973" i="3"/>
  <c r="M1973" i="3"/>
  <c r="L1973" i="3"/>
  <c r="K1973" i="3"/>
  <c r="O1972" i="3"/>
  <c r="N1972" i="3"/>
  <c r="M1972" i="3"/>
  <c r="L1972" i="3"/>
  <c r="K1972" i="3"/>
  <c r="O1971" i="3"/>
  <c r="N1971" i="3"/>
  <c r="M1971" i="3"/>
  <c r="L1971" i="3"/>
  <c r="K1971" i="3"/>
  <c r="O1970" i="3"/>
  <c r="N1970" i="3"/>
  <c r="M1970" i="3"/>
  <c r="L1970" i="3"/>
  <c r="K1970" i="3"/>
  <c r="O1969" i="3"/>
  <c r="N1969" i="3"/>
  <c r="M1969" i="3"/>
  <c r="L1969" i="3"/>
  <c r="K1969" i="3"/>
  <c r="O1968" i="3"/>
  <c r="N1968" i="3"/>
  <c r="M1968" i="3"/>
  <c r="L1968" i="3"/>
  <c r="K1968" i="3"/>
  <c r="O1967" i="3"/>
  <c r="N1967" i="3"/>
  <c r="M1967" i="3"/>
  <c r="L1967" i="3"/>
  <c r="K1967" i="3"/>
  <c r="O1966" i="3"/>
  <c r="N1966" i="3"/>
  <c r="M1966" i="3"/>
  <c r="L1966" i="3"/>
  <c r="K1966" i="3"/>
  <c r="O1965" i="3"/>
  <c r="N1965" i="3"/>
  <c r="M1965" i="3"/>
  <c r="L1965" i="3"/>
  <c r="K1965" i="3"/>
  <c r="O1964" i="3"/>
  <c r="N1964" i="3"/>
  <c r="M1964" i="3"/>
  <c r="L1964" i="3"/>
  <c r="K1964" i="3"/>
  <c r="O1963" i="3"/>
  <c r="N1963" i="3"/>
  <c r="M1963" i="3"/>
  <c r="L1963" i="3"/>
  <c r="K1963" i="3"/>
  <c r="O1962" i="3"/>
  <c r="N1962" i="3"/>
  <c r="M1962" i="3"/>
  <c r="L1962" i="3"/>
  <c r="K1962" i="3"/>
  <c r="O1961" i="3"/>
  <c r="N1961" i="3"/>
  <c r="M1961" i="3"/>
  <c r="L1961" i="3"/>
  <c r="K1961" i="3"/>
  <c r="O1960" i="3"/>
  <c r="N1960" i="3"/>
  <c r="M1960" i="3"/>
  <c r="L1960" i="3"/>
  <c r="K1960" i="3"/>
  <c r="O1959" i="3"/>
  <c r="N1959" i="3"/>
  <c r="M1959" i="3"/>
  <c r="L1959" i="3"/>
  <c r="K1959" i="3"/>
  <c r="O1958" i="3"/>
  <c r="N1958" i="3"/>
  <c r="M1958" i="3"/>
  <c r="L1958" i="3"/>
  <c r="K1958" i="3"/>
  <c r="O1957" i="3"/>
  <c r="N1957" i="3"/>
  <c r="M1957" i="3"/>
  <c r="L1957" i="3"/>
  <c r="K1957" i="3"/>
  <c r="O1956" i="3"/>
  <c r="N1956" i="3"/>
  <c r="M1956" i="3"/>
  <c r="L1956" i="3"/>
  <c r="K1956" i="3"/>
  <c r="O1955" i="3"/>
  <c r="N1955" i="3"/>
  <c r="M1955" i="3"/>
  <c r="L1955" i="3"/>
  <c r="K1955" i="3"/>
  <c r="O1954" i="3"/>
  <c r="N1954" i="3"/>
  <c r="M1954" i="3"/>
  <c r="L1954" i="3"/>
  <c r="K1954" i="3"/>
  <c r="O1953" i="3"/>
  <c r="N1953" i="3"/>
  <c r="M1953" i="3"/>
  <c r="L1953" i="3"/>
  <c r="K1953" i="3"/>
  <c r="O1952" i="3"/>
  <c r="N1952" i="3"/>
  <c r="M1952" i="3"/>
  <c r="L1952" i="3"/>
  <c r="K1952" i="3"/>
  <c r="O1951" i="3"/>
  <c r="N1951" i="3"/>
  <c r="M1951" i="3"/>
  <c r="L1951" i="3"/>
  <c r="K1951" i="3"/>
  <c r="O1950" i="3"/>
  <c r="N1950" i="3"/>
  <c r="M1950" i="3"/>
  <c r="L1950" i="3"/>
  <c r="K1950" i="3"/>
  <c r="O1949" i="3"/>
  <c r="N1949" i="3"/>
  <c r="M1949" i="3"/>
  <c r="L1949" i="3"/>
  <c r="K1949" i="3"/>
  <c r="O1948" i="3"/>
  <c r="N1948" i="3"/>
  <c r="M1948" i="3"/>
  <c r="L1948" i="3"/>
  <c r="K1948" i="3"/>
  <c r="O1947" i="3"/>
  <c r="N1947" i="3"/>
  <c r="M1947" i="3"/>
  <c r="L1947" i="3"/>
  <c r="K1947" i="3"/>
  <c r="O1946" i="3"/>
  <c r="N1946" i="3"/>
  <c r="M1946" i="3"/>
  <c r="L1946" i="3"/>
  <c r="K1946" i="3"/>
  <c r="O1945" i="3"/>
  <c r="N1945" i="3"/>
  <c r="M1945" i="3"/>
  <c r="L1945" i="3"/>
  <c r="K1945" i="3"/>
  <c r="O1944" i="3"/>
  <c r="N1944" i="3"/>
  <c r="M1944" i="3"/>
  <c r="L1944" i="3"/>
  <c r="K1944" i="3"/>
  <c r="O1943" i="3"/>
  <c r="N1943" i="3"/>
  <c r="M1943" i="3"/>
  <c r="L1943" i="3"/>
  <c r="K1943" i="3"/>
  <c r="O1942" i="3"/>
  <c r="N1942" i="3"/>
  <c r="M1942" i="3"/>
  <c r="L1942" i="3"/>
  <c r="K1942" i="3"/>
  <c r="O1941" i="3"/>
  <c r="N1941" i="3"/>
  <c r="M1941" i="3"/>
  <c r="L1941" i="3"/>
  <c r="K1941" i="3"/>
  <c r="O1940" i="3"/>
  <c r="N1940" i="3"/>
  <c r="M1940" i="3"/>
  <c r="L1940" i="3"/>
  <c r="K1940" i="3"/>
  <c r="O1939" i="3"/>
  <c r="N1939" i="3"/>
  <c r="M1939" i="3"/>
  <c r="L1939" i="3"/>
  <c r="K1939" i="3"/>
  <c r="O1938" i="3"/>
  <c r="N1938" i="3"/>
  <c r="M1938" i="3"/>
  <c r="L1938" i="3"/>
  <c r="K1938" i="3"/>
  <c r="O1937" i="3"/>
  <c r="N1937" i="3"/>
  <c r="M1937" i="3"/>
  <c r="L1937" i="3"/>
  <c r="K1937" i="3"/>
  <c r="O1936" i="3"/>
  <c r="N1936" i="3"/>
  <c r="M1936" i="3"/>
  <c r="L1936" i="3"/>
  <c r="K1936" i="3"/>
  <c r="O1935" i="3"/>
  <c r="N1935" i="3"/>
  <c r="M1935" i="3"/>
  <c r="L1935" i="3"/>
  <c r="K1935" i="3"/>
  <c r="O1934" i="3"/>
  <c r="N1934" i="3"/>
  <c r="M1934" i="3"/>
  <c r="L1934" i="3"/>
  <c r="K1934" i="3"/>
  <c r="O1933" i="3"/>
  <c r="N1933" i="3"/>
  <c r="M1933" i="3"/>
  <c r="L1933" i="3"/>
  <c r="K1933" i="3"/>
  <c r="O1932" i="3"/>
  <c r="N1932" i="3"/>
  <c r="M1932" i="3"/>
  <c r="L1932" i="3"/>
  <c r="K1932" i="3"/>
  <c r="O1931" i="3"/>
  <c r="N1931" i="3"/>
  <c r="M1931" i="3"/>
  <c r="L1931" i="3"/>
  <c r="K1931" i="3"/>
  <c r="O1930" i="3"/>
  <c r="N1930" i="3"/>
  <c r="M1930" i="3"/>
  <c r="L1930" i="3"/>
  <c r="K1930" i="3"/>
  <c r="O1929" i="3"/>
  <c r="N1929" i="3"/>
  <c r="M1929" i="3"/>
  <c r="L1929" i="3"/>
  <c r="K1929" i="3"/>
  <c r="O1928" i="3"/>
  <c r="N1928" i="3"/>
  <c r="M1928" i="3"/>
  <c r="L1928" i="3"/>
  <c r="K1928" i="3"/>
  <c r="O1927" i="3"/>
  <c r="N1927" i="3"/>
  <c r="M1927" i="3"/>
  <c r="L1927" i="3"/>
  <c r="K1927" i="3"/>
  <c r="O1926" i="3"/>
  <c r="N1926" i="3"/>
  <c r="M1926" i="3"/>
  <c r="L1926" i="3"/>
  <c r="K1926" i="3"/>
  <c r="O1925" i="3"/>
  <c r="N1925" i="3"/>
  <c r="M1925" i="3"/>
  <c r="L1925" i="3"/>
  <c r="K1925" i="3"/>
  <c r="O1924" i="3"/>
  <c r="N1924" i="3"/>
  <c r="M1924" i="3"/>
  <c r="L1924" i="3"/>
  <c r="K1924" i="3"/>
  <c r="O1923" i="3"/>
  <c r="N1923" i="3"/>
  <c r="M1923" i="3"/>
  <c r="L1923" i="3"/>
  <c r="K1923" i="3"/>
  <c r="O1922" i="3"/>
  <c r="N1922" i="3"/>
  <c r="M1922" i="3"/>
  <c r="L1922" i="3"/>
  <c r="K1922" i="3"/>
  <c r="O1921" i="3"/>
  <c r="N1921" i="3"/>
  <c r="M1921" i="3"/>
  <c r="L1921" i="3"/>
  <c r="K1921" i="3"/>
  <c r="O1920" i="3"/>
  <c r="N1920" i="3"/>
  <c r="M1920" i="3"/>
  <c r="L1920" i="3"/>
  <c r="K1920" i="3"/>
  <c r="O1919" i="3"/>
  <c r="N1919" i="3"/>
  <c r="M1919" i="3"/>
  <c r="L1919" i="3"/>
  <c r="K1919" i="3"/>
  <c r="O1918" i="3"/>
  <c r="N1918" i="3"/>
  <c r="M1918" i="3"/>
  <c r="L1918" i="3"/>
  <c r="K1918" i="3"/>
  <c r="O1917" i="3"/>
  <c r="N1917" i="3"/>
  <c r="M1917" i="3"/>
  <c r="L1917" i="3"/>
  <c r="K1917" i="3"/>
  <c r="O1916" i="3"/>
  <c r="N1916" i="3"/>
  <c r="M1916" i="3"/>
  <c r="L1916" i="3"/>
  <c r="K1916" i="3"/>
  <c r="O1915" i="3"/>
  <c r="N1915" i="3"/>
  <c r="M1915" i="3"/>
  <c r="L1915" i="3"/>
  <c r="K1915" i="3"/>
  <c r="O1914" i="3"/>
  <c r="N1914" i="3"/>
  <c r="M1914" i="3"/>
  <c r="L1914" i="3"/>
  <c r="K1914" i="3"/>
  <c r="O1913" i="3"/>
  <c r="N1913" i="3"/>
  <c r="M1913" i="3"/>
  <c r="L1913" i="3"/>
  <c r="K1913" i="3"/>
  <c r="O1912" i="3"/>
  <c r="N1912" i="3"/>
  <c r="M1912" i="3"/>
  <c r="L1912" i="3"/>
  <c r="K1912" i="3"/>
  <c r="O1911" i="3"/>
  <c r="N1911" i="3"/>
  <c r="M1911" i="3"/>
  <c r="L1911" i="3"/>
  <c r="K1911" i="3"/>
  <c r="O1910" i="3"/>
  <c r="N1910" i="3"/>
  <c r="M1910" i="3"/>
  <c r="L1910" i="3"/>
  <c r="K1910" i="3"/>
  <c r="O1909" i="3"/>
  <c r="N1909" i="3"/>
  <c r="M1909" i="3"/>
  <c r="L1909" i="3"/>
  <c r="K1909" i="3"/>
  <c r="O1908" i="3"/>
  <c r="N1908" i="3"/>
  <c r="M1908" i="3"/>
  <c r="L1908" i="3"/>
  <c r="K1908" i="3"/>
  <c r="O1907" i="3"/>
  <c r="N1907" i="3"/>
  <c r="M1907" i="3"/>
  <c r="L1907" i="3"/>
  <c r="K1907" i="3"/>
  <c r="O1906" i="3"/>
  <c r="N1906" i="3"/>
  <c r="M1906" i="3"/>
  <c r="L1906" i="3"/>
  <c r="K1906" i="3"/>
  <c r="O1905" i="3"/>
  <c r="N1905" i="3"/>
  <c r="M1905" i="3"/>
  <c r="L1905" i="3"/>
  <c r="K1905" i="3"/>
  <c r="O1904" i="3"/>
  <c r="N1904" i="3"/>
  <c r="M1904" i="3"/>
  <c r="L1904" i="3"/>
  <c r="K1904" i="3"/>
  <c r="O1903" i="3"/>
  <c r="N1903" i="3"/>
  <c r="M1903" i="3"/>
  <c r="L1903" i="3"/>
  <c r="K1903" i="3"/>
  <c r="O1902" i="3"/>
  <c r="N1902" i="3"/>
  <c r="M1902" i="3"/>
  <c r="L1902" i="3"/>
  <c r="K1902" i="3"/>
  <c r="O1901" i="3"/>
  <c r="N1901" i="3"/>
  <c r="M1901" i="3"/>
  <c r="L1901" i="3"/>
  <c r="K1901" i="3"/>
  <c r="O1900" i="3"/>
  <c r="N1900" i="3"/>
  <c r="M1900" i="3"/>
  <c r="L1900" i="3"/>
  <c r="K1900" i="3"/>
  <c r="O1899" i="3"/>
  <c r="N1899" i="3"/>
  <c r="M1899" i="3"/>
  <c r="L1899" i="3"/>
  <c r="K1899" i="3"/>
  <c r="O1898" i="3"/>
  <c r="N1898" i="3"/>
  <c r="M1898" i="3"/>
  <c r="L1898" i="3"/>
  <c r="K1898" i="3"/>
  <c r="O1897" i="3"/>
  <c r="N1897" i="3"/>
  <c r="M1897" i="3"/>
  <c r="L1897" i="3"/>
  <c r="K1897" i="3"/>
  <c r="O1896" i="3"/>
  <c r="N1896" i="3"/>
  <c r="M1896" i="3"/>
  <c r="L1896" i="3"/>
  <c r="K1896" i="3"/>
  <c r="O1895" i="3"/>
  <c r="N1895" i="3"/>
  <c r="M1895" i="3"/>
  <c r="L1895" i="3"/>
  <c r="K1895" i="3"/>
  <c r="O1894" i="3"/>
  <c r="N1894" i="3"/>
  <c r="M1894" i="3"/>
  <c r="L1894" i="3"/>
  <c r="K1894" i="3"/>
  <c r="O1893" i="3"/>
  <c r="N1893" i="3"/>
  <c r="M1893" i="3"/>
  <c r="L1893" i="3"/>
  <c r="K1893" i="3"/>
  <c r="O1892" i="3"/>
  <c r="N1892" i="3"/>
  <c r="M1892" i="3"/>
  <c r="L1892" i="3"/>
  <c r="K1892" i="3"/>
  <c r="O1891" i="3"/>
  <c r="N1891" i="3"/>
  <c r="M1891" i="3"/>
  <c r="L1891" i="3"/>
  <c r="K1891" i="3"/>
  <c r="O1890" i="3"/>
  <c r="N1890" i="3"/>
  <c r="M1890" i="3"/>
  <c r="L1890" i="3"/>
  <c r="K1890" i="3"/>
  <c r="O1889" i="3"/>
  <c r="N1889" i="3"/>
  <c r="M1889" i="3"/>
  <c r="L1889" i="3"/>
  <c r="K1889" i="3"/>
  <c r="O1888" i="3"/>
  <c r="N1888" i="3"/>
  <c r="M1888" i="3"/>
  <c r="L1888" i="3"/>
  <c r="K1888" i="3"/>
  <c r="O1887" i="3"/>
  <c r="N1887" i="3"/>
  <c r="M1887" i="3"/>
  <c r="L1887" i="3"/>
  <c r="K1887" i="3"/>
  <c r="O1886" i="3"/>
  <c r="N1886" i="3"/>
  <c r="M1886" i="3"/>
  <c r="L1886" i="3"/>
  <c r="K1886" i="3"/>
  <c r="O1885" i="3"/>
  <c r="N1885" i="3"/>
  <c r="M1885" i="3"/>
  <c r="L1885" i="3"/>
  <c r="K1885" i="3"/>
  <c r="O1884" i="3"/>
  <c r="N1884" i="3"/>
  <c r="M1884" i="3"/>
  <c r="L1884" i="3"/>
  <c r="K1884" i="3"/>
  <c r="O1883" i="3"/>
  <c r="N1883" i="3"/>
  <c r="M1883" i="3"/>
  <c r="L1883" i="3"/>
  <c r="K1883" i="3"/>
  <c r="O1882" i="3"/>
  <c r="N1882" i="3"/>
  <c r="M1882" i="3"/>
  <c r="L1882" i="3"/>
  <c r="K1882" i="3"/>
  <c r="O1881" i="3"/>
  <c r="N1881" i="3"/>
  <c r="M1881" i="3"/>
  <c r="L1881" i="3"/>
  <c r="K1881" i="3"/>
  <c r="O1880" i="3"/>
  <c r="N1880" i="3"/>
  <c r="M1880" i="3"/>
  <c r="L1880" i="3"/>
  <c r="K1880" i="3"/>
  <c r="O1879" i="3"/>
  <c r="N1879" i="3"/>
  <c r="M1879" i="3"/>
  <c r="L1879" i="3"/>
  <c r="K1879" i="3"/>
  <c r="O1878" i="3"/>
  <c r="N1878" i="3"/>
  <c r="M1878" i="3"/>
  <c r="L1878" i="3"/>
  <c r="K1878" i="3"/>
  <c r="O1877" i="3"/>
  <c r="N1877" i="3"/>
  <c r="M1877" i="3"/>
  <c r="L1877" i="3"/>
  <c r="K1877" i="3"/>
  <c r="O1876" i="3"/>
  <c r="N1876" i="3"/>
  <c r="M1876" i="3"/>
  <c r="L1876" i="3"/>
  <c r="K1876" i="3"/>
  <c r="O1875" i="3"/>
  <c r="N1875" i="3"/>
  <c r="M1875" i="3"/>
  <c r="L1875" i="3"/>
  <c r="K1875" i="3"/>
  <c r="O1874" i="3"/>
  <c r="N1874" i="3"/>
  <c r="M1874" i="3"/>
  <c r="L1874" i="3"/>
  <c r="K1874" i="3"/>
  <c r="O1873" i="3"/>
  <c r="N1873" i="3"/>
  <c r="M1873" i="3"/>
  <c r="L1873" i="3"/>
  <c r="K1873" i="3"/>
  <c r="O1872" i="3"/>
  <c r="N1872" i="3"/>
  <c r="M1872" i="3"/>
  <c r="L1872" i="3"/>
  <c r="K1872" i="3"/>
  <c r="O1871" i="3"/>
  <c r="N1871" i="3"/>
  <c r="M1871" i="3"/>
  <c r="L1871" i="3"/>
  <c r="K1871" i="3"/>
  <c r="O1870" i="3"/>
  <c r="N1870" i="3"/>
  <c r="M1870" i="3"/>
  <c r="L1870" i="3"/>
  <c r="K1870" i="3"/>
  <c r="O1869" i="3"/>
  <c r="N1869" i="3"/>
  <c r="M1869" i="3"/>
  <c r="L1869" i="3"/>
  <c r="K1869" i="3"/>
  <c r="O1868" i="3"/>
  <c r="N1868" i="3"/>
  <c r="M1868" i="3"/>
  <c r="L1868" i="3"/>
  <c r="K1868" i="3"/>
  <c r="O1867" i="3"/>
  <c r="N1867" i="3"/>
  <c r="M1867" i="3"/>
  <c r="L1867" i="3"/>
  <c r="K1867" i="3"/>
  <c r="O1866" i="3"/>
  <c r="N1866" i="3"/>
  <c r="M1866" i="3"/>
  <c r="L1866" i="3"/>
  <c r="K1866" i="3"/>
  <c r="O1865" i="3"/>
  <c r="N1865" i="3"/>
  <c r="M1865" i="3"/>
  <c r="L1865" i="3"/>
  <c r="K1865" i="3"/>
  <c r="O1864" i="3"/>
  <c r="N1864" i="3"/>
  <c r="M1864" i="3"/>
  <c r="L1864" i="3"/>
  <c r="K1864" i="3"/>
  <c r="O1863" i="3"/>
  <c r="N1863" i="3"/>
  <c r="M1863" i="3"/>
  <c r="L1863" i="3"/>
  <c r="K1863" i="3"/>
  <c r="O1862" i="3"/>
  <c r="N1862" i="3"/>
  <c r="M1862" i="3"/>
  <c r="L1862" i="3"/>
  <c r="K1862" i="3"/>
  <c r="O1861" i="3"/>
  <c r="N1861" i="3"/>
  <c r="M1861" i="3"/>
  <c r="L1861" i="3"/>
  <c r="K1861" i="3"/>
  <c r="O1860" i="3"/>
  <c r="N1860" i="3"/>
  <c r="M1860" i="3"/>
  <c r="L1860" i="3"/>
  <c r="K1860" i="3"/>
  <c r="O1859" i="3"/>
  <c r="N1859" i="3"/>
  <c r="M1859" i="3"/>
  <c r="L1859" i="3"/>
  <c r="K1859" i="3"/>
  <c r="O1858" i="3"/>
  <c r="N1858" i="3"/>
  <c r="M1858" i="3"/>
  <c r="L1858" i="3"/>
  <c r="K1858" i="3"/>
  <c r="O1857" i="3"/>
  <c r="N1857" i="3"/>
  <c r="M1857" i="3"/>
  <c r="L1857" i="3"/>
  <c r="K1857" i="3"/>
  <c r="O1856" i="3"/>
  <c r="N1856" i="3"/>
  <c r="M1856" i="3"/>
  <c r="L1856" i="3"/>
  <c r="K1856" i="3"/>
  <c r="O1855" i="3"/>
  <c r="N1855" i="3"/>
  <c r="M1855" i="3"/>
  <c r="L1855" i="3"/>
  <c r="K1855" i="3"/>
  <c r="O1854" i="3"/>
  <c r="N1854" i="3"/>
  <c r="M1854" i="3"/>
  <c r="L1854" i="3"/>
  <c r="K1854" i="3"/>
  <c r="O1853" i="3"/>
  <c r="N1853" i="3"/>
  <c r="M1853" i="3"/>
  <c r="L1853" i="3"/>
  <c r="K1853" i="3"/>
  <c r="O1852" i="3"/>
  <c r="N1852" i="3"/>
  <c r="M1852" i="3"/>
  <c r="L1852" i="3"/>
  <c r="K1852" i="3"/>
  <c r="O1851" i="3"/>
  <c r="N1851" i="3"/>
  <c r="M1851" i="3"/>
  <c r="L1851" i="3"/>
  <c r="K1851" i="3"/>
  <c r="O1850" i="3"/>
  <c r="N1850" i="3"/>
  <c r="M1850" i="3"/>
  <c r="L1850" i="3"/>
  <c r="K1850" i="3"/>
  <c r="O1849" i="3"/>
  <c r="N1849" i="3"/>
  <c r="M1849" i="3"/>
  <c r="L1849" i="3"/>
  <c r="K1849" i="3"/>
  <c r="O1848" i="3"/>
  <c r="N1848" i="3"/>
  <c r="M1848" i="3"/>
  <c r="L1848" i="3"/>
  <c r="K1848" i="3"/>
  <c r="O1847" i="3"/>
  <c r="N1847" i="3"/>
  <c r="M1847" i="3"/>
  <c r="L1847" i="3"/>
  <c r="K1847" i="3"/>
  <c r="O1846" i="3"/>
  <c r="N1846" i="3"/>
  <c r="M1846" i="3"/>
  <c r="L1846" i="3"/>
  <c r="K1846" i="3"/>
  <c r="O1845" i="3"/>
  <c r="N1845" i="3"/>
  <c r="M1845" i="3"/>
  <c r="L1845" i="3"/>
  <c r="K1845" i="3"/>
  <c r="O1844" i="3"/>
  <c r="N1844" i="3"/>
  <c r="M1844" i="3"/>
  <c r="L1844" i="3"/>
  <c r="K1844" i="3"/>
  <c r="O1843" i="3"/>
  <c r="N1843" i="3"/>
  <c r="M1843" i="3"/>
  <c r="L1843" i="3"/>
  <c r="K1843" i="3"/>
  <c r="O1842" i="3"/>
  <c r="N1842" i="3"/>
  <c r="M1842" i="3"/>
  <c r="L1842" i="3"/>
  <c r="K1842" i="3"/>
  <c r="O1841" i="3"/>
  <c r="N1841" i="3"/>
  <c r="M1841" i="3"/>
  <c r="L1841" i="3"/>
  <c r="K1841" i="3"/>
  <c r="O1840" i="3"/>
  <c r="N1840" i="3"/>
  <c r="M1840" i="3"/>
  <c r="L1840" i="3"/>
  <c r="K1840" i="3"/>
  <c r="O1839" i="3"/>
  <c r="N1839" i="3"/>
  <c r="M1839" i="3"/>
  <c r="L1839" i="3"/>
  <c r="K1839" i="3"/>
  <c r="O1838" i="3"/>
  <c r="N1838" i="3"/>
  <c r="M1838" i="3"/>
  <c r="L1838" i="3"/>
  <c r="K1838" i="3"/>
  <c r="O1837" i="3"/>
  <c r="N1837" i="3"/>
  <c r="M1837" i="3"/>
  <c r="L1837" i="3"/>
  <c r="K1837" i="3"/>
  <c r="O1836" i="3"/>
  <c r="N1836" i="3"/>
  <c r="M1836" i="3"/>
  <c r="L1836" i="3"/>
  <c r="K1836" i="3"/>
  <c r="O1835" i="3"/>
  <c r="N1835" i="3"/>
  <c r="M1835" i="3"/>
  <c r="L1835" i="3"/>
  <c r="K1835" i="3"/>
  <c r="O1834" i="3"/>
  <c r="N1834" i="3"/>
  <c r="M1834" i="3"/>
  <c r="L1834" i="3"/>
  <c r="K1834" i="3"/>
  <c r="O1833" i="3"/>
  <c r="N1833" i="3"/>
  <c r="M1833" i="3"/>
  <c r="L1833" i="3"/>
  <c r="K1833" i="3"/>
  <c r="O1832" i="3"/>
  <c r="N1832" i="3"/>
  <c r="M1832" i="3"/>
  <c r="L1832" i="3"/>
  <c r="K1832" i="3"/>
  <c r="O1831" i="3"/>
  <c r="N1831" i="3"/>
  <c r="M1831" i="3"/>
  <c r="L1831" i="3"/>
  <c r="K1831" i="3"/>
  <c r="O1830" i="3"/>
  <c r="N1830" i="3"/>
  <c r="M1830" i="3"/>
  <c r="L1830" i="3"/>
  <c r="K1830" i="3"/>
  <c r="O1829" i="3"/>
  <c r="N1829" i="3"/>
  <c r="M1829" i="3"/>
  <c r="L1829" i="3"/>
  <c r="K1829" i="3"/>
  <c r="O1828" i="3"/>
  <c r="N1828" i="3"/>
  <c r="M1828" i="3"/>
  <c r="L1828" i="3"/>
  <c r="K1828" i="3"/>
  <c r="O1827" i="3"/>
  <c r="N1827" i="3"/>
  <c r="M1827" i="3"/>
  <c r="L1827" i="3"/>
  <c r="K1827" i="3"/>
  <c r="O1826" i="3"/>
  <c r="N1826" i="3"/>
  <c r="M1826" i="3"/>
  <c r="L1826" i="3"/>
  <c r="K1826" i="3"/>
  <c r="O1825" i="3"/>
  <c r="N1825" i="3"/>
  <c r="M1825" i="3"/>
  <c r="L1825" i="3"/>
  <c r="K1825" i="3"/>
  <c r="O1824" i="3"/>
  <c r="N1824" i="3"/>
  <c r="M1824" i="3"/>
  <c r="L1824" i="3"/>
  <c r="K1824" i="3"/>
  <c r="O1823" i="3"/>
  <c r="N1823" i="3"/>
  <c r="M1823" i="3"/>
  <c r="L1823" i="3"/>
  <c r="K1823" i="3"/>
  <c r="O1822" i="3"/>
  <c r="N1822" i="3"/>
  <c r="M1822" i="3"/>
  <c r="L1822" i="3"/>
  <c r="K1822" i="3"/>
  <c r="O1821" i="3"/>
  <c r="N1821" i="3"/>
  <c r="M1821" i="3"/>
  <c r="L1821" i="3"/>
  <c r="K1821" i="3"/>
  <c r="O1820" i="3"/>
  <c r="N1820" i="3"/>
  <c r="M1820" i="3"/>
  <c r="L1820" i="3"/>
  <c r="K1820" i="3"/>
  <c r="O1819" i="3"/>
  <c r="N1819" i="3"/>
  <c r="M1819" i="3"/>
  <c r="L1819" i="3"/>
  <c r="K1819" i="3"/>
  <c r="O1818" i="3"/>
  <c r="N1818" i="3"/>
  <c r="M1818" i="3"/>
  <c r="L1818" i="3"/>
  <c r="K1818" i="3"/>
  <c r="O1817" i="3"/>
  <c r="N1817" i="3"/>
  <c r="M1817" i="3"/>
  <c r="L1817" i="3"/>
  <c r="K1817" i="3"/>
  <c r="O1816" i="3"/>
  <c r="N1816" i="3"/>
  <c r="M1816" i="3"/>
  <c r="L1816" i="3"/>
  <c r="K1816" i="3"/>
  <c r="O1815" i="3"/>
  <c r="N1815" i="3"/>
  <c r="M1815" i="3"/>
  <c r="L1815" i="3"/>
  <c r="K1815" i="3"/>
  <c r="O1814" i="3"/>
  <c r="N1814" i="3"/>
  <c r="M1814" i="3"/>
  <c r="L1814" i="3"/>
  <c r="K1814" i="3"/>
  <c r="O1813" i="3"/>
  <c r="N1813" i="3"/>
  <c r="M1813" i="3"/>
  <c r="L1813" i="3"/>
  <c r="K1813" i="3"/>
  <c r="O1812" i="3"/>
  <c r="N1812" i="3"/>
  <c r="M1812" i="3"/>
  <c r="L1812" i="3"/>
  <c r="K1812" i="3"/>
  <c r="O1811" i="3"/>
  <c r="N1811" i="3"/>
  <c r="M1811" i="3"/>
  <c r="L1811" i="3"/>
  <c r="K1811" i="3"/>
  <c r="O1810" i="3"/>
  <c r="N1810" i="3"/>
  <c r="M1810" i="3"/>
  <c r="L1810" i="3"/>
  <c r="K1810" i="3"/>
  <c r="O1809" i="3"/>
  <c r="N1809" i="3"/>
  <c r="M1809" i="3"/>
  <c r="L1809" i="3"/>
  <c r="K1809" i="3"/>
  <c r="O1808" i="3"/>
  <c r="N1808" i="3"/>
  <c r="M1808" i="3"/>
  <c r="L1808" i="3"/>
  <c r="K1808" i="3"/>
  <c r="O1807" i="3"/>
  <c r="N1807" i="3"/>
  <c r="M1807" i="3"/>
  <c r="L1807" i="3"/>
  <c r="K1807" i="3"/>
  <c r="O1806" i="3"/>
  <c r="N1806" i="3"/>
  <c r="M1806" i="3"/>
  <c r="L1806" i="3"/>
  <c r="K1806" i="3"/>
  <c r="O1805" i="3"/>
  <c r="N1805" i="3"/>
  <c r="M1805" i="3"/>
  <c r="L1805" i="3"/>
  <c r="K1805" i="3"/>
  <c r="O1804" i="3"/>
  <c r="N1804" i="3"/>
  <c r="M1804" i="3"/>
  <c r="L1804" i="3"/>
  <c r="K1804" i="3"/>
  <c r="O1803" i="3"/>
  <c r="N1803" i="3"/>
  <c r="M1803" i="3"/>
  <c r="L1803" i="3"/>
  <c r="K1803" i="3"/>
  <c r="O1802" i="3"/>
  <c r="N1802" i="3"/>
  <c r="M1802" i="3"/>
  <c r="L1802" i="3"/>
  <c r="K1802" i="3"/>
  <c r="O1801" i="3"/>
  <c r="N1801" i="3"/>
  <c r="M1801" i="3"/>
  <c r="L1801" i="3"/>
  <c r="K1801" i="3"/>
  <c r="O1800" i="3"/>
  <c r="N1800" i="3"/>
  <c r="M1800" i="3"/>
  <c r="L1800" i="3"/>
  <c r="K1800" i="3"/>
  <c r="O1799" i="3"/>
  <c r="N1799" i="3"/>
  <c r="M1799" i="3"/>
  <c r="L1799" i="3"/>
  <c r="K1799" i="3"/>
  <c r="O1798" i="3"/>
  <c r="N1798" i="3"/>
  <c r="M1798" i="3"/>
  <c r="L1798" i="3"/>
  <c r="K1798" i="3"/>
  <c r="O1797" i="3"/>
  <c r="N1797" i="3"/>
  <c r="M1797" i="3"/>
  <c r="L1797" i="3"/>
  <c r="K1797" i="3"/>
  <c r="O1796" i="3"/>
  <c r="N1796" i="3"/>
  <c r="M1796" i="3"/>
  <c r="L1796" i="3"/>
  <c r="K1796" i="3"/>
  <c r="O1795" i="3"/>
  <c r="N1795" i="3"/>
  <c r="M1795" i="3"/>
  <c r="L1795" i="3"/>
  <c r="K1795" i="3"/>
  <c r="O1794" i="3"/>
  <c r="N1794" i="3"/>
  <c r="M1794" i="3"/>
  <c r="L1794" i="3"/>
  <c r="K1794" i="3"/>
  <c r="O1793" i="3"/>
  <c r="N1793" i="3"/>
  <c r="M1793" i="3"/>
  <c r="L1793" i="3"/>
  <c r="K1793" i="3"/>
  <c r="O1792" i="3"/>
  <c r="N1792" i="3"/>
  <c r="M1792" i="3"/>
  <c r="L1792" i="3"/>
  <c r="K1792" i="3"/>
  <c r="O1791" i="3"/>
  <c r="N1791" i="3"/>
  <c r="M1791" i="3"/>
  <c r="L1791" i="3"/>
  <c r="K1791" i="3"/>
  <c r="O1790" i="3"/>
  <c r="N1790" i="3"/>
  <c r="M1790" i="3"/>
  <c r="L1790" i="3"/>
  <c r="K1790" i="3"/>
  <c r="O1789" i="3"/>
  <c r="N1789" i="3"/>
  <c r="M1789" i="3"/>
  <c r="L1789" i="3"/>
  <c r="K1789" i="3"/>
  <c r="O1788" i="3"/>
  <c r="N1788" i="3"/>
  <c r="M1788" i="3"/>
  <c r="L1788" i="3"/>
  <c r="K1788" i="3"/>
  <c r="O1787" i="3"/>
  <c r="N1787" i="3"/>
  <c r="M1787" i="3"/>
  <c r="L1787" i="3"/>
  <c r="K1787" i="3"/>
  <c r="O1786" i="3"/>
  <c r="N1786" i="3"/>
  <c r="M1786" i="3"/>
  <c r="L1786" i="3"/>
  <c r="K1786" i="3"/>
  <c r="O1785" i="3"/>
  <c r="N1785" i="3"/>
  <c r="M1785" i="3"/>
  <c r="L1785" i="3"/>
  <c r="K1785" i="3"/>
  <c r="O1784" i="3"/>
  <c r="N1784" i="3"/>
  <c r="M1784" i="3"/>
  <c r="L1784" i="3"/>
  <c r="K1784" i="3"/>
  <c r="O1783" i="3"/>
  <c r="N1783" i="3"/>
  <c r="M1783" i="3"/>
  <c r="L1783" i="3"/>
  <c r="K1783" i="3"/>
  <c r="O1782" i="3"/>
  <c r="N1782" i="3"/>
  <c r="M1782" i="3"/>
  <c r="L1782" i="3"/>
  <c r="K1782" i="3"/>
  <c r="O1781" i="3"/>
  <c r="N1781" i="3"/>
  <c r="M1781" i="3"/>
  <c r="L1781" i="3"/>
  <c r="K1781" i="3"/>
  <c r="O1780" i="3"/>
  <c r="N1780" i="3"/>
  <c r="M1780" i="3"/>
  <c r="L1780" i="3"/>
  <c r="K1780" i="3"/>
  <c r="O1779" i="3"/>
  <c r="N1779" i="3"/>
  <c r="M1779" i="3"/>
  <c r="L1779" i="3"/>
  <c r="K1779" i="3"/>
  <c r="O1778" i="3"/>
  <c r="N1778" i="3"/>
  <c r="M1778" i="3"/>
  <c r="L1778" i="3"/>
  <c r="K1778" i="3"/>
  <c r="O1777" i="3"/>
  <c r="N1777" i="3"/>
  <c r="M1777" i="3"/>
  <c r="L1777" i="3"/>
  <c r="K1777" i="3"/>
  <c r="O1776" i="3"/>
  <c r="N1776" i="3"/>
  <c r="M1776" i="3"/>
  <c r="L1776" i="3"/>
  <c r="K1776" i="3"/>
  <c r="O1775" i="3"/>
  <c r="N1775" i="3"/>
  <c r="M1775" i="3"/>
  <c r="L1775" i="3"/>
  <c r="K1775" i="3"/>
  <c r="O1774" i="3"/>
  <c r="N1774" i="3"/>
  <c r="M1774" i="3"/>
  <c r="L1774" i="3"/>
  <c r="K1774" i="3"/>
  <c r="O1773" i="3"/>
  <c r="N1773" i="3"/>
  <c r="M1773" i="3"/>
  <c r="L1773" i="3"/>
  <c r="K1773" i="3"/>
  <c r="O1772" i="3"/>
  <c r="N1772" i="3"/>
  <c r="M1772" i="3"/>
  <c r="L1772" i="3"/>
  <c r="K1772" i="3"/>
  <c r="O1771" i="3"/>
  <c r="N1771" i="3"/>
  <c r="M1771" i="3"/>
  <c r="L1771" i="3"/>
  <c r="K1771" i="3"/>
  <c r="O1770" i="3"/>
  <c r="N1770" i="3"/>
  <c r="M1770" i="3"/>
  <c r="L1770" i="3"/>
  <c r="K1770" i="3"/>
  <c r="O1769" i="3"/>
  <c r="N1769" i="3"/>
  <c r="M1769" i="3"/>
  <c r="L1769" i="3"/>
  <c r="K1769" i="3"/>
  <c r="O1768" i="3"/>
  <c r="N1768" i="3"/>
  <c r="M1768" i="3"/>
  <c r="L1768" i="3"/>
  <c r="K1768" i="3"/>
  <c r="O1767" i="3"/>
  <c r="N1767" i="3"/>
  <c r="M1767" i="3"/>
  <c r="L1767" i="3"/>
  <c r="K1767" i="3"/>
  <c r="O1766" i="3"/>
  <c r="N1766" i="3"/>
  <c r="M1766" i="3"/>
  <c r="L1766" i="3"/>
  <c r="K1766" i="3"/>
  <c r="O1765" i="3"/>
  <c r="N1765" i="3"/>
  <c r="M1765" i="3"/>
  <c r="L1765" i="3"/>
  <c r="K1765" i="3"/>
  <c r="O1764" i="3"/>
  <c r="N1764" i="3"/>
  <c r="M1764" i="3"/>
  <c r="L1764" i="3"/>
  <c r="K1764" i="3"/>
  <c r="O1763" i="3"/>
  <c r="N1763" i="3"/>
  <c r="M1763" i="3"/>
  <c r="L1763" i="3"/>
  <c r="K1763" i="3"/>
  <c r="O1762" i="3"/>
  <c r="N1762" i="3"/>
  <c r="M1762" i="3"/>
  <c r="L1762" i="3"/>
  <c r="K1762" i="3"/>
  <c r="O1761" i="3"/>
  <c r="N1761" i="3"/>
  <c r="M1761" i="3"/>
  <c r="L1761" i="3"/>
  <c r="K1761" i="3"/>
  <c r="O1760" i="3"/>
  <c r="N1760" i="3"/>
  <c r="M1760" i="3"/>
  <c r="L1760" i="3"/>
  <c r="K1760" i="3"/>
  <c r="O1759" i="3"/>
  <c r="N1759" i="3"/>
  <c r="M1759" i="3"/>
  <c r="L1759" i="3"/>
  <c r="K1759" i="3"/>
  <c r="O1758" i="3"/>
  <c r="N1758" i="3"/>
  <c r="M1758" i="3"/>
  <c r="L1758" i="3"/>
  <c r="K1758" i="3"/>
  <c r="O1757" i="3"/>
  <c r="N1757" i="3"/>
  <c r="M1757" i="3"/>
  <c r="L1757" i="3"/>
  <c r="K1757" i="3"/>
  <c r="O1756" i="3"/>
  <c r="N1756" i="3"/>
  <c r="M1756" i="3"/>
  <c r="L1756" i="3"/>
  <c r="K1756" i="3"/>
  <c r="O1755" i="3"/>
  <c r="N1755" i="3"/>
  <c r="M1755" i="3"/>
  <c r="L1755" i="3"/>
  <c r="K1755" i="3"/>
  <c r="O1754" i="3"/>
  <c r="N1754" i="3"/>
  <c r="M1754" i="3"/>
  <c r="L1754" i="3"/>
  <c r="K1754" i="3"/>
  <c r="O1753" i="3"/>
  <c r="N1753" i="3"/>
  <c r="M1753" i="3"/>
  <c r="L1753" i="3"/>
  <c r="K1753" i="3"/>
  <c r="O1752" i="3"/>
  <c r="N1752" i="3"/>
  <c r="M1752" i="3"/>
  <c r="L1752" i="3"/>
  <c r="K1752" i="3"/>
  <c r="O1751" i="3"/>
  <c r="N1751" i="3"/>
  <c r="M1751" i="3"/>
  <c r="L1751" i="3"/>
  <c r="K1751" i="3"/>
  <c r="O1750" i="3"/>
  <c r="N1750" i="3"/>
  <c r="M1750" i="3"/>
  <c r="L1750" i="3"/>
  <c r="K1750" i="3"/>
  <c r="O1749" i="3"/>
  <c r="N1749" i="3"/>
  <c r="M1749" i="3"/>
  <c r="L1749" i="3"/>
  <c r="K1749" i="3"/>
  <c r="O1748" i="3"/>
  <c r="N1748" i="3"/>
  <c r="M1748" i="3"/>
  <c r="L1748" i="3"/>
  <c r="K1748" i="3"/>
  <c r="O1747" i="3"/>
  <c r="N1747" i="3"/>
  <c r="M1747" i="3"/>
  <c r="L1747" i="3"/>
  <c r="K1747" i="3"/>
  <c r="O1746" i="3"/>
  <c r="N1746" i="3"/>
  <c r="M1746" i="3"/>
  <c r="L1746" i="3"/>
  <c r="K1746" i="3"/>
  <c r="O1745" i="3"/>
  <c r="N1745" i="3"/>
  <c r="M1745" i="3"/>
  <c r="L1745" i="3"/>
  <c r="K1745" i="3"/>
  <c r="O1744" i="3"/>
  <c r="N1744" i="3"/>
  <c r="M1744" i="3"/>
  <c r="L1744" i="3"/>
  <c r="K1744" i="3"/>
  <c r="O1743" i="3"/>
  <c r="N1743" i="3"/>
  <c r="M1743" i="3"/>
  <c r="L1743" i="3"/>
  <c r="K1743" i="3"/>
  <c r="O1742" i="3"/>
  <c r="N1742" i="3"/>
  <c r="M1742" i="3"/>
  <c r="L1742" i="3"/>
  <c r="K1742" i="3"/>
  <c r="O1741" i="3"/>
  <c r="N1741" i="3"/>
  <c r="M1741" i="3"/>
  <c r="L1741" i="3"/>
  <c r="K1741" i="3"/>
  <c r="O1740" i="3"/>
  <c r="N1740" i="3"/>
  <c r="M1740" i="3"/>
  <c r="L1740" i="3"/>
  <c r="K1740" i="3"/>
  <c r="O1739" i="3"/>
  <c r="N1739" i="3"/>
  <c r="M1739" i="3"/>
  <c r="L1739" i="3"/>
  <c r="K1739" i="3"/>
  <c r="O1738" i="3"/>
  <c r="N1738" i="3"/>
  <c r="M1738" i="3"/>
  <c r="L1738" i="3"/>
  <c r="K1738" i="3"/>
  <c r="O1737" i="3"/>
  <c r="N1737" i="3"/>
  <c r="M1737" i="3"/>
  <c r="L1737" i="3"/>
  <c r="K1737" i="3"/>
  <c r="O1736" i="3"/>
  <c r="N1736" i="3"/>
  <c r="M1736" i="3"/>
  <c r="L1736" i="3"/>
  <c r="K1736" i="3"/>
  <c r="O1735" i="3"/>
  <c r="N1735" i="3"/>
  <c r="M1735" i="3"/>
  <c r="L1735" i="3"/>
  <c r="K1735" i="3"/>
  <c r="O1734" i="3"/>
  <c r="N1734" i="3"/>
  <c r="M1734" i="3"/>
  <c r="L1734" i="3"/>
  <c r="K1734" i="3"/>
  <c r="O1733" i="3"/>
  <c r="N1733" i="3"/>
  <c r="M1733" i="3"/>
  <c r="L1733" i="3"/>
  <c r="K1733" i="3"/>
  <c r="O1732" i="3"/>
  <c r="N1732" i="3"/>
  <c r="M1732" i="3"/>
  <c r="L1732" i="3"/>
  <c r="K1732" i="3"/>
  <c r="O1731" i="3"/>
  <c r="N1731" i="3"/>
  <c r="M1731" i="3"/>
  <c r="L1731" i="3"/>
  <c r="K1731" i="3"/>
  <c r="O1730" i="3"/>
  <c r="N1730" i="3"/>
  <c r="M1730" i="3"/>
  <c r="L1730" i="3"/>
  <c r="K1730" i="3"/>
  <c r="O1729" i="3"/>
  <c r="N1729" i="3"/>
  <c r="M1729" i="3"/>
  <c r="L1729" i="3"/>
  <c r="K1729" i="3"/>
  <c r="O1728" i="3"/>
  <c r="N1728" i="3"/>
  <c r="M1728" i="3"/>
  <c r="L1728" i="3"/>
  <c r="K1728" i="3"/>
  <c r="O1727" i="3"/>
  <c r="N1727" i="3"/>
  <c r="M1727" i="3"/>
  <c r="L1727" i="3"/>
  <c r="K1727" i="3"/>
  <c r="O1726" i="3"/>
  <c r="N1726" i="3"/>
  <c r="M1726" i="3"/>
  <c r="L1726" i="3"/>
  <c r="K1726" i="3"/>
  <c r="O1725" i="3"/>
  <c r="N1725" i="3"/>
  <c r="M1725" i="3"/>
  <c r="L1725" i="3"/>
  <c r="K1725" i="3"/>
  <c r="O1724" i="3"/>
  <c r="N1724" i="3"/>
  <c r="M1724" i="3"/>
  <c r="L1724" i="3"/>
  <c r="K1724" i="3"/>
  <c r="O1723" i="3"/>
  <c r="N1723" i="3"/>
  <c r="M1723" i="3"/>
  <c r="L1723" i="3"/>
  <c r="K1723" i="3"/>
  <c r="O1722" i="3"/>
  <c r="N1722" i="3"/>
  <c r="M1722" i="3"/>
  <c r="L1722" i="3"/>
  <c r="K1722" i="3"/>
  <c r="O1721" i="3"/>
  <c r="N1721" i="3"/>
  <c r="M1721" i="3"/>
  <c r="L1721" i="3"/>
  <c r="K1721" i="3"/>
  <c r="O1720" i="3"/>
  <c r="N1720" i="3"/>
  <c r="M1720" i="3"/>
  <c r="L1720" i="3"/>
  <c r="K1720" i="3"/>
  <c r="O1719" i="3"/>
  <c r="N1719" i="3"/>
  <c r="M1719" i="3"/>
  <c r="L1719" i="3"/>
  <c r="K1719" i="3"/>
  <c r="O1718" i="3"/>
  <c r="N1718" i="3"/>
  <c r="M1718" i="3"/>
  <c r="L1718" i="3"/>
  <c r="K1718" i="3"/>
  <c r="O1717" i="3"/>
  <c r="N1717" i="3"/>
  <c r="M1717" i="3"/>
  <c r="L1717" i="3"/>
  <c r="K1717" i="3"/>
  <c r="O1716" i="3"/>
  <c r="N1716" i="3"/>
  <c r="M1716" i="3"/>
  <c r="L1716" i="3"/>
  <c r="K1716" i="3"/>
  <c r="O1715" i="3"/>
  <c r="N1715" i="3"/>
  <c r="M1715" i="3"/>
  <c r="L1715" i="3"/>
  <c r="K1715" i="3"/>
  <c r="O1714" i="3"/>
  <c r="N1714" i="3"/>
  <c r="M1714" i="3"/>
  <c r="L1714" i="3"/>
  <c r="K1714" i="3"/>
  <c r="O1713" i="3"/>
  <c r="N1713" i="3"/>
  <c r="M1713" i="3"/>
  <c r="L1713" i="3"/>
  <c r="K1713" i="3"/>
  <c r="O1712" i="3"/>
  <c r="N1712" i="3"/>
  <c r="M1712" i="3"/>
  <c r="L1712" i="3"/>
  <c r="K1712" i="3"/>
  <c r="O1711" i="3"/>
  <c r="N1711" i="3"/>
  <c r="M1711" i="3"/>
  <c r="L1711" i="3"/>
  <c r="K1711" i="3"/>
  <c r="O1710" i="3"/>
  <c r="N1710" i="3"/>
  <c r="M1710" i="3"/>
  <c r="L1710" i="3"/>
  <c r="K1710" i="3"/>
  <c r="O1709" i="3"/>
  <c r="N1709" i="3"/>
  <c r="M1709" i="3"/>
  <c r="L1709" i="3"/>
  <c r="K1709" i="3"/>
  <c r="O1708" i="3"/>
  <c r="N1708" i="3"/>
  <c r="M1708" i="3"/>
  <c r="L1708" i="3"/>
  <c r="K1708" i="3"/>
  <c r="O1707" i="3"/>
  <c r="N1707" i="3"/>
  <c r="M1707" i="3"/>
  <c r="L1707" i="3"/>
  <c r="K1707" i="3"/>
  <c r="O1706" i="3"/>
  <c r="N1706" i="3"/>
  <c r="M1706" i="3"/>
  <c r="L1706" i="3"/>
  <c r="K1706" i="3"/>
  <c r="O1705" i="3"/>
  <c r="N1705" i="3"/>
  <c r="M1705" i="3"/>
  <c r="L1705" i="3"/>
  <c r="K1705" i="3"/>
  <c r="O1704" i="3"/>
  <c r="N1704" i="3"/>
  <c r="M1704" i="3"/>
  <c r="L1704" i="3"/>
  <c r="K1704" i="3"/>
  <c r="O1703" i="3"/>
  <c r="N1703" i="3"/>
  <c r="M1703" i="3"/>
  <c r="L1703" i="3"/>
  <c r="K1703" i="3"/>
  <c r="O1702" i="3"/>
  <c r="N1702" i="3"/>
  <c r="M1702" i="3"/>
  <c r="L1702" i="3"/>
  <c r="K1702" i="3"/>
  <c r="O1701" i="3"/>
  <c r="N1701" i="3"/>
  <c r="M1701" i="3"/>
  <c r="L1701" i="3"/>
  <c r="K1701" i="3"/>
  <c r="O1700" i="3"/>
  <c r="N1700" i="3"/>
  <c r="M1700" i="3"/>
  <c r="L1700" i="3"/>
  <c r="K1700" i="3"/>
  <c r="O1699" i="3"/>
  <c r="N1699" i="3"/>
  <c r="M1699" i="3"/>
  <c r="L1699" i="3"/>
  <c r="K1699" i="3"/>
  <c r="O1698" i="3"/>
  <c r="N1698" i="3"/>
  <c r="M1698" i="3"/>
  <c r="L1698" i="3"/>
  <c r="K1698" i="3"/>
  <c r="O1697" i="3"/>
  <c r="N1697" i="3"/>
  <c r="M1697" i="3"/>
  <c r="L1697" i="3"/>
  <c r="K1697" i="3"/>
  <c r="O1696" i="3"/>
  <c r="N1696" i="3"/>
  <c r="M1696" i="3"/>
  <c r="L1696" i="3"/>
  <c r="K1696" i="3"/>
  <c r="O1695" i="3"/>
  <c r="N1695" i="3"/>
  <c r="M1695" i="3"/>
  <c r="L1695" i="3"/>
  <c r="K1695" i="3"/>
  <c r="O1694" i="3"/>
  <c r="N1694" i="3"/>
  <c r="M1694" i="3"/>
  <c r="L1694" i="3"/>
  <c r="K1694" i="3"/>
  <c r="O1693" i="3"/>
  <c r="N1693" i="3"/>
  <c r="M1693" i="3"/>
  <c r="L1693" i="3"/>
  <c r="K1693" i="3"/>
  <c r="O1692" i="3"/>
  <c r="N1692" i="3"/>
  <c r="M1692" i="3"/>
  <c r="L1692" i="3"/>
  <c r="K1692" i="3"/>
  <c r="O1691" i="3"/>
  <c r="N1691" i="3"/>
  <c r="M1691" i="3"/>
  <c r="L1691" i="3"/>
  <c r="K1691" i="3"/>
  <c r="O1690" i="3"/>
  <c r="N1690" i="3"/>
  <c r="M1690" i="3"/>
  <c r="L1690" i="3"/>
  <c r="K1690" i="3"/>
  <c r="O1689" i="3"/>
  <c r="N1689" i="3"/>
  <c r="M1689" i="3"/>
  <c r="L1689" i="3"/>
  <c r="K1689" i="3"/>
  <c r="O1688" i="3"/>
  <c r="N1688" i="3"/>
  <c r="M1688" i="3"/>
  <c r="L1688" i="3"/>
  <c r="K1688" i="3"/>
  <c r="O1687" i="3"/>
  <c r="N1687" i="3"/>
  <c r="M1687" i="3"/>
  <c r="L1687" i="3"/>
  <c r="K1687" i="3"/>
  <c r="O1686" i="3"/>
  <c r="N1686" i="3"/>
  <c r="M1686" i="3"/>
  <c r="L1686" i="3"/>
  <c r="K1686" i="3"/>
  <c r="O1685" i="3"/>
  <c r="N1685" i="3"/>
  <c r="M1685" i="3"/>
  <c r="L1685" i="3"/>
  <c r="K1685" i="3"/>
  <c r="O1684" i="3"/>
  <c r="N1684" i="3"/>
  <c r="M1684" i="3"/>
  <c r="L1684" i="3"/>
  <c r="K1684" i="3"/>
  <c r="O1683" i="3"/>
  <c r="N1683" i="3"/>
  <c r="M1683" i="3"/>
  <c r="L1683" i="3"/>
  <c r="K1683" i="3"/>
  <c r="O1682" i="3"/>
  <c r="N1682" i="3"/>
  <c r="M1682" i="3"/>
  <c r="L1682" i="3"/>
  <c r="K1682" i="3"/>
  <c r="O1681" i="3"/>
  <c r="N1681" i="3"/>
  <c r="M1681" i="3"/>
  <c r="L1681" i="3"/>
  <c r="K1681" i="3"/>
  <c r="O1680" i="3"/>
  <c r="N1680" i="3"/>
  <c r="M1680" i="3"/>
  <c r="L1680" i="3"/>
  <c r="K1680" i="3"/>
  <c r="O1679" i="3"/>
  <c r="N1679" i="3"/>
  <c r="M1679" i="3"/>
  <c r="L1679" i="3"/>
  <c r="K1679" i="3"/>
  <c r="O1678" i="3"/>
  <c r="N1678" i="3"/>
  <c r="M1678" i="3"/>
  <c r="L1678" i="3"/>
  <c r="K1678" i="3"/>
  <c r="O1677" i="3"/>
  <c r="N1677" i="3"/>
  <c r="M1677" i="3"/>
  <c r="L1677" i="3"/>
  <c r="K1677" i="3"/>
  <c r="O1676" i="3"/>
  <c r="N1676" i="3"/>
  <c r="M1676" i="3"/>
  <c r="L1676" i="3"/>
  <c r="K1676" i="3"/>
  <c r="O1675" i="3"/>
  <c r="N1675" i="3"/>
  <c r="M1675" i="3"/>
  <c r="L1675" i="3"/>
  <c r="K1675" i="3"/>
  <c r="O1674" i="3"/>
  <c r="N1674" i="3"/>
  <c r="M1674" i="3"/>
  <c r="L1674" i="3"/>
  <c r="K1674" i="3"/>
  <c r="O1673" i="3"/>
  <c r="N1673" i="3"/>
  <c r="M1673" i="3"/>
  <c r="L1673" i="3"/>
  <c r="K1673" i="3"/>
  <c r="O1672" i="3"/>
  <c r="N1672" i="3"/>
  <c r="M1672" i="3"/>
  <c r="L1672" i="3"/>
  <c r="K1672" i="3"/>
  <c r="O1671" i="3"/>
  <c r="N1671" i="3"/>
  <c r="M1671" i="3"/>
  <c r="L1671" i="3"/>
  <c r="K1671" i="3"/>
  <c r="O1670" i="3"/>
  <c r="N1670" i="3"/>
  <c r="M1670" i="3"/>
  <c r="L1670" i="3"/>
  <c r="K1670" i="3"/>
  <c r="O1669" i="3"/>
  <c r="N1669" i="3"/>
  <c r="M1669" i="3"/>
  <c r="L1669" i="3"/>
  <c r="K1669" i="3"/>
  <c r="O1668" i="3"/>
  <c r="N1668" i="3"/>
  <c r="M1668" i="3"/>
  <c r="L1668" i="3"/>
  <c r="K1668" i="3"/>
  <c r="O1667" i="3"/>
  <c r="N1667" i="3"/>
  <c r="M1667" i="3"/>
  <c r="L1667" i="3"/>
  <c r="K1667" i="3"/>
  <c r="O1666" i="3"/>
  <c r="N1666" i="3"/>
  <c r="M1666" i="3"/>
  <c r="L1666" i="3"/>
  <c r="K1666" i="3"/>
  <c r="O1665" i="3"/>
  <c r="N1665" i="3"/>
  <c r="M1665" i="3"/>
  <c r="L1665" i="3"/>
  <c r="K1665" i="3"/>
  <c r="O1664" i="3"/>
  <c r="N1664" i="3"/>
  <c r="M1664" i="3"/>
  <c r="L1664" i="3"/>
  <c r="K1664" i="3"/>
  <c r="O1663" i="3"/>
  <c r="N1663" i="3"/>
  <c r="M1663" i="3"/>
  <c r="L1663" i="3"/>
  <c r="K1663" i="3"/>
  <c r="O1662" i="3"/>
  <c r="N1662" i="3"/>
  <c r="M1662" i="3"/>
  <c r="L1662" i="3"/>
  <c r="K1662" i="3"/>
  <c r="O1661" i="3"/>
  <c r="N1661" i="3"/>
  <c r="M1661" i="3"/>
  <c r="L1661" i="3"/>
  <c r="K1661" i="3"/>
  <c r="O1660" i="3"/>
  <c r="N1660" i="3"/>
  <c r="M1660" i="3"/>
  <c r="L1660" i="3"/>
  <c r="K1660" i="3"/>
  <c r="O1659" i="3"/>
  <c r="N1659" i="3"/>
  <c r="M1659" i="3"/>
  <c r="L1659" i="3"/>
  <c r="K1659" i="3"/>
  <c r="O1658" i="3"/>
  <c r="N1658" i="3"/>
  <c r="M1658" i="3"/>
  <c r="L1658" i="3"/>
  <c r="K1658" i="3"/>
  <c r="O1657" i="3"/>
  <c r="N1657" i="3"/>
  <c r="M1657" i="3"/>
  <c r="L1657" i="3"/>
  <c r="K1657" i="3"/>
  <c r="O1656" i="3"/>
  <c r="N1656" i="3"/>
  <c r="M1656" i="3"/>
  <c r="L1656" i="3"/>
  <c r="K1656" i="3"/>
  <c r="O1655" i="3"/>
  <c r="N1655" i="3"/>
  <c r="M1655" i="3"/>
  <c r="L1655" i="3"/>
  <c r="K1655" i="3"/>
  <c r="O1654" i="3"/>
  <c r="N1654" i="3"/>
  <c r="M1654" i="3"/>
  <c r="L1654" i="3"/>
  <c r="K1654" i="3"/>
  <c r="O1653" i="3"/>
  <c r="N1653" i="3"/>
  <c r="M1653" i="3"/>
  <c r="L1653" i="3"/>
  <c r="K1653" i="3"/>
  <c r="O1652" i="3"/>
  <c r="N1652" i="3"/>
  <c r="M1652" i="3"/>
  <c r="L1652" i="3"/>
  <c r="K1652" i="3"/>
  <c r="O1651" i="3"/>
  <c r="N1651" i="3"/>
  <c r="M1651" i="3"/>
  <c r="L1651" i="3"/>
  <c r="K1651" i="3"/>
  <c r="O1650" i="3"/>
  <c r="N1650" i="3"/>
  <c r="M1650" i="3"/>
  <c r="L1650" i="3"/>
  <c r="K1650" i="3"/>
  <c r="O1649" i="3"/>
  <c r="N1649" i="3"/>
  <c r="M1649" i="3"/>
  <c r="L1649" i="3"/>
  <c r="K1649" i="3"/>
  <c r="O1648" i="3"/>
  <c r="N1648" i="3"/>
  <c r="M1648" i="3"/>
  <c r="L1648" i="3"/>
  <c r="K1648" i="3"/>
  <c r="O1647" i="3"/>
  <c r="N1647" i="3"/>
  <c r="M1647" i="3"/>
  <c r="L1647" i="3"/>
  <c r="K1647" i="3"/>
  <c r="O1646" i="3"/>
  <c r="N1646" i="3"/>
  <c r="M1646" i="3"/>
  <c r="L1646" i="3"/>
  <c r="K1646" i="3"/>
  <c r="O1645" i="3"/>
  <c r="N1645" i="3"/>
  <c r="M1645" i="3"/>
  <c r="L1645" i="3"/>
  <c r="K1645" i="3"/>
  <c r="O1644" i="3"/>
  <c r="N1644" i="3"/>
  <c r="M1644" i="3"/>
  <c r="L1644" i="3"/>
  <c r="K1644" i="3"/>
  <c r="O1643" i="3"/>
  <c r="N1643" i="3"/>
  <c r="M1643" i="3"/>
  <c r="L1643" i="3"/>
  <c r="K1643" i="3"/>
  <c r="O1642" i="3"/>
  <c r="N1642" i="3"/>
  <c r="M1642" i="3"/>
  <c r="L1642" i="3"/>
  <c r="K1642" i="3"/>
  <c r="O1641" i="3"/>
  <c r="N1641" i="3"/>
  <c r="M1641" i="3"/>
  <c r="L1641" i="3"/>
  <c r="K1641" i="3"/>
  <c r="O1640" i="3"/>
  <c r="N1640" i="3"/>
  <c r="M1640" i="3"/>
  <c r="L1640" i="3"/>
  <c r="K1640" i="3"/>
  <c r="O1639" i="3"/>
  <c r="N1639" i="3"/>
  <c r="M1639" i="3"/>
  <c r="L1639" i="3"/>
  <c r="K1639" i="3"/>
  <c r="O1638" i="3"/>
  <c r="N1638" i="3"/>
  <c r="M1638" i="3"/>
  <c r="L1638" i="3"/>
  <c r="K1638" i="3"/>
  <c r="O1637" i="3"/>
  <c r="N1637" i="3"/>
  <c r="M1637" i="3"/>
  <c r="L1637" i="3"/>
  <c r="K1637" i="3"/>
  <c r="O1636" i="3"/>
  <c r="N1636" i="3"/>
  <c r="M1636" i="3"/>
  <c r="L1636" i="3"/>
  <c r="K1636" i="3"/>
  <c r="O1635" i="3"/>
  <c r="N1635" i="3"/>
  <c r="M1635" i="3"/>
  <c r="L1635" i="3"/>
  <c r="K1635" i="3"/>
  <c r="O1634" i="3"/>
  <c r="N1634" i="3"/>
  <c r="M1634" i="3"/>
  <c r="L1634" i="3"/>
  <c r="K1634" i="3"/>
  <c r="O1633" i="3"/>
  <c r="N1633" i="3"/>
  <c r="M1633" i="3"/>
  <c r="L1633" i="3"/>
  <c r="K1633" i="3"/>
  <c r="O1632" i="3"/>
  <c r="N1632" i="3"/>
  <c r="M1632" i="3"/>
  <c r="L1632" i="3"/>
  <c r="K1632" i="3"/>
  <c r="O1631" i="3"/>
  <c r="N1631" i="3"/>
  <c r="M1631" i="3"/>
  <c r="L1631" i="3"/>
  <c r="K1631" i="3"/>
  <c r="O1630" i="3"/>
  <c r="N1630" i="3"/>
  <c r="M1630" i="3"/>
  <c r="L1630" i="3"/>
  <c r="K1630" i="3"/>
  <c r="O1629" i="3"/>
  <c r="N1629" i="3"/>
  <c r="M1629" i="3"/>
  <c r="L1629" i="3"/>
  <c r="K1629" i="3"/>
  <c r="O1628" i="3"/>
  <c r="N1628" i="3"/>
  <c r="M1628" i="3"/>
  <c r="L1628" i="3"/>
  <c r="K1628" i="3"/>
  <c r="O1627" i="3"/>
  <c r="N1627" i="3"/>
  <c r="M1627" i="3"/>
  <c r="L1627" i="3"/>
  <c r="K1627" i="3"/>
  <c r="O1626" i="3"/>
  <c r="N1626" i="3"/>
  <c r="M1626" i="3"/>
  <c r="L1626" i="3"/>
  <c r="K1626" i="3"/>
  <c r="O1625" i="3"/>
  <c r="N1625" i="3"/>
  <c r="M1625" i="3"/>
  <c r="L1625" i="3"/>
  <c r="K1625" i="3"/>
  <c r="O1624" i="3"/>
  <c r="N1624" i="3"/>
  <c r="M1624" i="3"/>
  <c r="L1624" i="3"/>
  <c r="K1624" i="3"/>
  <c r="O1623" i="3"/>
  <c r="N1623" i="3"/>
  <c r="M1623" i="3"/>
  <c r="L1623" i="3"/>
  <c r="K1623" i="3"/>
  <c r="O1622" i="3"/>
  <c r="N1622" i="3"/>
  <c r="M1622" i="3"/>
  <c r="L1622" i="3"/>
  <c r="K1622" i="3"/>
  <c r="O1621" i="3"/>
  <c r="N1621" i="3"/>
  <c r="M1621" i="3"/>
  <c r="L1621" i="3"/>
  <c r="K1621" i="3"/>
  <c r="O1620" i="3"/>
  <c r="N1620" i="3"/>
  <c r="M1620" i="3"/>
  <c r="L1620" i="3"/>
  <c r="K1620" i="3"/>
  <c r="O1619" i="3"/>
  <c r="N1619" i="3"/>
  <c r="M1619" i="3"/>
  <c r="L1619" i="3"/>
  <c r="K1619" i="3"/>
  <c r="O1618" i="3"/>
  <c r="N1618" i="3"/>
  <c r="M1618" i="3"/>
  <c r="L1618" i="3"/>
  <c r="K1618" i="3"/>
  <c r="O1617" i="3"/>
  <c r="N1617" i="3"/>
  <c r="M1617" i="3"/>
  <c r="L1617" i="3"/>
  <c r="K1617" i="3"/>
  <c r="O1616" i="3"/>
  <c r="N1616" i="3"/>
  <c r="M1616" i="3"/>
  <c r="L1616" i="3"/>
  <c r="K1616" i="3"/>
  <c r="O1615" i="3"/>
  <c r="N1615" i="3"/>
  <c r="M1615" i="3"/>
  <c r="L1615" i="3"/>
  <c r="K1615" i="3"/>
  <c r="O1614" i="3"/>
  <c r="N1614" i="3"/>
  <c r="M1614" i="3"/>
  <c r="L1614" i="3"/>
  <c r="K1614" i="3"/>
  <c r="O1613" i="3"/>
  <c r="N1613" i="3"/>
  <c r="M1613" i="3"/>
  <c r="L1613" i="3"/>
  <c r="K1613" i="3"/>
  <c r="O1612" i="3"/>
  <c r="N1612" i="3"/>
  <c r="M1612" i="3"/>
  <c r="L1612" i="3"/>
  <c r="K1612" i="3"/>
  <c r="O1611" i="3"/>
  <c r="N1611" i="3"/>
  <c r="M1611" i="3"/>
  <c r="L1611" i="3"/>
  <c r="K1611" i="3"/>
  <c r="O1610" i="3"/>
  <c r="N1610" i="3"/>
  <c r="M1610" i="3"/>
  <c r="L1610" i="3"/>
  <c r="K1610" i="3"/>
  <c r="O1609" i="3"/>
  <c r="N1609" i="3"/>
  <c r="M1609" i="3"/>
  <c r="L1609" i="3"/>
  <c r="K1609" i="3"/>
  <c r="O1608" i="3"/>
  <c r="N1608" i="3"/>
  <c r="M1608" i="3"/>
  <c r="L1608" i="3"/>
  <c r="K1608" i="3"/>
  <c r="O1607" i="3"/>
  <c r="N1607" i="3"/>
  <c r="M1607" i="3"/>
  <c r="L1607" i="3"/>
  <c r="K1607" i="3"/>
  <c r="O1606" i="3"/>
  <c r="N1606" i="3"/>
  <c r="M1606" i="3"/>
  <c r="L1606" i="3"/>
  <c r="K1606" i="3"/>
  <c r="O1605" i="3"/>
  <c r="N1605" i="3"/>
  <c r="M1605" i="3"/>
  <c r="L1605" i="3"/>
  <c r="K1605" i="3"/>
  <c r="O1604" i="3"/>
  <c r="N1604" i="3"/>
  <c r="M1604" i="3"/>
  <c r="L1604" i="3"/>
  <c r="K1604" i="3"/>
  <c r="O1603" i="3"/>
  <c r="N1603" i="3"/>
  <c r="M1603" i="3"/>
  <c r="L1603" i="3"/>
  <c r="K1603" i="3"/>
  <c r="O1602" i="3"/>
  <c r="N1602" i="3"/>
  <c r="M1602" i="3"/>
  <c r="L1602" i="3"/>
  <c r="K1602" i="3"/>
  <c r="O1601" i="3"/>
  <c r="N1601" i="3"/>
  <c r="M1601" i="3"/>
  <c r="L1601" i="3"/>
  <c r="K1601" i="3"/>
  <c r="O1600" i="3"/>
  <c r="N1600" i="3"/>
  <c r="M1600" i="3"/>
  <c r="L1600" i="3"/>
  <c r="K1600" i="3"/>
  <c r="O1599" i="3"/>
  <c r="N1599" i="3"/>
  <c r="M1599" i="3"/>
  <c r="L1599" i="3"/>
  <c r="K1599" i="3"/>
  <c r="O1598" i="3"/>
  <c r="N1598" i="3"/>
  <c r="M1598" i="3"/>
  <c r="L1598" i="3"/>
  <c r="K1598" i="3"/>
  <c r="O1597" i="3"/>
  <c r="N1597" i="3"/>
  <c r="M1597" i="3"/>
  <c r="L1597" i="3"/>
  <c r="K1597" i="3"/>
  <c r="O1596" i="3"/>
  <c r="N1596" i="3"/>
  <c r="M1596" i="3"/>
  <c r="L1596" i="3"/>
  <c r="K1596" i="3"/>
  <c r="O1595" i="3"/>
  <c r="N1595" i="3"/>
  <c r="M1595" i="3"/>
  <c r="L1595" i="3"/>
  <c r="K1595" i="3"/>
  <c r="O1594" i="3"/>
  <c r="N1594" i="3"/>
  <c r="M1594" i="3"/>
  <c r="L1594" i="3"/>
  <c r="K1594" i="3"/>
  <c r="O1593" i="3"/>
  <c r="N1593" i="3"/>
  <c r="M1593" i="3"/>
  <c r="L1593" i="3"/>
  <c r="K1593" i="3"/>
  <c r="O1592" i="3"/>
  <c r="N1592" i="3"/>
  <c r="M1592" i="3"/>
  <c r="L1592" i="3"/>
  <c r="K1592" i="3"/>
  <c r="O1591" i="3"/>
  <c r="N1591" i="3"/>
  <c r="M1591" i="3"/>
  <c r="L1591" i="3"/>
  <c r="K1591" i="3"/>
  <c r="O1590" i="3"/>
  <c r="N1590" i="3"/>
  <c r="M1590" i="3"/>
  <c r="L1590" i="3"/>
  <c r="K1590" i="3"/>
  <c r="O1589" i="3"/>
  <c r="N1589" i="3"/>
  <c r="M1589" i="3"/>
  <c r="L1589" i="3"/>
  <c r="K1589" i="3"/>
  <c r="O1588" i="3"/>
  <c r="N1588" i="3"/>
  <c r="M1588" i="3"/>
  <c r="L1588" i="3"/>
  <c r="K1588" i="3"/>
  <c r="O1587" i="3"/>
  <c r="N1587" i="3"/>
  <c r="M1587" i="3"/>
  <c r="L1587" i="3"/>
  <c r="K1587" i="3"/>
  <c r="O1586" i="3"/>
  <c r="N1586" i="3"/>
  <c r="M1586" i="3"/>
  <c r="L1586" i="3"/>
  <c r="K1586" i="3"/>
  <c r="O1585" i="3"/>
  <c r="N1585" i="3"/>
  <c r="M1585" i="3"/>
  <c r="L1585" i="3"/>
  <c r="K1585" i="3"/>
  <c r="O1584" i="3"/>
  <c r="N1584" i="3"/>
  <c r="M1584" i="3"/>
  <c r="L1584" i="3"/>
  <c r="K1584" i="3"/>
  <c r="O1583" i="3"/>
  <c r="N1583" i="3"/>
  <c r="M1583" i="3"/>
  <c r="L1583" i="3"/>
  <c r="K1583" i="3"/>
  <c r="O1582" i="3"/>
  <c r="N1582" i="3"/>
  <c r="M1582" i="3"/>
  <c r="L1582" i="3"/>
  <c r="K1582" i="3"/>
  <c r="O1581" i="3"/>
  <c r="N1581" i="3"/>
  <c r="M1581" i="3"/>
  <c r="L1581" i="3"/>
  <c r="K1581" i="3"/>
  <c r="O1580" i="3"/>
  <c r="N1580" i="3"/>
  <c r="M1580" i="3"/>
  <c r="L1580" i="3"/>
  <c r="K1580" i="3"/>
  <c r="O1579" i="3"/>
  <c r="N1579" i="3"/>
  <c r="M1579" i="3"/>
  <c r="L1579" i="3"/>
  <c r="K1579" i="3"/>
  <c r="O1578" i="3"/>
  <c r="N1578" i="3"/>
  <c r="M1578" i="3"/>
  <c r="L1578" i="3"/>
  <c r="K1578" i="3"/>
  <c r="O1577" i="3"/>
  <c r="N1577" i="3"/>
  <c r="M1577" i="3"/>
  <c r="L1577" i="3"/>
  <c r="K1577" i="3"/>
  <c r="O1576" i="3"/>
  <c r="N1576" i="3"/>
  <c r="M1576" i="3"/>
  <c r="L1576" i="3"/>
  <c r="K1576" i="3"/>
  <c r="O1575" i="3"/>
  <c r="N1575" i="3"/>
  <c r="M1575" i="3"/>
  <c r="L1575" i="3"/>
  <c r="K1575" i="3"/>
  <c r="O1574" i="3"/>
  <c r="N1574" i="3"/>
  <c r="M1574" i="3"/>
  <c r="L1574" i="3"/>
  <c r="K1574" i="3"/>
  <c r="O1573" i="3"/>
  <c r="N1573" i="3"/>
  <c r="M1573" i="3"/>
  <c r="L1573" i="3"/>
  <c r="K1573" i="3"/>
  <c r="O1572" i="3"/>
  <c r="N1572" i="3"/>
  <c r="M1572" i="3"/>
  <c r="L1572" i="3"/>
  <c r="K1572" i="3"/>
  <c r="O1571" i="3"/>
  <c r="N1571" i="3"/>
  <c r="M1571" i="3"/>
  <c r="L1571" i="3"/>
  <c r="K1571" i="3"/>
  <c r="O1570" i="3"/>
  <c r="N1570" i="3"/>
  <c r="M1570" i="3"/>
  <c r="L1570" i="3"/>
  <c r="K1570" i="3"/>
  <c r="O1569" i="3"/>
  <c r="N1569" i="3"/>
  <c r="M1569" i="3"/>
  <c r="L1569" i="3"/>
  <c r="K1569" i="3"/>
  <c r="O1568" i="3"/>
  <c r="N1568" i="3"/>
  <c r="M1568" i="3"/>
  <c r="L1568" i="3"/>
  <c r="K1568" i="3"/>
  <c r="O1567" i="3"/>
  <c r="N1567" i="3"/>
  <c r="M1567" i="3"/>
  <c r="L1567" i="3"/>
  <c r="K1567" i="3"/>
  <c r="O1566" i="3"/>
  <c r="N1566" i="3"/>
  <c r="M1566" i="3"/>
  <c r="L1566" i="3"/>
  <c r="K1566" i="3"/>
  <c r="O1565" i="3"/>
  <c r="N1565" i="3"/>
  <c r="M1565" i="3"/>
  <c r="L1565" i="3"/>
  <c r="K1565" i="3"/>
  <c r="O1564" i="3"/>
  <c r="N1564" i="3"/>
  <c r="M1564" i="3"/>
  <c r="L1564" i="3"/>
  <c r="K1564" i="3"/>
  <c r="O1563" i="3"/>
  <c r="N1563" i="3"/>
  <c r="M1563" i="3"/>
  <c r="L1563" i="3"/>
  <c r="K1563" i="3"/>
  <c r="O1562" i="3"/>
  <c r="N1562" i="3"/>
  <c r="M1562" i="3"/>
  <c r="L1562" i="3"/>
  <c r="K1562" i="3"/>
  <c r="O1561" i="3"/>
  <c r="N1561" i="3"/>
  <c r="M1561" i="3"/>
  <c r="L1561" i="3"/>
  <c r="K1561" i="3"/>
  <c r="O1560" i="3"/>
  <c r="N1560" i="3"/>
  <c r="M1560" i="3"/>
  <c r="L1560" i="3"/>
  <c r="K1560" i="3"/>
  <c r="O1559" i="3"/>
  <c r="N1559" i="3"/>
  <c r="M1559" i="3"/>
  <c r="L1559" i="3"/>
  <c r="K1559" i="3"/>
  <c r="O1558" i="3"/>
  <c r="N1558" i="3"/>
  <c r="M1558" i="3"/>
  <c r="L1558" i="3"/>
  <c r="K1558" i="3"/>
  <c r="O1557" i="3"/>
  <c r="N1557" i="3"/>
  <c r="M1557" i="3"/>
  <c r="L1557" i="3"/>
  <c r="K1557" i="3"/>
  <c r="O1556" i="3"/>
  <c r="N1556" i="3"/>
  <c r="M1556" i="3"/>
  <c r="L1556" i="3"/>
  <c r="K1556" i="3"/>
  <c r="O1555" i="3"/>
  <c r="N1555" i="3"/>
  <c r="M1555" i="3"/>
  <c r="L1555" i="3"/>
  <c r="K1555" i="3"/>
  <c r="O1554" i="3"/>
  <c r="N1554" i="3"/>
  <c r="M1554" i="3"/>
  <c r="L1554" i="3"/>
  <c r="K1554" i="3"/>
  <c r="O1553" i="3"/>
  <c r="N1553" i="3"/>
  <c r="M1553" i="3"/>
  <c r="L1553" i="3"/>
  <c r="K1553" i="3"/>
  <c r="O1552" i="3"/>
  <c r="N1552" i="3"/>
  <c r="M1552" i="3"/>
  <c r="L1552" i="3"/>
  <c r="K1552" i="3"/>
  <c r="O1551" i="3"/>
  <c r="N1551" i="3"/>
  <c r="M1551" i="3"/>
  <c r="L1551" i="3"/>
  <c r="K1551" i="3"/>
  <c r="O1550" i="3"/>
  <c r="N1550" i="3"/>
  <c r="M1550" i="3"/>
  <c r="L1550" i="3"/>
  <c r="K1550" i="3"/>
  <c r="O1549" i="3"/>
  <c r="N1549" i="3"/>
  <c r="M1549" i="3"/>
  <c r="L1549" i="3"/>
  <c r="K1549" i="3"/>
  <c r="O1548" i="3"/>
  <c r="N1548" i="3"/>
  <c r="M1548" i="3"/>
  <c r="L1548" i="3"/>
  <c r="K1548" i="3"/>
  <c r="O1547" i="3"/>
  <c r="N1547" i="3"/>
  <c r="M1547" i="3"/>
  <c r="L1547" i="3"/>
  <c r="K1547" i="3"/>
  <c r="O1546" i="3"/>
  <c r="N1546" i="3"/>
  <c r="M1546" i="3"/>
  <c r="L1546" i="3"/>
  <c r="K1546" i="3"/>
  <c r="O1545" i="3"/>
  <c r="N1545" i="3"/>
  <c r="M1545" i="3"/>
  <c r="L1545" i="3"/>
  <c r="K1545" i="3"/>
  <c r="O1544" i="3"/>
  <c r="N1544" i="3"/>
  <c r="M1544" i="3"/>
  <c r="L1544" i="3"/>
  <c r="K1544" i="3"/>
  <c r="O1543" i="3"/>
  <c r="N1543" i="3"/>
  <c r="M1543" i="3"/>
  <c r="L1543" i="3"/>
  <c r="K1543" i="3"/>
  <c r="O1542" i="3"/>
  <c r="N1542" i="3"/>
  <c r="M1542" i="3"/>
  <c r="L1542" i="3"/>
  <c r="K1542" i="3"/>
  <c r="O1541" i="3"/>
  <c r="N1541" i="3"/>
  <c r="M1541" i="3"/>
  <c r="L1541" i="3"/>
  <c r="K1541" i="3"/>
  <c r="O1540" i="3"/>
  <c r="N1540" i="3"/>
  <c r="M1540" i="3"/>
  <c r="L1540" i="3"/>
  <c r="K1540" i="3"/>
  <c r="O1539" i="3"/>
  <c r="N1539" i="3"/>
  <c r="M1539" i="3"/>
  <c r="L1539" i="3"/>
  <c r="K1539" i="3"/>
  <c r="O1538" i="3"/>
  <c r="N1538" i="3"/>
  <c r="M1538" i="3"/>
  <c r="L1538" i="3"/>
  <c r="K1538" i="3"/>
  <c r="O1537" i="3"/>
  <c r="N1537" i="3"/>
  <c r="M1537" i="3"/>
  <c r="L1537" i="3"/>
  <c r="K1537" i="3"/>
  <c r="O1536" i="3"/>
  <c r="N1536" i="3"/>
  <c r="M1536" i="3"/>
  <c r="L1536" i="3"/>
  <c r="K1536" i="3"/>
  <c r="O1535" i="3"/>
  <c r="N1535" i="3"/>
  <c r="M1535" i="3"/>
  <c r="L1535" i="3"/>
  <c r="K1535" i="3"/>
  <c r="O1534" i="3"/>
  <c r="N1534" i="3"/>
  <c r="M1534" i="3"/>
  <c r="L1534" i="3"/>
  <c r="K1534" i="3"/>
  <c r="O1533" i="3"/>
  <c r="N1533" i="3"/>
  <c r="M1533" i="3"/>
  <c r="L1533" i="3"/>
  <c r="K1533" i="3"/>
  <c r="O1532" i="3"/>
  <c r="N1532" i="3"/>
  <c r="M1532" i="3"/>
  <c r="L1532" i="3"/>
  <c r="K1532" i="3"/>
  <c r="O1531" i="3"/>
  <c r="N1531" i="3"/>
  <c r="M1531" i="3"/>
  <c r="L1531" i="3"/>
  <c r="K1531" i="3"/>
  <c r="O1530" i="3"/>
  <c r="N1530" i="3"/>
  <c r="M1530" i="3"/>
  <c r="L1530" i="3"/>
  <c r="K1530" i="3"/>
  <c r="O1529" i="3"/>
  <c r="N1529" i="3"/>
  <c r="M1529" i="3"/>
  <c r="L1529" i="3"/>
  <c r="K1529" i="3"/>
  <c r="O1528" i="3"/>
  <c r="N1528" i="3"/>
  <c r="M1528" i="3"/>
  <c r="L1528" i="3"/>
  <c r="K1528" i="3"/>
  <c r="O1527" i="3"/>
  <c r="N1527" i="3"/>
  <c r="M1527" i="3"/>
  <c r="L1527" i="3"/>
  <c r="K1527" i="3"/>
  <c r="O1526" i="3"/>
  <c r="N1526" i="3"/>
  <c r="M1526" i="3"/>
  <c r="L1526" i="3"/>
  <c r="K1526" i="3"/>
  <c r="O1525" i="3"/>
  <c r="N1525" i="3"/>
  <c r="M1525" i="3"/>
  <c r="L1525" i="3"/>
  <c r="K1525" i="3"/>
  <c r="O1524" i="3"/>
  <c r="N1524" i="3"/>
  <c r="M1524" i="3"/>
  <c r="L1524" i="3"/>
  <c r="K1524" i="3"/>
  <c r="O1523" i="3"/>
  <c r="N1523" i="3"/>
  <c r="M1523" i="3"/>
  <c r="L1523" i="3"/>
  <c r="K1523" i="3"/>
  <c r="O1522" i="3"/>
  <c r="N1522" i="3"/>
  <c r="M1522" i="3"/>
  <c r="L1522" i="3"/>
  <c r="K1522" i="3"/>
  <c r="O1521" i="3"/>
  <c r="N1521" i="3"/>
  <c r="M1521" i="3"/>
  <c r="L1521" i="3"/>
  <c r="K1521" i="3"/>
  <c r="O1520" i="3"/>
  <c r="N1520" i="3"/>
  <c r="M1520" i="3"/>
  <c r="L1520" i="3"/>
  <c r="K1520" i="3"/>
  <c r="O1519" i="3"/>
  <c r="N1519" i="3"/>
  <c r="M1519" i="3"/>
  <c r="L1519" i="3"/>
  <c r="K1519" i="3"/>
  <c r="O1518" i="3"/>
  <c r="N1518" i="3"/>
  <c r="M1518" i="3"/>
  <c r="L1518" i="3"/>
  <c r="K1518" i="3"/>
  <c r="O1517" i="3"/>
  <c r="N1517" i="3"/>
  <c r="M1517" i="3"/>
  <c r="L1517" i="3"/>
  <c r="K1517" i="3"/>
  <c r="O1516" i="3"/>
  <c r="N1516" i="3"/>
  <c r="M1516" i="3"/>
  <c r="L1516" i="3"/>
  <c r="K1516" i="3"/>
  <c r="O1515" i="3"/>
  <c r="N1515" i="3"/>
  <c r="M1515" i="3"/>
  <c r="L1515" i="3"/>
  <c r="K1515" i="3"/>
  <c r="O1514" i="3"/>
  <c r="N1514" i="3"/>
  <c r="M1514" i="3"/>
  <c r="L1514" i="3"/>
  <c r="K1514" i="3"/>
  <c r="O1513" i="3"/>
  <c r="N1513" i="3"/>
  <c r="M1513" i="3"/>
  <c r="L1513" i="3"/>
  <c r="K1513" i="3"/>
  <c r="O1512" i="3"/>
  <c r="N1512" i="3"/>
  <c r="M1512" i="3"/>
  <c r="L1512" i="3"/>
  <c r="K1512" i="3"/>
  <c r="O1511" i="3"/>
  <c r="N1511" i="3"/>
  <c r="M1511" i="3"/>
  <c r="L1511" i="3"/>
  <c r="K1511" i="3"/>
  <c r="O1510" i="3"/>
  <c r="N1510" i="3"/>
  <c r="M1510" i="3"/>
  <c r="L1510" i="3"/>
  <c r="K1510" i="3"/>
  <c r="O1509" i="3"/>
  <c r="N1509" i="3"/>
  <c r="M1509" i="3"/>
  <c r="L1509" i="3"/>
  <c r="K1509" i="3"/>
  <c r="O1508" i="3"/>
  <c r="N1508" i="3"/>
  <c r="M1508" i="3"/>
  <c r="L1508" i="3"/>
  <c r="K1508" i="3"/>
  <c r="O1507" i="3"/>
  <c r="N1507" i="3"/>
  <c r="M1507" i="3"/>
  <c r="L1507" i="3"/>
  <c r="K1507" i="3"/>
  <c r="O1506" i="3"/>
  <c r="N1506" i="3"/>
  <c r="M1506" i="3"/>
  <c r="L1506" i="3"/>
  <c r="K1506" i="3"/>
  <c r="O1505" i="3"/>
  <c r="N1505" i="3"/>
  <c r="M1505" i="3"/>
  <c r="L1505" i="3"/>
  <c r="K1505" i="3"/>
  <c r="O1504" i="3"/>
  <c r="N1504" i="3"/>
  <c r="M1504" i="3"/>
  <c r="L1504" i="3"/>
  <c r="K1504" i="3"/>
  <c r="O1503" i="3"/>
  <c r="N1503" i="3"/>
  <c r="M1503" i="3"/>
  <c r="L1503" i="3"/>
  <c r="K1503" i="3"/>
  <c r="O1502" i="3"/>
  <c r="N1502" i="3"/>
  <c r="M1502" i="3"/>
  <c r="L1502" i="3"/>
  <c r="K1502" i="3"/>
  <c r="O1501" i="3"/>
  <c r="N1501" i="3"/>
  <c r="M1501" i="3"/>
  <c r="L1501" i="3"/>
  <c r="K1501" i="3"/>
  <c r="O1500" i="3"/>
  <c r="N1500" i="3"/>
  <c r="M1500" i="3"/>
  <c r="L1500" i="3"/>
  <c r="K1500" i="3"/>
  <c r="O1499" i="3"/>
  <c r="N1499" i="3"/>
  <c r="M1499" i="3"/>
  <c r="L1499" i="3"/>
  <c r="K1499" i="3"/>
  <c r="O1498" i="3"/>
  <c r="N1498" i="3"/>
  <c r="M1498" i="3"/>
  <c r="L1498" i="3"/>
  <c r="K1498" i="3"/>
  <c r="O1497" i="3"/>
  <c r="N1497" i="3"/>
  <c r="M1497" i="3"/>
  <c r="L1497" i="3"/>
  <c r="K1497" i="3"/>
  <c r="O1496" i="3"/>
  <c r="N1496" i="3"/>
  <c r="M1496" i="3"/>
  <c r="L1496" i="3"/>
  <c r="K1496" i="3"/>
  <c r="O1495" i="3"/>
  <c r="N1495" i="3"/>
  <c r="M1495" i="3"/>
  <c r="L1495" i="3"/>
  <c r="K1495" i="3"/>
  <c r="O1494" i="3"/>
  <c r="N1494" i="3"/>
  <c r="M1494" i="3"/>
  <c r="L1494" i="3"/>
  <c r="K1494" i="3"/>
  <c r="O1493" i="3"/>
  <c r="N1493" i="3"/>
  <c r="M1493" i="3"/>
  <c r="L1493" i="3"/>
  <c r="K1493" i="3"/>
  <c r="O1492" i="3"/>
  <c r="N1492" i="3"/>
  <c r="M1492" i="3"/>
  <c r="L1492" i="3"/>
  <c r="K1492" i="3"/>
  <c r="O1491" i="3"/>
  <c r="N1491" i="3"/>
  <c r="M1491" i="3"/>
  <c r="L1491" i="3"/>
  <c r="K1491" i="3"/>
  <c r="O1490" i="3"/>
  <c r="N1490" i="3"/>
  <c r="M1490" i="3"/>
  <c r="L1490" i="3"/>
  <c r="K1490" i="3"/>
  <c r="O1489" i="3"/>
  <c r="N1489" i="3"/>
  <c r="M1489" i="3"/>
  <c r="L1489" i="3"/>
  <c r="K1489" i="3"/>
  <c r="O1488" i="3"/>
  <c r="N1488" i="3"/>
  <c r="M1488" i="3"/>
  <c r="L1488" i="3"/>
  <c r="K1488" i="3"/>
  <c r="O1487" i="3"/>
  <c r="N1487" i="3"/>
  <c r="M1487" i="3"/>
  <c r="L1487" i="3"/>
  <c r="K1487" i="3"/>
  <c r="O1486" i="3"/>
  <c r="N1486" i="3"/>
  <c r="M1486" i="3"/>
  <c r="L1486" i="3"/>
  <c r="K1486" i="3"/>
  <c r="O1485" i="3"/>
  <c r="N1485" i="3"/>
  <c r="M1485" i="3"/>
  <c r="L1485" i="3"/>
  <c r="K1485" i="3"/>
  <c r="O1484" i="3"/>
  <c r="N1484" i="3"/>
  <c r="M1484" i="3"/>
  <c r="L1484" i="3"/>
  <c r="K1484" i="3"/>
  <c r="O1483" i="3"/>
  <c r="N1483" i="3"/>
  <c r="M1483" i="3"/>
  <c r="L1483" i="3"/>
  <c r="K1483" i="3"/>
  <c r="O1482" i="3"/>
  <c r="N1482" i="3"/>
  <c r="M1482" i="3"/>
  <c r="L1482" i="3"/>
  <c r="K1482" i="3"/>
  <c r="O1481" i="3"/>
  <c r="N1481" i="3"/>
  <c r="M1481" i="3"/>
  <c r="L1481" i="3"/>
  <c r="K1481" i="3"/>
  <c r="O1480" i="3"/>
  <c r="N1480" i="3"/>
  <c r="M1480" i="3"/>
  <c r="L1480" i="3"/>
  <c r="K1480" i="3"/>
  <c r="O1479" i="3"/>
  <c r="N1479" i="3"/>
  <c r="M1479" i="3"/>
  <c r="L1479" i="3"/>
  <c r="K1479" i="3"/>
  <c r="O1478" i="3"/>
  <c r="N1478" i="3"/>
  <c r="M1478" i="3"/>
  <c r="L1478" i="3"/>
  <c r="K1478" i="3"/>
  <c r="O1477" i="3"/>
  <c r="N1477" i="3"/>
  <c r="M1477" i="3"/>
  <c r="L1477" i="3"/>
  <c r="K1477" i="3"/>
  <c r="O1476" i="3"/>
  <c r="N1476" i="3"/>
  <c r="M1476" i="3"/>
  <c r="L1476" i="3"/>
  <c r="K1476" i="3"/>
  <c r="O1475" i="3"/>
  <c r="N1475" i="3"/>
  <c r="M1475" i="3"/>
  <c r="L1475" i="3"/>
  <c r="K1475" i="3"/>
  <c r="O1474" i="3"/>
  <c r="N1474" i="3"/>
  <c r="M1474" i="3"/>
  <c r="L1474" i="3"/>
  <c r="K1474" i="3"/>
  <c r="O1473" i="3"/>
  <c r="N1473" i="3"/>
  <c r="M1473" i="3"/>
  <c r="L1473" i="3"/>
  <c r="K1473" i="3"/>
  <c r="O1472" i="3"/>
  <c r="N1472" i="3"/>
  <c r="M1472" i="3"/>
  <c r="L1472" i="3"/>
  <c r="K1472" i="3"/>
  <c r="O1471" i="3"/>
  <c r="N1471" i="3"/>
  <c r="M1471" i="3"/>
  <c r="L1471" i="3"/>
  <c r="K1471" i="3"/>
  <c r="O1470" i="3"/>
  <c r="N1470" i="3"/>
  <c r="M1470" i="3"/>
  <c r="L1470" i="3"/>
  <c r="K1470" i="3"/>
  <c r="O1469" i="3"/>
  <c r="N1469" i="3"/>
  <c r="M1469" i="3"/>
  <c r="L1469" i="3"/>
  <c r="K1469" i="3"/>
  <c r="O1468" i="3"/>
  <c r="N1468" i="3"/>
  <c r="M1468" i="3"/>
  <c r="L1468" i="3"/>
  <c r="K1468" i="3"/>
  <c r="O1467" i="3"/>
  <c r="N1467" i="3"/>
  <c r="M1467" i="3"/>
  <c r="L1467" i="3"/>
  <c r="K1467" i="3"/>
  <c r="O1466" i="3"/>
  <c r="N1466" i="3"/>
  <c r="M1466" i="3"/>
  <c r="L1466" i="3"/>
  <c r="K1466" i="3"/>
  <c r="O1465" i="3"/>
  <c r="N1465" i="3"/>
  <c r="M1465" i="3"/>
  <c r="L1465" i="3"/>
  <c r="K1465" i="3"/>
  <c r="O1464" i="3"/>
  <c r="N1464" i="3"/>
  <c r="M1464" i="3"/>
  <c r="L1464" i="3"/>
  <c r="K1464" i="3"/>
  <c r="O1463" i="3"/>
  <c r="N1463" i="3"/>
  <c r="M1463" i="3"/>
  <c r="L1463" i="3"/>
  <c r="K1463" i="3"/>
  <c r="O1462" i="3"/>
  <c r="N1462" i="3"/>
  <c r="M1462" i="3"/>
  <c r="L1462" i="3"/>
  <c r="K1462" i="3"/>
  <c r="O1461" i="3"/>
  <c r="N1461" i="3"/>
  <c r="M1461" i="3"/>
  <c r="L1461" i="3"/>
  <c r="K1461" i="3"/>
  <c r="O1460" i="3"/>
  <c r="N1460" i="3"/>
  <c r="M1460" i="3"/>
  <c r="L1460" i="3"/>
  <c r="K1460" i="3"/>
  <c r="O1459" i="3"/>
  <c r="N1459" i="3"/>
  <c r="M1459" i="3"/>
  <c r="L1459" i="3"/>
  <c r="K1459" i="3"/>
  <c r="O1458" i="3"/>
  <c r="N1458" i="3"/>
  <c r="M1458" i="3"/>
  <c r="L1458" i="3"/>
  <c r="K1458" i="3"/>
  <c r="O1457" i="3"/>
  <c r="N1457" i="3"/>
  <c r="M1457" i="3"/>
  <c r="L1457" i="3"/>
  <c r="K1457" i="3"/>
  <c r="O1456" i="3"/>
  <c r="N1456" i="3"/>
  <c r="M1456" i="3"/>
  <c r="L1456" i="3"/>
  <c r="K1456" i="3"/>
  <c r="O1455" i="3"/>
  <c r="N1455" i="3"/>
  <c r="M1455" i="3"/>
  <c r="L1455" i="3"/>
  <c r="K1455" i="3"/>
  <c r="O1454" i="3"/>
  <c r="N1454" i="3"/>
  <c r="M1454" i="3"/>
  <c r="L1454" i="3"/>
  <c r="K1454" i="3"/>
  <c r="O1453" i="3"/>
  <c r="N1453" i="3"/>
  <c r="M1453" i="3"/>
  <c r="L1453" i="3"/>
  <c r="K1453" i="3"/>
  <c r="O1452" i="3"/>
  <c r="N1452" i="3"/>
  <c r="M1452" i="3"/>
  <c r="L1452" i="3"/>
  <c r="K1452" i="3"/>
  <c r="O1451" i="3"/>
  <c r="N1451" i="3"/>
  <c r="M1451" i="3"/>
  <c r="L1451" i="3"/>
  <c r="K1451" i="3"/>
  <c r="O1450" i="3"/>
  <c r="N1450" i="3"/>
  <c r="M1450" i="3"/>
  <c r="L1450" i="3"/>
  <c r="K1450" i="3"/>
  <c r="O1449" i="3"/>
  <c r="N1449" i="3"/>
  <c r="M1449" i="3"/>
  <c r="L1449" i="3"/>
  <c r="K1449" i="3"/>
  <c r="O1448" i="3"/>
  <c r="N1448" i="3"/>
  <c r="M1448" i="3"/>
  <c r="L1448" i="3"/>
  <c r="K1448" i="3"/>
  <c r="O1447" i="3"/>
  <c r="N1447" i="3"/>
  <c r="M1447" i="3"/>
  <c r="L1447" i="3"/>
  <c r="K1447" i="3"/>
  <c r="O1446" i="3"/>
  <c r="N1446" i="3"/>
  <c r="M1446" i="3"/>
  <c r="L1446" i="3"/>
  <c r="K1446" i="3"/>
  <c r="O1445" i="3"/>
  <c r="N1445" i="3"/>
  <c r="M1445" i="3"/>
  <c r="L1445" i="3"/>
  <c r="K1445" i="3"/>
  <c r="O1444" i="3"/>
  <c r="N1444" i="3"/>
  <c r="M1444" i="3"/>
  <c r="L1444" i="3"/>
  <c r="K1444" i="3"/>
  <c r="O1443" i="3"/>
  <c r="N1443" i="3"/>
  <c r="M1443" i="3"/>
  <c r="L1443" i="3"/>
  <c r="K1443" i="3"/>
  <c r="O1442" i="3"/>
  <c r="N1442" i="3"/>
  <c r="M1442" i="3"/>
  <c r="L1442" i="3"/>
  <c r="K1442" i="3"/>
  <c r="O1441" i="3"/>
  <c r="N1441" i="3"/>
  <c r="M1441" i="3"/>
  <c r="L1441" i="3"/>
  <c r="K1441" i="3"/>
  <c r="O1440" i="3"/>
  <c r="N1440" i="3"/>
  <c r="M1440" i="3"/>
  <c r="L1440" i="3"/>
  <c r="K1440" i="3"/>
  <c r="O1439" i="3"/>
  <c r="N1439" i="3"/>
  <c r="M1439" i="3"/>
  <c r="L1439" i="3"/>
  <c r="K1439" i="3"/>
  <c r="O1438" i="3"/>
  <c r="N1438" i="3"/>
  <c r="M1438" i="3"/>
  <c r="L1438" i="3"/>
  <c r="K1438" i="3"/>
  <c r="O1437" i="3"/>
  <c r="N1437" i="3"/>
  <c r="M1437" i="3"/>
  <c r="L1437" i="3"/>
  <c r="K1437" i="3"/>
  <c r="O1436" i="3"/>
  <c r="N1436" i="3"/>
  <c r="M1436" i="3"/>
  <c r="L1436" i="3"/>
  <c r="K1436" i="3"/>
  <c r="O1435" i="3"/>
  <c r="N1435" i="3"/>
  <c r="M1435" i="3"/>
  <c r="L1435" i="3"/>
  <c r="K1435" i="3"/>
  <c r="O1434" i="3"/>
  <c r="N1434" i="3"/>
  <c r="M1434" i="3"/>
  <c r="L1434" i="3"/>
  <c r="K1434" i="3"/>
  <c r="O1433" i="3"/>
  <c r="N1433" i="3"/>
  <c r="M1433" i="3"/>
  <c r="L1433" i="3"/>
  <c r="K1433" i="3"/>
  <c r="O1432" i="3"/>
  <c r="N1432" i="3"/>
  <c r="M1432" i="3"/>
  <c r="L1432" i="3"/>
  <c r="K1432" i="3"/>
  <c r="O1431" i="3"/>
  <c r="N1431" i="3"/>
  <c r="M1431" i="3"/>
  <c r="L1431" i="3"/>
  <c r="K1431" i="3"/>
  <c r="O1430" i="3"/>
  <c r="N1430" i="3"/>
  <c r="M1430" i="3"/>
  <c r="L1430" i="3"/>
  <c r="K1430" i="3"/>
  <c r="O1429" i="3"/>
  <c r="N1429" i="3"/>
  <c r="M1429" i="3"/>
  <c r="L1429" i="3"/>
  <c r="K1429" i="3"/>
  <c r="O1428" i="3"/>
  <c r="N1428" i="3"/>
  <c r="M1428" i="3"/>
  <c r="L1428" i="3"/>
  <c r="K1428" i="3"/>
  <c r="O1427" i="3"/>
  <c r="N1427" i="3"/>
  <c r="M1427" i="3"/>
  <c r="L1427" i="3"/>
  <c r="K1427" i="3"/>
  <c r="O1426" i="3"/>
  <c r="N1426" i="3"/>
  <c r="M1426" i="3"/>
  <c r="L1426" i="3"/>
  <c r="K1426" i="3"/>
  <c r="O1425" i="3"/>
  <c r="N1425" i="3"/>
  <c r="M1425" i="3"/>
  <c r="L1425" i="3"/>
  <c r="K1425" i="3"/>
  <c r="O1424" i="3"/>
  <c r="N1424" i="3"/>
  <c r="M1424" i="3"/>
  <c r="L1424" i="3"/>
  <c r="K1424" i="3"/>
  <c r="O1423" i="3"/>
  <c r="N1423" i="3"/>
  <c r="M1423" i="3"/>
  <c r="L1423" i="3"/>
  <c r="K1423" i="3"/>
  <c r="O1422" i="3"/>
  <c r="N1422" i="3"/>
  <c r="M1422" i="3"/>
  <c r="L1422" i="3"/>
  <c r="K1422" i="3"/>
  <c r="O1421" i="3"/>
  <c r="N1421" i="3"/>
  <c r="M1421" i="3"/>
  <c r="L1421" i="3"/>
  <c r="K1421" i="3"/>
  <c r="O1420" i="3"/>
  <c r="N1420" i="3"/>
  <c r="M1420" i="3"/>
  <c r="L1420" i="3"/>
  <c r="K1420" i="3"/>
  <c r="O1419" i="3"/>
  <c r="N1419" i="3"/>
  <c r="M1419" i="3"/>
  <c r="L1419" i="3"/>
  <c r="K1419" i="3"/>
  <c r="O1418" i="3"/>
  <c r="N1418" i="3"/>
  <c r="M1418" i="3"/>
  <c r="L1418" i="3"/>
  <c r="K1418" i="3"/>
  <c r="O1417" i="3"/>
  <c r="N1417" i="3"/>
  <c r="M1417" i="3"/>
  <c r="L1417" i="3"/>
  <c r="K1417" i="3"/>
  <c r="O1416" i="3"/>
  <c r="N1416" i="3"/>
  <c r="M1416" i="3"/>
  <c r="L1416" i="3"/>
  <c r="K1416" i="3"/>
  <c r="O1415" i="3"/>
  <c r="N1415" i="3"/>
  <c r="M1415" i="3"/>
  <c r="L1415" i="3"/>
  <c r="K1415" i="3"/>
  <c r="O1414" i="3"/>
  <c r="N1414" i="3"/>
  <c r="M1414" i="3"/>
  <c r="L1414" i="3"/>
  <c r="K1414" i="3"/>
  <c r="O1413" i="3"/>
  <c r="N1413" i="3"/>
  <c r="M1413" i="3"/>
  <c r="L1413" i="3"/>
  <c r="K1413" i="3"/>
  <c r="O1412" i="3"/>
  <c r="N1412" i="3"/>
  <c r="M1412" i="3"/>
  <c r="L1412" i="3"/>
  <c r="K1412" i="3"/>
  <c r="O1411" i="3"/>
  <c r="N1411" i="3"/>
  <c r="M1411" i="3"/>
  <c r="L1411" i="3"/>
  <c r="K1411" i="3"/>
  <c r="O1410" i="3"/>
  <c r="N1410" i="3"/>
  <c r="M1410" i="3"/>
  <c r="L1410" i="3"/>
  <c r="K1410" i="3"/>
  <c r="O1409" i="3"/>
  <c r="N1409" i="3"/>
  <c r="M1409" i="3"/>
  <c r="L1409" i="3"/>
  <c r="K1409" i="3"/>
  <c r="O1408" i="3"/>
  <c r="N1408" i="3"/>
  <c r="M1408" i="3"/>
  <c r="L1408" i="3"/>
  <c r="K1408" i="3"/>
  <c r="O1407" i="3"/>
  <c r="N1407" i="3"/>
  <c r="M1407" i="3"/>
  <c r="L1407" i="3"/>
  <c r="K1407" i="3"/>
  <c r="O1406" i="3"/>
  <c r="N1406" i="3"/>
  <c r="M1406" i="3"/>
  <c r="L1406" i="3"/>
  <c r="K1406" i="3"/>
  <c r="O1405" i="3"/>
  <c r="N1405" i="3"/>
  <c r="M1405" i="3"/>
  <c r="L1405" i="3"/>
  <c r="K1405" i="3"/>
  <c r="O1404" i="3"/>
  <c r="N1404" i="3"/>
  <c r="M1404" i="3"/>
  <c r="L1404" i="3"/>
  <c r="K1404" i="3"/>
  <c r="O1403" i="3"/>
  <c r="N1403" i="3"/>
  <c r="M1403" i="3"/>
  <c r="L1403" i="3"/>
  <c r="K1403" i="3"/>
  <c r="O1402" i="3"/>
  <c r="N1402" i="3"/>
  <c r="M1402" i="3"/>
  <c r="L1402" i="3"/>
  <c r="K1402" i="3"/>
  <c r="O1401" i="3"/>
  <c r="N1401" i="3"/>
  <c r="M1401" i="3"/>
  <c r="L1401" i="3"/>
  <c r="K1401" i="3"/>
  <c r="O1400" i="3"/>
  <c r="N1400" i="3"/>
  <c r="M1400" i="3"/>
  <c r="L1400" i="3"/>
  <c r="K1400" i="3"/>
  <c r="O1399" i="3"/>
  <c r="N1399" i="3"/>
  <c r="M1399" i="3"/>
  <c r="L1399" i="3"/>
  <c r="K1399" i="3"/>
  <c r="O1398" i="3"/>
  <c r="N1398" i="3"/>
  <c r="M1398" i="3"/>
  <c r="L1398" i="3"/>
  <c r="K1398" i="3"/>
  <c r="O1397" i="3"/>
  <c r="N1397" i="3"/>
  <c r="M1397" i="3"/>
  <c r="L1397" i="3"/>
  <c r="K1397" i="3"/>
  <c r="O1396" i="3"/>
  <c r="N1396" i="3"/>
  <c r="M1396" i="3"/>
  <c r="L1396" i="3"/>
  <c r="K1396" i="3"/>
  <c r="O1395" i="3"/>
  <c r="N1395" i="3"/>
  <c r="M1395" i="3"/>
  <c r="L1395" i="3"/>
  <c r="K1395" i="3"/>
  <c r="O1394" i="3"/>
  <c r="N1394" i="3"/>
  <c r="M1394" i="3"/>
  <c r="L1394" i="3"/>
  <c r="K1394" i="3"/>
  <c r="O1393" i="3"/>
  <c r="N1393" i="3"/>
  <c r="M1393" i="3"/>
  <c r="L1393" i="3"/>
  <c r="K1393" i="3"/>
  <c r="O1392" i="3"/>
  <c r="N1392" i="3"/>
  <c r="M1392" i="3"/>
  <c r="L1392" i="3"/>
  <c r="K1392" i="3"/>
  <c r="O1391" i="3"/>
  <c r="N1391" i="3"/>
  <c r="M1391" i="3"/>
  <c r="L1391" i="3"/>
  <c r="K1391" i="3"/>
  <c r="O1390" i="3"/>
  <c r="N1390" i="3"/>
  <c r="M1390" i="3"/>
  <c r="L1390" i="3"/>
  <c r="K1390" i="3"/>
  <c r="O1389" i="3"/>
  <c r="N1389" i="3"/>
  <c r="M1389" i="3"/>
  <c r="L1389" i="3"/>
  <c r="K1389" i="3"/>
  <c r="O1388" i="3"/>
  <c r="N1388" i="3"/>
  <c r="M1388" i="3"/>
  <c r="L1388" i="3"/>
  <c r="K1388" i="3"/>
  <c r="O1387" i="3"/>
  <c r="N1387" i="3"/>
  <c r="M1387" i="3"/>
  <c r="L1387" i="3"/>
  <c r="K1387" i="3"/>
  <c r="O1386" i="3"/>
  <c r="N1386" i="3"/>
  <c r="M1386" i="3"/>
  <c r="L1386" i="3"/>
  <c r="K1386" i="3"/>
  <c r="O1385" i="3"/>
  <c r="N1385" i="3"/>
  <c r="M1385" i="3"/>
  <c r="L1385" i="3"/>
  <c r="K1385" i="3"/>
  <c r="O1384" i="3"/>
  <c r="N1384" i="3"/>
  <c r="M1384" i="3"/>
  <c r="L1384" i="3"/>
  <c r="K1384" i="3"/>
  <c r="O1383" i="3"/>
  <c r="N1383" i="3"/>
  <c r="M1383" i="3"/>
  <c r="L1383" i="3"/>
  <c r="K1383" i="3"/>
  <c r="O1382" i="3"/>
  <c r="N1382" i="3"/>
  <c r="M1382" i="3"/>
  <c r="L1382" i="3"/>
  <c r="K1382" i="3"/>
  <c r="O1381" i="3"/>
  <c r="N1381" i="3"/>
  <c r="M1381" i="3"/>
  <c r="L1381" i="3"/>
  <c r="K1381" i="3"/>
  <c r="O1380" i="3"/>
  <c r="N1380" i="3"/>
  <c r="M1380" i="3"/>
  <c r="L1380" i="3"/>
  <c r="K1380" i="3"/>
  <c r="O1379" i="3"/>
  <c r="N1379" i="3"/>
  <c r="M1379" i="3"/>
  <c r="L1379" i="3"/>
  <c r="K1379" i="3"/>
  <c r="O1378" i="3"/>
  <c r="N1378" i="3"/>
  <c r="M1378" i="3"/>
  <c r="L1378" i="3"/>
  <c r="K1378" i="3"/>
  <c r="O1377" i="3"/>
  <c r="N1377" i="3"/>
  <c r="M1377" i="3"/>
  <c r="L1377" i="3"/>
  <c r="K1377" i="3"/>
  <c r="O1376" i="3"/>
  <c r="N1376" i="3"/>
  <c r="M1376" i="3"/>
  <c r="L1376" i="3"/>
  <c r="K1376" i="3"/>
  <c r="O1375" i="3"/>
  <c r="N1375" i="3"/>
  <c r="M1375" i="3"/>
  <c r="L1375" i="3"/>
  <c r="K1375" i="3"/>
  <c r="O1374" i="3"/>
  <c r="N1374" i="3"/>
  <c r="M1374" i="3"/>
  <c r="L1374" i="3"/>
  <c r="K1374" i="3"/>
  <c r="O1373" i="3"/>
  <c r="N1373" i="3"/>
  <c r="M1373" i="3"/>
  <c r="L1373" i="3"/>
  <c r="K1373" i="3"/>
  <c r="O1372" i="3"/>
  <c r="N1372" i="3"/>
  <c r="M1372" i="3"/>
  <c r="L1372" i="3"/>
  <c r="K1372" i="3"/>
  <c r="O1371" i="3"/>
  <c r="N1371" i="3"/>
  <c r="M1371" i="3"/>
  <c r="L1371" i="3"/>
  <c r="K1371" i="3"/>
  <c r="O1370" i="3"/>
  <c r="N1370" i="3"/>
  <c r="M1370" i="3"/>
  <c r="L1370" i="3"/>
  <c r="K1370" i="3"/>
  <c r="O1369" i="3"/>
  <c r="N1369" i="3"/>
  <c r="M1369" i="3"/>
  <c r="L1369" i="3"/>
  <c r="K1369" i="3"/>
  <c r="O1368" i="3"/>
  <c r="N1368" i="3"/>
  <c r="M1368" i="3"/>
  <c r="L1368" i="3"/>
  <c r="K1368" i="3"/>
  <c r="O1367" i="3"/>
  <c r="N1367" i="3"/>
  <c r="M1367" i="3"/>
  <c r="L1367" i="3"/>
  <c r="K1367" i="3"/>
  <c r="O1366" i="3"/>
  <c r="N1366" i="3"/>
  <c r="M1366" i="3"/>
  <c r="L1366" i="3"/>
  <c r="K1366" i="3"/>
  <c r="O1365" i="3"/>
  <c r="N1365" i="3"/>
  <c r="M1365" i="3"/>
  <c r="L1365" i="3"/>
  <c r="K1365" i="3"/>
  <c r="O1364" i="3"/>
  <c r="N1364" i="3"/>
  <c r="M1364" i="3"/>
  <c r="L1364" i="3"/>
  <c r="K1364" i="3"/>
  <c r="O1363" i="3"/>
  <c r="N1363" i="3"/>
  <c r="M1363" i="3"/>
  <c r="L1363" i="3"/>
  <c r="K1363" i="3"/>
  <c r="O1362" i="3"/>
  <c r="N1362" i="3"/>
  <c r="M1362" i="3"/>
  <c r="L1362" i="3"/>
  <c r="K1362" i="3"/>
  <c r="O1361" i="3"/>
  <c r="N1361" i="3"/>
  <c r="M1361" i="3"/>
  <c r="L1361" i="3"/>
  <c r="K1361" i="3"/>
  <c r="O1360" i="3"/>
  <c r="N1360" i="3"/>
  <c r="M1360" i="3"/>
  <c r="L1360" i="3"/>
  <c r="K1360" i="3"/>
  <c r="O1359" i="3"/>
  <c r="N1359" i="3"/>
  <c r="M1359" i="3"/>
  <c r="L1359" i="3"/>
  <c r="K1359" i="3"/>
  <c r="O1358" i="3"/>
  <c r="N1358" i="3"/>
  <c r="M1358" i="3"/>
  <c r="L1358" i="3"/>
  <c r="K1358" i="3"/>
  <c r="O1357" i="3"/>
  <c r="N1357" i="3"/>
  <c r="M1357" i="3"/>
  <c r="L1357" i="3"/>
  <c r="K1357" i="3"/>
  <c r="O1356" i="3"/>
  <c r="N1356" i="3"/>
  <c r="M1356" i="3"/>
  <c r="L1356" i="3"/>
  <c r="K1356" i="3"/>
  <c r="O1355" i="3"/>
  <c r="N1355" i="3"/>
  <c r="M1355" i="3"/>
  <c r="L1355" i="3"/>
  <c r="K1355" i="3"/>
  <c r="O1354" i="3"/>
  <c r="N1354" i="3"/>
  <c r="M1354" i="3"/>
  <c r="L1354" i="3"/>
  <c r="K1354" i="3"/>
  <c r="O1353" i="3"/>
  <c r="N1353" i="3"/>
  <c r="M1353" i="3"/>
  <c r="L1353" i="3"/>
  <c r="K1353" i="3"/>
  <c r="O1352" i="3"/>
  <c r="N1352" i="3"/>
  <c r="M1352" i="3"/>
  <c r="L1352" i="3"/>
  <c r="K1352" i="3"/>
  <c r="O1351" i="3"/>
  <c r="N1351" i="3"/>
  <c r="M1351" i="3"/>
  <c r="L1351" i="3"/>
  <c r="K1351" i="3"/>
  <c r="O1350" i="3"/>
  <c r="N1350" i="3"/>
  <c r="M1350" i="3"/>
  <c r="L1350" i="3"/>
  <c r="K1350" i="3"/>
  <c r="O1349" i="3"/>
  <c r="N1349" i="3"/>
  <c r="M1349" i="3"/>
  <c r="L1349" i="3"/>
  <c r="K1349" i="3"/>
  <c r="O1348" i="3"/>
  <c r="N1348" i="3"/>
  <c r="M1348" i="3"/>
  <c r="L1348" i="3"/>
  <c r="K1348" i="3"/>
  <c r="O1347" i="3"/>
  <c r="N1347" i="3"/>
  <c r="M1347" i="3"/>
  <c r="L1347" i="3"/>
  <c r="K1347" i="3"/>
  <c r="O1346" i="3"/>
  <c r="N1346" i="3"/>
  <c r="M1346" i="3"/>
  <c r="L1346" i="3"/>
  <c r="K1346" i="3"/>
  <c r="O1345" i="3"/>
  <c r="N1345" i="3"/>
  <c r="M1345" i="3"/>
  <c r="L1345" i="3"/>
  <c r="K1345" i="3"/>
  <c r="O1344" i="3"/>
  <c r="N1344" i="3"/>
  <c r="M1344" i="3"/>
  <c r="L1344" i="3"/>
  <c r="K1344" i="3"/>
  <c r="O1343" i="3"/>
  <c r="N1343" i="3"/>
  <c r="M1343" i="3"/>
  <c r="L1343" i="3"/>
  <c r="K1343" i="3"/>
  <c r="O1342" i="3"/>
  <c r="N1342" i="3"/>
  <c r="M1342" i="3"/>
  <c r="L1342" i="3"/>
  <c r="K1342" i="3"/>
  <c r="O1341" i="3"/>
  <c r="N1341" i="3"/>
  <c r="M1341" i="3"/>
  <c r="L1341" i="3"/>
  <c r="K1341" i="3"/>
  <c r="O1340" i="3"/>
  <c r="N1340" i="3"/>
  <c r="M1340" i="3"/>
  <c r="L1340" i="3"/>
  <c r="K1340" i="3"/>
  <c r="O1339" i="3"/>
  <c r="N1339" i="3"/>
  <c r="M1339" i="3"/>
  <c r="L1339" i="3"/>
  <c r="K1339" i="3"/>
  <c r="O1338" i="3"/>
  <c r="N1338" i="3"/>
  <c r="M1338" i="3"/>
  <c r="L1338" i="3"/>
  <c r="K1338" i="3"/>
  <c r="O1337" i="3"/>
  <c r="N1337" i="3"/>
  <c r="M1337" i="3"/>
  <c r="L1337" i="3"/>
  <c r="K1337" i="3"/>
  <c r="O1336" i="3"/>
  <c r="N1336" i="3"/>
  <c r="M1336" i="3"/>
  <c r="L1336" i="3"/>
  <c r="K1336" i="3"/>
  <c r="O1335" i="3"/>
  <c r="N1335" i="3"/>
  <c r="M1335" i="3"/>
  <c r="L1335" i="3"/>
  <c r="K1335" i="3"/>
  <c r="O1334" i="3"/>
  <c r="N1334" i="3"/>
  <c r="M1334" i="3"/>
  <c r="L1334" i="3"/>
  <c r="K1334" i="3"/>
  <c r="O1333" i="3"/>
  <c r="N1333" i="3"/>
  <c r="M1333" i="3"/>
  <c r="L1333" i="3"/>
  <c r="K1333" i="3"/>
  <c r="O1332" i="3"/>
  <c r="N1332" i="3"/>
  <c r="M1332" i="3"/>
  <c r="L1332" i="3"/>
  <c r="K1332" i="3"/>
  <c r="O1331" i="3"/>
  <c r="N1331" i="3"/>
  <c r="M1331" i="3"/>
  <c r="L1331" i="3"/>
  <c r="K1331" i="3"/>
  <c r="O1330" i="3"/>
  <c r="N1330" i="3"/>
  <c r="M1330" i="3"/>
  <c r="L1330" i="3"/>
  <c r="K1330" i="3"/>
  <c r="O1329" i="3"/>
  <c r="N1329" i="3"/>
  <c r="M1329" i="3"/>
  <c r="L1329" i="3"/>
  <c r="K1329" i="3"/>
  <c r="O1328" i="3"/>
  <c r="N1328" i="3"/>
  <c r="M1328" i="3"/>
  <c r="L1328" i="3"/>
  <c r="K1328" i="3"/>
  <c r="O1327" i="3"/>
  <c r="N1327" i="3"/>
  <c r="M1327" i="3"/>
  <c r="L1327" i="3"/>
  <c r="K1327" i="3"/>
  <c r="O1326" i="3"/>
  <c r="N1326" i="3"/>
  <c r="M1326" i="3"/>
  <c r="L1326" i="3"/>
  <c r="K1326" i="3"/>
  <c r="O1325" i="3"/>
  <c r="N1325" i="3"/>
  <c r="M1325" i="3"/>
  <c r="L1325" i="3"/>
  <c r="K1325" i="3"/>
  <c r="O1324" i="3"/>
  <c r="N1324" i="3"/>
  <c r="M1324" i="3"/>
  <c r="L1324" i="3"/>
  <c r="K1324" i="3"/>
  <c r="O1323" i="3"/>
  <c r="N1323" i="3"/>
  <c r="M1323" i="3"/>
  <c r="L1323" i="3"/>
  <c r="K1323" i="3"/>
  <c r="O1322" i="3"/>
  <c r="N1322" i="3"/>
  <c r="M1322" i="3"/>
  <c r="L1322" i="3"/>
  <c r="K1322" i="3"/>
  <c r="O1321" i="3"/>
  <c r="N1321" i="3"/>
  <c r="M1321" i="3"/>
  <c r="L1321" i="3"/>
  <c r="K1321" i="3"/>
  <c r="O1320" i="3"/>
  <c r="N1320" i="3"/>
  <c r="M1320" i="3"/>
  <c r="L1320" i="3"/>
  <c r="K1320" i="3"/>
  <c r="O1319" i="3"/>
  <c r="N1319" i="3"/>
  <c r="M1319" i="3"/>
  <c r="L1319" i="3"/>
  <c r="K1319" i="3"/>
  <c r="O1318" i="3"/>
  <c r="N1318" i="3"/>
  <c r="M1318" i="3"/>
  <c r="L1318" i="3"/>
  <c r="K1318" i="3"/>
  <c r="O1317" i="3"/>
  <c r="N1317" i="3"/>
  <c r="M1317" i="3"/>
  <c r="L1317" i="3"/>
  <c r="K1317" i="3"/>
  <c r="O1316" i="3"/>
  <c r="N1316" i="3"/>
  <c r="M1316" i="3"/>
  <c r="L1316" i="3"/>
  <c r="K1316" i="3"/>
  <c r="O1315" i="3"/>
  <c r="N1315" i="3"/>
  <c r="M1315" i="3"/>
  <c r="L1315" i="3"/>
  <c r="K1315" i="3"/>
  <c r="O1314" i="3"/>
  <c r="N1314" i="3"/>
  <c r="M1314" i="3"/>
  <c r="L1314" i="3"/>
  <c r="K1314" i="3"/>
  <c r="O1313" i="3"/>
  <c r="N1313" i="3"/>
  <c r="M1313" i="3"/>
  <c r="L1313" i="3"/>
  <c r="K1313" i="3"/>
  <c r="O1312" i="3"/>
  <c r="N1312" i="3"/>
  <c r="M1312" i="3"/>
  <c r="L1312" i="3"/>
  <c r="K1312" i="3"/>
  <c r="O1311" i="3"/>
  <c r="N1311" i="3"/>
  <c r="M1311" i="3"/>
  <c r="L1311" i="3"/>
  <c r="K1311" i="3"/>
  <c r="O1310" i="3"/>
  <c r="N1310" i="3"/>
  <c r="M1310" i="3"/>
  <c r="L1310" i="3"/>
  <c r="K1310" i="3"/>
  <c r="O1309" i="3"/>
  <c r="N1309" i="3"/>
  <c r="M1309" i="3"/>
  <c r="L1309" i="3"/>
  <c r="K1309" i="3"/>
  <c r="O1308" i="3"/>
  <c r="N1308" i="3"/>
  <c r="M1308" i="3"/>
  <c r="L1308" i="3"/>
  <c r="K1308" i="3"/>
  <c r="O1307" i="3"/>
  <c r="N1307" i="3"/>
  <c r="M1307" i="3"/>
  <c r="L1307" i="3"/>
  <c r="K1307" i="3"/>
  <c r="O1306" i="3"/>
  <c r="N1306" i="3"/>
  <c r="M1306" i="3"/>
  <c r="L1306" i="3"/>
  <c r="K1306" i="3"/>
  <c r="O1305" i="3"/>
  <c r="N1305" i="3"/>
  <c r="M1305" i="3"/>
  <c r="L1305" i="3"/>
  <c r="K1305" i="3"/>
  <c r="O1304" i="3"/>
  <c r="N1304" i="3"/>
  <c r="M1304" i="3"/>
  <c r="L1304" i="3"/>
  <c r="K1304" i="3"/>
  <c r="O1303" i="3"/>
  <c r="N1303" i="3"/>
  <c r="M1303" i="3"/>
  <c r="L1303" i="3"/>
  <c r="K1303" i="3"/>
  <c r="O1302" i="3"/>
  <c r="N1302" i="3"/>
  <c r="M1302" i="3"/>
  <c r="L1302" i="3"/>
  <c r="K1302" i="3"/>
  <c r="O1301" i="3"/>
  <c r="N1301" i="3"/>
  <c r="M1301" i="3"/>
  <c r="L1301" i="3"/>
  <c r="K1301" i="3"/>
  <c r="O1300" i="3"/>
  <c r="N1300" i="3"/>
  <c r="M1300" i="3"/>
  <c r="L1300" i="3"/>
  <c r="K1300" i="3"/>
  <c r="O1299" i="3"/>
  <c r="N1299" i="3"/>
  <c r="M1299" i="3"/>
  <c r="L1299" i="3"/>
  <c r="K1299" i="3"/>
  <c r="O1298" i="3"/>
  <c r="N1298" i="3"/>
  <c r="M1298" i="3"/>
  <c r="L1298" i="3"/>
  <c r="K1298" i="3"/>
  <c r="O1297" i="3"/>
  <c r="N1297" i="3"/>
  <c r="M1297" i="3"/>
  <c r="L1297" i="3"/>
  <c r="K1297" i="3"/>
  <c r="O1296" i="3"/>
  <c r="N1296" i="3"/>
  <c r="M1296" i="3"/>
  <c r="L1296" i="3"/>
  <c r="K1296" i="3"/>
  <c r="O1295" i="3"/>
  <c r="N1295" i="3"/>
  <c r="M1295" i="3"/>
  <c r="L1295" i="3"/>
  <c r="K1295" i="3"/>
  <c r="O1294" i="3"/>
  <c r="N1294" i="3"/>
  <c r="M1294" i="3"/>
  <c r="L1294" i="3"/>
  <c r="K1294" i="3"/>
  <c r="O1293" i="3"/>
  <c r="N1293" i="3"/>
  <c r="M1293" i="3"/>
  <c r="L1293" i="3"/>
  <c r="K1293" i="3"/>
  <c r="O1292" i="3"/>
  <c r="N1292" i="3"/>
  <c r="M1292" i="3"/>
  <c r="L1292" i="3"/>
  <c r="K1292" i="3"/>
  <c r="O1291" i="3"/>
  <c r="N1291" i="3"/>
  <c r="M1291" i="3"/>
  <c r="L1291" i="3"/>
  <c r="K1291" i="3"/>
  <c r="O1290" i="3"/>
  <c r="N1290" i="3"/>
  <c r="M1290" i="3"/>
  <c r="L1290" i="3"/>
  <c r="K1290" i="3"/>
  <c r="O1289" i="3"/>
  <c r="N1289" i="3"/>
  <c r="M1289" i="3"/>
  <c r="L1289" i="3"/>
  <c r="K1289" i="3"/>
  <c r="O1288" i="3"/>
  <c r="N1288" i="3"/>
  <c r="M1288" i="3"/>
  <c r="L1288" i="3"/>
  <c r="K1288" i="3"/>
  <c r="O1287" i="3"/>
  <c r="N1287" i="3"/>
  <c r="M1287" i="3"/>
  <c r="L1287" i="3"/>
  <c r="K1287" i="3"/>
  <c r="O1286" i="3"/>
  <c r="N1286" i="3"/>
  <c r="M1286" i="3"/>
  <c r="L1286" i="3"/>
  <c r="K1286" i="3"/>
  <c r="O1285" i="3"/>
  <c r="N1285" i="3"/>
  <c r="M1285" i="3"/>
  <c r="L1285" i="3"/>
  <c r="K1285" i="3"/>
  <c r="O1284" i="3"/>
  <c r="N1284" i="3"/>
  <c r="M1284" i="3"/>
  <c r="L1284" i="3"/>
  <c r="K1284" i="3"/>
  <c r="O1283" i="3"/>
  <c r="N1283" i="3"/>
  <c r="M1283" i="3"/>
  <c r="L1283" i="3"/>
  <c r="K1283" i="3"/>
  <c r="O1282" i="3"/>
  <c r="N1282" i="3"/>
  <c r="M1282" i="3"/>
  <c r="L1282" i="3"/>
  <c r="K1282" i="3"/>
  <c r="O1281" i="3"/>
  <c r="N1281" i="3"/>
  <c r="M1281" i="3"/>
  <c r="L1281" i="3"/>
  <c r="K1281" i="3"/>
  <c r="O1280" i="3"/>
  <c r="N1280" i="3"/>
  <c r="M1280" i="3"/>
  <c r="L1280" i="3"/>
  <c r="K1280" i="3"/>
  <c r="O1279" i="3"/>
  <c r="N1279" i="3"/>
  <c r="M1279" i="3"/>
  <c r="L1279" i="3"/>
  <c r="K1279" i="3"/>
  <c r="O1278" i="3"/>
  <c r="N1278" i="3"/>
  <c r="M1278" i="3"/>
  <c r="L1278" i="3"/>
  <c r="K1278" i="3"/>
  <c r="O1277" i="3"/>
  <c r="N1277" i="3"/>
  <c r="M1277" i="3"/>
  <c r="L1277" i="3"/>
  <c r="K1277" i="3"/>
  <c r="O1276" i="3"/>
  <c r="N1276" i="3"/>
  <c r="M1276" i="3"/>
  <c r="L1276" i="3"/>
  <c r="K1276" i="3"/>
  <c r="O1275" i="3"/>
  <c r="N1275" i="3"/>
  <c r="M1275" i="3"/>
  <c r="L1275" i="3"/>
  <c r="K1275" i="3"/>
  <c r="O1274" i="3"/>
  <c r="N1274" i="3"/>
  <c r="M1274" i="3"/>
  <c r="L1274" i="3"/>
  <c r="K1274" i="3"/>
  <c r="O1273" i="3"/>
  <c r="N1273" i="3"/>
  <c r="M1273" i="3"/>
  <c r="L1273" i="3"/>
  <c r="K1273" i="3"/>
  <c r="O1272" i="3"/>
  <c r="N1272" i="3"/>
  <c r="M1272" i="3"/>
  <c r="L1272" i="3"/>
  <c r="K1272" i="3"/>
  <c r="O1271" i="3"/>
  <c r="N1271" i="3"/>
  <c r="M1271" i="3"/>
  <c r="L1271" i="3"/>
  <c r="K1271" i="3"/>
  <c r="O1270" i="3"/>
  <c r="N1270" i="3"/>
  <c r="M1270" i="3"/>
  <c r="L1270" i="3"/>
  <c r="K1270" i="3"/>
  <c r="O1269" i="3"/>
  <c r="N1269" i="3"/>
  <c r="M1269" i="3"/>
  <c r="L1269" i="3"/>
  <c r="K1269" i="3"/>
  <c r="O1268" i="3"/>
  <c r="N1268" i="3"/>
  <c r="M1268" i="3"/>
  <c r="L1268" i="3"/>
  <c r="K1268" i="3"/>
  <c r="O1267" i="3"/>
  <c r="N1267" i="3"/>
  <c r="M1267" i="3"/>
  <c r="L1267" i="3"/>
  <c r="K1267" i="3"/>
  <c r="O1266" i="3"/>
  <c r="N1266" i="3"/>
  <c r="M1266" i="3"/>
  <c r="L1266" i="3"/>
  <c r="K1266" i="3"/>
  <c r="O1265" i="3"/>
  <c r="N1265" i="3"/>
  <c r="M1265" i="3"/>
  <c r="L1265" i="3"/>
  <c r="K1265" i="3"/>
  <c r="O1264" i="3"/>
  <c r="N1264" i="3"/>
  <c r="M1264" i="3"/>
  <c r="L1264" i="3"/>
  <c r="K1264" i="3"/>
  <c r="O1263" i="3"/>
  <c r="N1263" i="3"/>
  <c r="M1263" i="3"/>
  <c r="L1263" i="3"/>
  <c r="K1263" i="3"/>
  <c r="O1262" i="3"/>
  <c r="N1262" i="3"/>
  <c r="M1262" i="3"/>
  <c r="L1262" i="3"/>
  <c r="K1262" i="3"/>
  <c r="O1261" i="3"/>
  <c r="N1261" i="3"/>
  <c r="M1261" i="3"/>
  <c r="L1261" i="3"/>
  <c r="K1261" i="3"/>
  <c r="O1260" i="3"/>
  <c r="N1260" i="3"/>
  <c r="M1260" i="3"/>
  <c r="L1260" i="3"/>
  <c r="K1260" i="3"/>
  <c r="O1259" i="3"/>
  <c r="N1259" i="3"/>
  <c r="M1259" i="3"/>
  <c r="L1259" i="3"/>
  <c r="K1259" i="3"/>
  <c r="O1258" i="3"/>
  <c r="N1258" i="3"/>
  <c r="M1258" i="3"/>
  <c r="L1258" i="3"/>
  <c r="K1258" i="3"/>
  <c r="O1257" i="3"/>
  <c r="N1257" i="3"/>
  <c r="M1257" i="3"/>
  <c r="L1257" i="3"/>
  <c r="K1257" i="3"/>
  <c r="O1256" i="3"/>
  <c r="N1256" i="3"/>
  <c r="M1256" i="3"/>
  <c r="L1256" i="3"/>
  <c r="K1256" i="3"/>
  <c r="O1255" i="3"/>
  <c r="N1255" i="3"/>
  <c r="M1255" i="3"/>
  <c r="L1255" i="3"/>
  <c r="K1255" i="3"/>
  <c r="O1254" i="3"/>
  <c r="N1254" i="3"/>
  <c r="M1254" i="3"/>
  <c r="L1254" i="3"/>
  <c r="K1254" i="3"/>
  <c r="O1253" i="3"/>
  <c r="N1253" i="3"/>
  <c r="M1253" i="3"/>
  <c r="L1253" i="3"/>
  <c r="K1253" i="3"/>
  <c r="O1252" i="3"/>
  <c r="N1252" i="3"/>
  <c r="M1252" i="3"/>
  <c r="L1252" i="3"/>
  <c r="K1252" i="3"/>
  <c r="O1251" i="3"/>
  <c r="N1251" i="3"/>
  <c r="M1251" i="3"/>
  <c r="L1251" i="3"/>
  <c r="K1251" i="3"/>
  <c r="O1250" i="3"/>
  <c r="N1250" i="3"/>
  <c r="M1250" i="3"/>
  <c r="L1250" i="3"/>
  <c r="K1250" i="3"/>
  <c r="O1249" i="3"/>
  <c r="N1249" i="3"/>
  <c r="M1249" i="3"/>
  <c r="L1249" i="3"/>
  <c r="K1249" i="3"/>
  <c r="O1248" i="3"/>
  <c r="N1248" i="3"/>
  <c r="M1248" i="3"/>
  <c r="L1248" i="3"/>
  <c r="K1248" i="3"/>
  <c r="O1247" i="3"/>
  <c r="N1247" i="3"/>
  <c r="M1247" i="3"/>
  <c r="L1247" i="3"/>
  <c r="K1247" i="3"/>
  <c r="O1246" i="3"/>
  <c r="N1246" i="3"/>
  <c r="M1246" i="3"/>
  <c r="L1246" i="3"/>
  <c r="K1246" i="3"/>
  <c r="O1245" i="3"/>
  <c r="N1245" i="3"/>
  <c r="M1245" i="3"/>
  <c r="L1245" i="3"/>
  <c r="K1245" i="3"/>
  <c r="O1244" i="3"/>
  <c r="N1244" i="3"/>
  <c r="M1244" i="3"/>
  <c r="L1244" i="3"/>
  <c r="K1244" i="3"/>
  <c r="O1243" i="3"/>
  <c r="N1243" i="3"/>
  <c r="M1243" i="3"/>
  <c r="L1243" i="3"/>
  <c r="K1243" i="3"/>
  <c r="O1242" i="3"/>
  <c r="N1242" i="3"/>
  <c r="M1242" i="3"/>
  <c r="L1242" i="3"/>
  <c r="K1242" i="3"/>
  <c r="O1241" i="3"/>
  <c r="N1241" i="3"/>
  <c r="M1241" i="3"/>
  <c r="L1241" i="3"/>
  <c r="K1241" i="3"/>
  <c r="O1240" i="3"/>
  <c r="N1240" i="3"/>
  <c r="M1240" i="3"/>
  <c r="L1240" i="3"/>
  <c r="K1240" i="3"/>
  <c r="O1239" i="3"/>
  <c r="N1239" i="3"/>
  <c r="M1239" i="3"/>
  <c r="L1239" i="3"/>
  <c r="K1239" i="3"/>
  <c r="O1238" i="3"/>
  <c r="N1238" i="3"/>
  <c r="M1238" i="3"/>
  <c r="L1238" i="3"/>
  <c r="K1238" i="3"/>
  <c r="O1237" i="3"/>
  <c r="N1237" i="3"/>
  <c r="M1237" i="3"/>
  <c r="L1237" i="3"/>
  <c r="K1237" i="3"/>
  <c r="O1236" i="3"/>
  <c r="N1236" i="3"/>
  <c r="M1236" i="3"/>
  <c r="L1236" i="3"/>
  <c r="K1236" i="3"/>
  <c r="O1235" i="3"/>
  <c r="N1235" i="3"/>
  <c r="M1235" i="3"/>
  <c r="L1235" i="3"/>
  <c r="K1235" i="3"/>
  <c r="O1234" i="3"/>
  <c r="N1234" i="3"/>
  <c r="M1234" i="3"/>
  <c r="L1234" i="3"/>
  <c r="K1234" i="3"/>
  <c r="O1233" i="3"/>
  <c r="N1233" i="3"/>
  <c r="M1233" i="3"/>
  <c r="L1233" i="3"/>
  <c r="K1233" i="3"/>
  <c r="O1232" i="3"/>
  <c r="N1232" i="3"/>
  <c r="M1232" i="3"/>
  <c r="L1232" i="3"/>
  <c r="K1232" i="3"/>
  <c r="O1231" i="3"/>
  <c r="N1231" i="3"/>
  <c r="M1231" i="3"/>
  <c r="L1231" i="3"/>
  <c r="K1231" i="3"/>
  <c r="O1230" i="3"/>
  <c r="N1230" i="3"/>
  <c r="M1230" i="3"/>
  <c r="L1230" i="3"/>
  <c r="K1230" i="3"/>
  <c r="O1229" i="3"/>
  <c r="N1229" i="3"/>
  <c r="M1229" i="3"/>
  <c r="L1229" i="3"/>
  <c r="K1229" i="3"/>
  <c r="O1228" i="3"/>
  <c r="N1228" i="3"/>
  <c r="M1228" i="3"/>
  <c r="L1228" i="3"/>
  <c r="K1228" i="3"/>
  <c r="O1227" i="3"/>
  <c r="N1227" i="3"/>
  <c r="M1227" i="3"/>
  <c r="L1227" i="3"/>
  <c r="K1227" i="3"/>
  <c r="O1226" i="3"/>
  <c r="N1226" i="3"/>
  <c r="M1226" i="3"/>
  <c r="L1226" i="3"/>
  <c r="K1226" i="3"/>
  <c r="O1225" i="3"/>
  <c r="N1225" i="3"/>
  <c r="M1225" i="3"/>
  <c r="L1225" i="3"/>
  <c r="K1225" i="3"/>
  <c r="O1224" i="3"/>
  <c r="N1224" i="3"/>
  <c r="M1224" i="3"/>
  <c r="L1224" i="3"/>
  <c r="K1224" i="3"/>
  <c r="O1223" i="3"/>
  <c r="N1223" i="3"/>
  <c r="M1223" i="3"/>
  <c r="L1223" i="3"/>
  <c r="K1223" i="3"/>
  <c r="O1222" i="3"/>
  <c r="N1222" i="3"/>
  <c r="M1222" i="3"/>
  <c r="L1222" i="3"/>
  <c r="K1222" i="3"/>
  <c r="O1221" i="3"/>
  <c r="N1221" i="3"/>
  <c r="M1221" i="3"/>
  <c r="L1221" i="3"/>
  <c r="K1221" i="3"/>
  <c r="O1220" i="3"/>
  <c r="N1220" i="3"/>
  <c r="M1220" i="3"/>
  <c r="L1220" i="3"/>
  <c r="K1220" i="3"/>
  <c r="O1219" i="3"/>
  <c r="N1219" i="3"/>
  <c r="M1219" i="3"/>
  <c r="L1219" i="3"/>
  <c r="K1219" i="3"/>
  <c r="O1218" i="3"/>
  <c r="N1218" i="3"/>
  <c r="M1218" i="3"/>
  <c r="L1218" i="3"/>
  <c r="K1218" i="3"/>
  <c r="O1217" i="3"/>
  <c r="N1217" i="3"/>
  <c r="M1217" i="3"/>
  <c r="L1217" i="3"/>
  <c r="K1217" i="3"/>
  <c r="O1216" i="3"/>
  <c r="N1216" i="3"/>
  <c r="M1216" i="3"/>
  <c r="L1216" i="3"/>
  <c r="K1216" i="3"/>
  <c r="O1215" i="3"/>
  <c r="N1215" i="3"/>
  <c r="M1215" i="3"/>
  <c r="L1215" i="3"/>
  <c r="K1215" i="3"/>
  <c r="O1214" i="3"/>
  <c r="N1214" i="3"/>
  <c r="M1214" i="3"/>
  <c r="L1214" i="3"/>
  <c r="K1214" i="3"/>
  <c r="O1213" i="3"/>
  <c r="N1213" i="3"/>
  <c r="M1213" i="3"/>
  <c r="L1213" i="3"/>
  <c r="K1213" i="3"/>
  <c r="O1212" i="3"/>
  <c r="N1212" i="3"/>
  <c r="M1212" i="3"/>
  <c r="L1212" i="3"/>
  <c r="K1212" i="3"/>
  <c r="O1211" i="3"/>
  <c r="N1211" i="3"/>
  <c r="M1211" i="3"/>
  <c r="L1211" i="3"/>
  <c r="K1211" i="3"/>
  <c r="O1210" i="3"/>
  <c r="N1210" i="3"/>
  <c r="M1210" i="3"/>
  <c r="L1210" i="3"/>
  <c r="K1210" i="3"/>
  <c r="O1209" i="3"/>
  <c r="N1209" i="3"/>
  <c r="M1209" i="3"/>
  <c r="L1209" i="3"/>
  <c r="K1209" i="3"/>
  <c r="O1208" i="3"/>
  <c r="N1208" i="3"/>
  <c r="M1208" i="3"/>
  <c r="L1208" i="3"/>
  <c r="K1208" i="3"/>
  <c r="O1207" i="3"/>
  <c r="N1207" i="3"/>
  <c r="M1207" i="3"/>
  <c r="L1207" i="3"/>
  <c r="K1207" i="3"/>
  <c r="O1206" i="3"/>
  <c r="N1206" i="3"/>
  <c r="M1206" i="3"/>
  <c r="L1206" i="3"/>
  <c r="K1206" i="3"/>
  <c r="O1205" i="3"/>
  <c r="N1205" i="3"/>
  <c r="M1205" i="3"/>
  <c r="L1205" i="3"/>
  <c r="K1205" i="3"/>
  <c r="O1204" i="3"/>
  <c r="N1204" i="3"/>
  <c r="M1204" i="3"/>
  <c r="L1204" i="3"/>
  <c r="K1204" i="3"/>
  <c r="O1203" i="3"/>
  <c r="N1203" i="3"/>
  <c r="M1203" i="3"/>
  <c r="L1203" i="3"/>
  <c r="K1203" i="3"/>
  <c r="O1202" i="3"/>
  <c r="N1202" i="3"/>
  <c r="M1202" i="3"/>
  <c r="L1202" i="3"/>
  <c r="K1202" i="3"/>
  <c r="O1201" i="3"/>
  <c r="N1201" i="3"/>
  <c r="M1201" i="3"/>
  <c r="L1201" i="3"/>
  <c r="K1201" i="3"/>
  <c r="O1200" i="3"/>
  <c r="N1200" i="3"/>
  <c r="M1200" i="3"/>
  <c r="L1200" i="3"/>
  <c r="K1200" i="3"/>
  <c r="O1199" i="3"/>
  <c r="N1199" i="3"/>
  <c r="M1199" i="3"/>
  <c r="L1199" i="3"/>
  <c r="K1199" i="3"/>
  <c r="O1198" i="3"/>
  <c r="N1198" i="3"/>
  <c r="M1198" i="3"/>
  <c r="L1198" i="3"/>
  <c r="K1198" i="3"/>
  <c r="O1197" i="3"/>
  <c r="N1197" i="3"/>
  <c r="M1197" i="3"/>
  <c r="L1197" i="3"/>
  <c r="K1197" i="3"/>
  <c r="O1196" i="3"/>
  <c r="N1196" i="3"/>
  <c r="M1196" i="3"/>
  <c r="L1196" i="3"/>
  <c r="K1196" i="3"/>
  <c r="O1195" i="3"/>
  <c r="N1195" i="3"/>
  <c r="M1195" i="3"/>
  <c r="L1195" i="3"/>
  <c r="K1195" i="3"/>
  <c r="O1194" i="3"/>
  <c r="N1194" i="3"/>
  <c r="M1194" i="3"/>
  <c r="L1194" i="3"/>
  <c r="K1194" i="3"/>
  <c r="O1193" i="3"/>
  <c r="N1193" i="3"/>
  <c r="M1193" i="3"/>
  <c r="L1193" i="3"/>
  <c r="K1193" i="3"/>
  <c r="O1192" i="3"/>
  <c r="N1192" i="3"/>
  <c r="M1192" i="3"/>
  <c r="L1192" i="3"/>
  <c r="K1192" i="3"/>
  <c r="O1191" i="3"/>
  <c r="N1191" i="3"/>
  <c r="M1191" i="3"/>
  <c r="L1191" i="3"/>
  <c r="K1191" i="3"/>
  <c r="O1190" i="3"/>
  <c r="N1190" i="3"/>
  <c r="M1190" i="3"/>
  <c r="L1190" i="3"/>
  <c r="K1190" i="3"/>
  <c r="O1189" i="3"/>
  <c r="N1189" i="3"/>
  <c r="M1189" i="3"/>
  <c r="L1189" i="3"/>
  <c r="K1189" i="3"/>
  <c r="O1188" i="3"/>
  <c r="N1188" i="3"/>
  <c r="M1188" i="3"/>
  <c r="L1188" i="3"/>
  <c r="K1188" i="3"/>
  <c r="O1187" i="3"/>
  <c r="N1187" i="3"/>
  <c r="M1187" i="3"/>
  <c r="L1187" i="3"/>
  <c r="K1187" i="3"/>
  <c r="O1186" i="3"/>
  <c r="N1186" i="3"/>
  <c r="M1186" i="3"/>
  <c r="L1186" i="3"/>
  <c r="K1186" i="3"/>
  <c r="O1185" i="3"/>
  <c r="N1185" i="3"/>
  <c r="M1185" i="3"/>
  <c r="L1185" i="3"/>
  <c r="K1185" i="3"/>
  <c r="O1184" i="3"/>
  <c r="N1184" i="3"/>
  <c r="M1184" i="3"/>
  <c r="L1184" i="3"/>
  <c r="K1184" i="3"/>
  <c r="O1183" i="3"/>
  <c r="N1183" i="3"/>
  <c r="M1183" i="3"/>
  <c r="L1183" i="3"/>
  <c r="K1183" i="3"/>
  <c r="O1182" i="3"/>
  <c r="N1182" i="3"/>
  <c r="M1182" i="3"/>
  <c r="L1182" i="3"/>
  <c r="K1182" i="3"/>
  <c r="O1181" i="3"/>
  <c r="N1181" i="3"/>
  <c r="M1181" i="3"/>
  <c r="L1181" i="3"/>
  <c r="K1181" i="3"/>
  <c r="O1180" i="3"/>
  <c r="N1180" i="3"/>
  <c r="M1180" i="3"/>
  <c r="L1180" i="3"/>
  <c r="K1180" i="3"/>
  <c r="O1179" i="3"/>
  <c r="N1179" i="3"/>
  <c r="M1179" i="3"/>
  <c r="L1179" i="3"/>
  <c r="K1179" i="3"/>
  <c r="O1178" i="3"/>
  <c r="N1178" i="3"/>
  <c r="M1178" i="3"/>
  <c r="L1178" i="3"/>
  <c r="K1178" i="3"/>
  <c r="O1177" i="3"/>
  <c r="N1177" i="3"/>
  <c r="M1177" i="3"/>
  <c r="L1177" i="3"/>
  <c r="K1177" i="3"/>
  <c r="O1176" i="3"/>
  <c r="N1176" i="3"/>
  <c r="M1176" i="3"/>
  <c r="L1176" i="3"/>
  <c r="K1176" i="3"/>
  <c r="O1175" i="3"/>
  <c r="N1175" i="3"/>
  <c r="M1175" i="3"/>
  <c r="L1175" i="3"/>
  <c r="K1175" i="3"/>
  <c r="O1174" i="3"/>
  <c r="N1174" i="3"/>
  <c r="M1174" i="3"/>
  <c r="L1174" i="3"/>
  <c r="K1174" i="3"/>
  <c r="O1173" i="3"/>
  <c r="N1173" i="3"/>
  <c r="M1173" i="3"/>
  <c r="L1173" i="3"/>
  <c r="K1173" i="3"/>
  <c r="O1172" i="3"/>
  <c r="N1172" i="3"/>
  <c r="M1172" i="3"/>
  <c r="L1172" i="3"/>
  <c r="K1172" i="3"/>
  <c r="O1171" i="3"/>
  <c r="N1171" i="3"/>
  <c r="M1171" i="3"/>
  <c r="L1171" i="3"/>
  <c r="K1171" i="3"/>
  <c r="O1170" i="3"/>
  <c r="N1170" i="3"/>
  <c r="M1170" i="3"/>
  <c r="L1170" i="3"/>
  <c r="K1170" i="3"/>
  <c r="O1169" i="3"/>
  <c r="N1169" i="3"/>
  <c r="M1169" i="3"/>
  <c r="L1169" i="3"/>
  <c r="K1169" i="3"/>
  <c r="O1168" i="3"/>
  <c r="N1168" i="3"/>
  <c r="M1168" i="3"/>
  <c r="L1168" i="3"/>
  <c r="K1168" i="3"/>
  <c r="O1167" i="3"/>
  <c r="N1167" i="3"/>
  <c r="M1167" i="3"/>
  <c r="L1167" i="3"/>
  <c r="K1167" i="3"/>
  <c r="O1166" i="3"/>
  <c r="N1166" i="3"/>
  <c r="M1166" i="3"/>
  <c r="L1166" i="3"/>
  <c r="K1166" i="3"/>
  <c r="O1165" i="3"/>
  <c r="N1165" i="3"/>
  <c r="M1165" i="3"/>
  <c r="L1165" i="3"/>
  <c r="K1165" i="3"/>
  <c r="O1164" i="3"/>
  <c r="N1164" i="3"/>
  <c r="M1164" i="3"/>
  <c r="L1164" i="3"/>
  <c r="K1164" i="3"/>
  <c r="O1163" i="3"/>
  <c r="N1163" i="3"/>
  <c r="M1163" i="3"/>
  <c r="L1163" i="3"/>
  <c r="K1163" i="3"/>
  <c r="O1162" i="3"/>
  <c r="N1162" i="3"/>
  <c r="M1162" i="3"/>
  <c r="L1162" i="3"/>
  <c r="K1162" i="3"/>
  <c r="O1161" i="3"/>
  <c r="N1161" i="3"/>
  <c r="M1161" i="3"/>
  <c r="L1161" i="3"/>
  <c r="K1161" i="3"/>
  <c r="O1160" i="3"/>
  <c r="N1160" i="3"/>
  <c r="M1160" i="3"/>
  <c r="L1160" i="3"/>
  <c r="K1160" i="3"/>
  <c r="O1159" i="3"/>
  <c r="N1159" i="3"/>
  <c r="M1159" i="3"/>
  <c r="L1159" i="3"/>
  <c r="K1159" i="3"/>
  <c r="O1158" i="3"/>
  <c r="N1158" i="3"/>
  <c r="M1158" i="3"/>
  <c r="L1158" i="3"/>
  <c r="K1158" i="3"/>
  <c r="O1157" i="3"/>
  <c r="N1157" i="3"/>
  <c r="M1157" i="3"/>
  <c r="L1157" i="3"/>
  <c r="K1157" i="3"/>
  <c r="O1156" i="3"/>
  <c r="N1156" i="3"/>
  <c r="M1156" i="3"/>
  <c r="L1156" i="3"/>
  <c r="K1156" i="3"/>
  <c r="O1155" i="3"/>
  <c r="N1155" i="3"/>
  <c r="M1155" i="3"/>
  <c r="L1155" i="3"/>
  <c r="K1155" i="3"/>
  <c r="O1154" i="3"/>
  <c r="N1154" i="3"/>
  <c r="M1154" i="3"/>
  <c r="L1154" i="3"/>
  <c r="K1154" i="3"/>
  <c r="O1153" i="3"/>
  <c r="N1153" i="3"/>
  <c r="M1153" i="3"/>
  <c r="L1153" i="3"/>
  <c r="K1153" i="3"/>
  <c r="O1152" i="3"/>
  <c r="N1152" i="3"/>
  <c r="M1152" i="3"/>
  <c r="L1152" i="3"/>
  <c r="K1152" i="3"/>
  <c r="O1151" i="3"/>
  <c r="N1151" i="3"/>
  <c r="M1151" i="3"/>
  <c r="L1151" i="3"/>
  <c r="K1151" i="3"/>
  <c r="O1150" i="3"/>
  <c r="N1150" i="3"/>
  <c r="M1150" i="3"/>
  <c r="L1150" i="3"/>
  <c r="K1150" i="3"/>
  <c r="O1149" i="3"/>
  <c r="N1149" i="3"/>
  <c r="M1149" i="3"/>
  <c r="L1149" i="3"/>
  <c r="K1149" i="3"/>
  <c r="O1148" i="3"/>
  <c r="N1148" i="3"/>
  <c r="M1148" i="3"/>
  <c r="L1148" i="3"/>
  <c r="K1148" i="3"/>
  <c r="O1147" i="3"/>
  <c r="N1147" i="3"/>
  <c r="M1147" i="3"/>
  <c r="L1147" i="3"/>
  <c r="K1147" i="3"/>
  <c r="O1146" i="3"/>
  <c r="N1146" i="3"/>
  <c r="M1146" i="3"/>
  <c r="L1146" i="3"/>
  <c r="K1146" i="3"/>
  <c r="O1145" i="3"/>
  <c r="N1145" i="3"/>
  <c r="M1145" i="3"/>
  <c r="L1145" i="3"/>
  <c r="K1145" i="3"/>
  <c r="O1144" i="3"/>
  <c r="N1144" i="3"/>
  <c r="M1144" i="3"/>
  <c r="L1144" i="3"/>
  <c r="K1144" i="3"/>
  <c r="O1143" i="3"/>
  <c r="N1143" i="3"/>
  <c r="M1143" i="3"/>
  <c r="L1143" i="3"/>
  <c r="K1143" i="3"/>
  <c r="O1142" i="3"/>
  <c r="N1142" i="3"/>
  <c r="M1142" i="3"/>
  <c r="L1142" i="3"/>
  <c r="K1142" i="3"/>
  <c r="O1141" i="3"/>
  <c r="N1141" i="3"/>
  <c r="M1141" i="3"/>
  <c r="L1141" i="3"/>
  <c r="K1141" i="3"/>
  <c r="O1140" i="3"/>
  <c r="N1140" i="3"/>
  <c r="M1140" i="3"/>
  <c r="L1140" i="3"/>
  <c r="K1140" i="3"/>
  <c r="O1139" i="3"/>
  <c r="N1139" i="3"/>
  <c r="M1139" i="3"/>
  <c r="L1139" i="3"/>
  <c r="K1139" i="3"/>
  <c r="O1138" i="3"/>
  <c r="N1138" i="3"/>
  <c r="M1138" i="3"/>
  <c r="L1138" i="3"/>
  <c r="K1138" i="3"/>
  <c r="O1137" i="3"/>
  <c r="N1137" i="3"/>
  <c r="M1137" i="3"/>
  <c r="L1137" i="3"/>
  <c r="K1137" i="3"/>
  <c r="O1136" i="3"/>
  <c r="N1136" i="3"/>
  <c r="M1136" i="3"/>
  <c r="L1136" i="3"/>
  <c r="K1136" i="3"/>
  <c r="O1135" i="3"/>
  <c r="N1135" i="3"/>
  <c r="M1135" i="3"/>
  <c r="L1135" i="3"/>
  <c r="K1135" i="3"/>
  <c r="O1134" i="3"/>
  <c r="N1134" i="3"/>
  <c r="M1134" i="3"/>
  <c r="L1134" i="3"/>
  <c r="K1134" i="3"/>
  <c r="O1133" i="3"/>
  <c r="N1133" i="3"/>
  <c r="M1133" i="3"/>
  <c r="L1133" i="3"/>
  <c r="K1133" i="3"/>
  <c r="O1132" i="3"/>
  <c r="N1132" i="3"/>
  <c r="M1132" i="3"/>
  <c r="L1132" i="3"/>
  <c r="K1132" i="3"/>
  <c r="A1132" i="3"/>
  <c r="O1131" i="3"/>
  <c r="N1131" i="3"/>
  <c r="M1131" i="3"/>
  <c r="L1131" i="3"/>
  <c r="K1131" i="3"/>
  <c r="B1131" i="3"/>
  <c r="A1131" i="3"/>
  <c r="O1130" i="3"/>
  <c r="N1130" i="3"/>
  <c r="M1130" i="3"/>
  <c r="L1130" i="3"/>
  <c r="K1130" i="3"/>
  <c r="B1130" i="3"/>
  <c r="A1130" i="3"/>
  <c r="O1129" i="3"/>
  <c r="N1129" i="3"/>
  <c r="M1129" i="3"/>
  <c r="L1129" i="3"/>
  <c r="K1129" i="3"/>
  <c r="B1129" i="3"/>
  <c r="C1130" i="3" s="1"/>
  <c r="A1129" i="3"/>
  <c r="O1128" i="3"/>
  <c r="N1128" i="3"/>
  <c r="M1128" i="3"/>
  <c r="L1128" i="3"/>
  <c r="K1128" i="3"/>
  <c r="C1128" i="3"/>
  <c r="B1128" i="3"/>
  <c r="A1128" i="3"/>
  <c r="O1127" i="3"/>
  <c r="N1127" i="3"/>
  <c r="M1127" i="3"/>
  <c r="L1127" i="3"/>
  <c r="K1127" i="3"/>
  <c r="B1127" i="3"/>
  <c r="A1127" i="3"/>
  <c r="O1126" i="3"/>
  <c r="N1126" i="3"/>
  <c r="M1126" i="3"/>
  <c r="L1126" i="3"/>
  <c r="K1126" i="3"/>
  <c r="O1125" i="3"/>
  <c r="N1125" i="3"/>
  <c r="M1125" i="3"/>
  <c r="L1125" i="3"/>
  <c r="K1125" i="3"/>
  <c r="A1125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A1124" i="3"/>
  <c r="O1123" i="3"/>
  <c r="N1123" i="3"/>
  <c r="M1123" i="3"/>
  <c r="L1123" i="3"/>
  <c r="K1123" i="3"/>
  <c r="O1122" i="3"/>
  <c r="N1122" i="3"/>
  <c r="M1122" i="3"/>
  <c r="L1122" i="3"/>
  <c r="K1122" i="3"/>
  <c r="O1121" i="3"/>
  <c r="N1121" i="3"/>
  <c r="M1121" i="3"/>
  <c r="L1121" i="3"/>
  <c r="K1121" i="3"/>
  <c r="O1120" i="3"/>
  <c r="N1120" i="3"/>
  <c r="M1120" i="3"/>
  <c r="L1120" i="3"/>
  <c r="K1120" i="3"/>
  <c r="O1119" i="3"/>
  <c r="N1119" i="3"/>
  <c r="M1119" i="3"/>
  <c r="L1119" i="3"/>
  <c r="K1119" i="3"/>
  <c r="O1118" i="3"/>
  <c r="N1118" i="3"/>
  <c r="M1118" i="3"/>
  <c r="L1118" i="3"/>
  <c r="K1118" i="3"/>
  <c r="O1117" i="3"/>
  <c r="N1117" i="3"/>
  <c r="M1117" i="3"/>
  <c r="L1117" i="3"/>
  <c r="K1117" i="3"/>
  <c r="O1116" i="3"/>
  <c r="N1116" i="3"/>
  <c r="M1116" i="3"/>
  <c r="L1116" i="3"/>
  <c r="K1116" i="3"/>
  <c r="E1116" i="3"/>
  <c r="E2183" i="3" s="1"/>
  <c r="D1116" i="3"/>
  <c r="D2183" i="3" s="1"/>
  <c r="C1116" i="3"/>
  <c r="C2183" i="3" s="1"/>
  <c r="B1116" i="3"/>
  <c r="B2183" i="3" s="1"/>
  <c r="A1116" i="3"/>
  <c r="A2183" i="3" s="1"/>
  <c r="O1115" i="3"/>
  <c r="N1115" i="3"/>
  <c r="M1115" i="3"/>
  <c r="L1115" i="3"/>
  <c r="K1115" i="3"/>
  <c r="E1115" i="3"/>
  <c r="E2182" i="3" s="1"/>
  <c r="D1115" i="3"/>
  <c r="D2182" i="3" s="1"/>
  <c r="C1115" i="3"/>
  <c r="C2182" i="3" s="1"/>
  <c r="B1115" i="3"/>
  <c r="B2182" i="3" s="1"/>
  <c r="A1115" i="3"/>
  <c r="A2182" i="3" s="1"/>
  <c r="O1114" i="3"/>
  <c r="N1114" i="3"/>
  <c r="M1114" i="3"/>
  <c r="L1114" i="3"/>
  <c r="K1114" i="3"/>
  <c r="E1114" i="3"/>
  <c r="E2181" i="3" s="1"/>
  <c r="D1114" i="3"/>
  <c r="D2181" i="3" s="1"/>
  <c r="C1114" i="3"/>
  <c r="C2181" i="3" s="1"/>
  <c r="B1114" i="3"/>
  <c r="B2181" i="3" s="1"/>
  <c r="A1114" i="3"/>
  <c r="A2181" i="3" s="1"/>
  <c r="O1113" i="3"/>
  <c r="N1113" i="3"/>
  <c r="M1113" i="3"/>
  <c r="L1113" i="3"/>
  <c r="K1113" i="3"/>
  <c r="E1113" i="3"/>
  <c r="E2180" i="3" s="1"/>
  <c r="D1113" i="3"/>
  <c r="D2180" i="3" s="1"/>
  <c r="C1113" i="3"/>
  <c r="C2180" i="3" s="1"/>
  <c r="B1113" i="3"/>
  <c r="B2180" i="3" s="1"/>
  <c r="A1113" i="3"/>
  <c r="A2180" i="3" s="1"/>
  <c r="O1112" i="3"/>
  <c r="N1112" i="3"/>
  <c r="M1112" i="3"/>
  <c r="L1112" i="3"/>
  <c r="K1112" i="3"/>
  <c r="E1112" i="3"/>
  <c r="E2179" i="3" s="1"/>
  <c r="D1112" i="3"/>
  <c r="D2179" i="3" s="1"/>
  <c r="C1112" i="3"/>
  <c r="C2179" i="3" s="1"/>
  <c r="B1112" i="3"/>
  <c r="B2179" i="3" s="1"/>
  <c r="A1112" i="3"/>
  <c r="A2179" i="3" s="1"/>
  <c r="O1111" i="3"/>
  <c r="N1111" i="3"/>
  <c r="M1111" i="3"/>
  <c r="L1111" i="3"/>
  <c r="K1111" i="3"/>
  <c r="E1111" i="3"/>
  <c r="E2178" i="3" s="1"/>
  <c r="D1111" i="3"/>
  <c r="D2178" i="3" s="1"/>
  <c r="C1111" i="3"/>
  <c r="C2178" i="3" s="1"/>
  <c r="B1111" i="3"/>
  <c r="B2178" i="3" s="1"/>
  <c r="A1111" i="3"/>
  <c r="A2178" i="3" s="1"/>
  <c r="O1110" i="3"/>
  <c r="N1110" i="3"/>
  <c r="M1110" i="3"/>
  <c r="L1110" i="3"/>
  <c r="K1110" i="3"/>
  <c r="E1110" i="3"/>
  <c r="E2177" i="3" s="1"/>
  <c r="D1110" i="3"/>
  <c r="D2177" i="3" s="1"/>
  <c r="C1110" i="3"/>
  <c r="C2177" i="3" s="1"/>
  <c r="B1110" i="3"/>
  <c r="B2177" i="3" s="1"/>
  <c r="A1110" i="3"/>
  <c r="A2177" i="3" s="1"/>
  <c r="O1109" i="3"/>
  <c r="N1109" i="3"/>
  <c r="M1109" i="3"/>
  <c r="L1109" i="3"/>
  <c r="K1109" i="3"/>
  <c r="E1109" i="3"/>
  <c r="E2176" i="3" s="1"/>
  <c r="D1109" i="3"/>
  <c r="D2176" i="3" s="1"/>
  <c r="C1109" i="3"/>
  <c r="C2176" i="3" s="1"/>
  <c r="B1109" i="3"/>
  <c r="B2176" i="3" s="1"/>
  <c r="A1109" i="3"/>
  <c r="A2176" i="3" s="1"/>
  <c r="O1108" i="3"/>
  <c r="N1108" i="3"/>
  <c r="M1108" i="3"/>
  <c r="L1108" i="3"/>
  <c r="K1108" i="3"/>
  <c r="E1108" i="3"/>
  <c r="E2175" i="3" s="1"/>
  <c r="D1108" i="3"/>
  <c r="D2175" i="3" s="1"/>
  <c r="C1108" i="3"/>
  <c r="C2175" i="3" s="1"/>
  <c r="B1108" i="3"/>
  <c r="B2175" i="3" s="1"/>
  <c r="A1108" i="3"/>
  <c r="A2175" i="3" s="1"/>
  <c r="O1107" i="3"/>
  <c r="N1107" i="3"/>
  <c r="M1107" i="3"/>
  <c r="L1107" i="3"/>
  <c r="K1107" i="3"/>
  <c r="E1107" i="3"/>
  <c r="E2174" i="3" s="1"/>
  <c r="D1107" i="3"/>
  <c r="D2174" i="3" s="1"/>
  <c r="C1107" i="3"/>
  <c r="C2174" i="3" s="1"/>
  <c r="B1107" i="3"/>
  <c r="B2174" i="3" s="1"/>
  <c r="A1107" i="3"/>
  <c r="A2174" i="3" s="1"/>
  <c r="O1106" i="3"/>
  <c r="N1106" i="3"/>
  <c r="M1106" i="3"/>
  <c r="L1106" i="3"/>
  <c r="K1106" i="3"/>
  <c r="E1106" i="3"/>
  <c r="E2173" i="3" s="1"/>
  <c r="D1106" i="3"/>
  <c r="D2173" i="3" s="1"/>
  <c r="C1106" i="3"/>
  <c r="C2173" i="3" s="1"/>
  <c r="B1106" i="3"/>
  <c r="B2173" i="3" s="1"/>
  <c r="A1106" i="3"/>
  <c r="A2173" i="3" s="1"/>
  <c r="O1105" i="3"/>
  <c r="N1105" i="3"/>
  <c r="M1105" i="3"/>
  <c r="L1105" i="3"/>
  <c r="K1105" i="3"/>
  <c r="E1105" i="3"/>
  <c r="E2172" i="3" s="1"/>
  <c r="D1105" i="3"/>
  <c r="D2172" i="3" s="1"/>
  <c r="C1105" i="3"/>
  <c r="C2172" i="3" s="1"/>
  <c r="B1105" i="3"/>
  <c r="B2172" i="3" s="1"/>
  <c r="A1105" i="3"/>
  <c r="A2172" i="3" s="1"/>
  <c r="O1104" i="3"/>
  <c r="N1104" i="3"/>
  <c r="M1104" i="3"/>
  <c r="L1104" i="3"/>
  <c r="K1104" i="3"/>
  <c r="E1104" i="3"/>
  <c r="E2171" i="3" s="1"/>
  <c r="D1104" i="3"/>
  <c r="D2171" i="3" s="1"/>
  <c r="C1104" i="3"/>
  <c r="C2171" i="3" s="1"/>
  <c r="B1104" i="3"/>
  <c r="B2171" i="3" s="1"/>
  <c r="A1104" i="3"/>
  <c r="A2171" i="3" s="1"/>
  <c r="O1103" i="3"/>
  <c r="N1103" i="3"/>
  <c r="M1103" i="3"/>
  <c r="L1103" i="3"/>
  <c r="K1103" i="3"/>
  <c r="E1103" i="3"/>
  <c r="B1103" i="3"/>
  <c r="A1103" i="3"/>
  <c r="O1102" i="3"/>
  <c r="N1102" i="3"/>
  <c r="M1102" i="3"/>
  <c r="L1102" i="3"/>
  <c r="K1102" i="3"/>
  <c r="E1102" i="3"/>
  <c r="E2170" i="3" s="1"/>
  <c r="D1102" i="3"/>
  <c r="D2170" i="3" s="1"/>
  <c r="C1102" i="3"/>
  <c r="C2170" i="3" s="1"/>
  <c r="B1102" i="3"/>
  <c r="B2170" i="3" s="1"/>
  <c r="A1102" i="3"/>
  <c r="A2170" i="3" s="1"/>
  <c r="O1101" i="3"/>
  <c r="N1101" i="3"/>
  <c r="M1101" i="3"/>
  <c r="L1101" i="3"/>
  <c r="K1101" i="3"/>
  <c r="E1101" i="3"/>
  <c r="E2169" i="3" s="1"/>
  <c r="D1101" i="3"/>
  <c r="D2169" i="3" s="1"/>
  <c r="C1101" i="3"/>
  <c r="C2169" i="3" s="1"/>
  <c r="B1101" i="3"/>
  <c r="B2169" i="3" s="1"/>
  <c r="A1101" i="3"/>
  <c r="A2169" i="3" s="1"/>
  <c r="O1100" i="3"/>
  <c r="N1100" i="3"/>
  <c r="M1100" i="3"/>
  <c r="L1100" i="3"/>
  <c r="K1100" i="3"/>
  <c r="E1100" i="3"/>
  <c r="E2168" i="3" s="1"/>
  <c r="D1100" i="3"/>
  <c r="D2168" i="3" s="1"/>
  <c r="C1100" i="3"/>
  <c r="C2168" i="3" s="1"/>
  <c r="B1100" i="3"/>
  <c r="B2168" i="3" s="1"/>
  <c r="A1100" i="3"/>
  <c r="A2168" i="3" s="1"/>
  <c r="O1099" i="3"/>
  <c r="N1099" i="3"/>
  <c r="M1099" i="3"/>
  <c r="L1099" i="3"/>
  <c r="K1099" i="3"/>
  <c r="E1099" i="3"/>
  <c r="E2167" i="3" s="1"/>
  <c r="D1099" i="3"/>
  <c r="D2167" i="3" s="1"/>
  <c r="C1099" i="3"/>
  <c r="C2167" i="3" s="1"/>
  <c r="B1099" i="3"/>
  <c r="B2167" i="3" s="1"/>
  <c r="A1099" i="3"/>
  <c r="A2167" i="3" s="1"/>
  <c r="O1098" i="3"/>
  <c r="N1098" i="3"/>
  <c r="M1098" i="3"/>
  <c r="L1098" i="3"/>
  <c r="K1098" i="3"/>
  <c r="E1098" i="3"/>
  <c r="E2166" i="3" s="1"/>
  <c r="D1098" i="3"/>
  <c r="D2166" i="3" s="1"/>
  <c r="C1098" i="3"/>
  <c r="C2166" i="3" s="1"/>
  <c r="B1098" i="3"/>
  <c r="B2166" i="3" s="1"/>
  <c r="A1098" i="3"/>
  <c r="A2166" i="3" s="1"/>
  <c r="O1097" i="3"/>
  <c r="N1097" i="3"/>
  <c r="M1097" i="3"/>
  <c r="L1097" i="3"/>
  <c r="K1097" i="3"/>
  <c r="E1097" i="3"/>
  <c r="E2165" i="3" s="1"/>
  <c r="D1097" i="3"/>
  <c r="D2165" i="3" s="1"/>
  <c r="C1097" i="3"/>
  <c r="C2165" i="3" s="1"/>
  <c r="B1097" i="3"/>
  <c r="B2165" i="3" s="1"/>
  <c r="A1097" i="3"/>
  <c r="A2165" i="3" s="1"/>
  <c r="O1096" i="3"/>
  <c r="N1096" i="3"/>
  <c r="M1096" i="3"/>
  <c r="L1096" i="3"/>
  <c r="K1096" i="3"/>
  <c r="E1096" i="3"/>
  <c r="E2164" i="3" s="1"/>
  <c r="D1096" i="3"/>
  <c r="D2164" i="3" s="1"/>
  <c r="C1096" i="3"/>
  <c r="C2164" i="3" s="1"/>
  <c r="B1096" i="3"/>
  <c r="B2164" i="3" s="1"/>
  <c r="A1096" i="3"/>
  <c r="A2164" i="3" s="1"/>
  <c r="O1095" i="3"/>
  <c r="N1095" i="3"/>
  <c r="M1095" i="3"/>
  <c r="L1095" i="3"/>
  <c r="K1095" i="3"/>
  <c r="E1095" i="3"/>
  <c r="E2163" i="3" s="1"/>
  <c r="D1095" i="3"/>
  <c r="D2163" i="3" s="1"/>
  <c r="C1095" i="3"/>
  <c r="C2163" i="3" s="1"/>
  <c r="B1095" i="3"/>
  <c r="B2163" i="3" s="1"/>
  <c r="A1095" i="3"/>
  <c r="A2163" i="3" s="1"/>
  <c r="O1094" i="3"/>
  <c r="N1094" i="3"/>
  <c r="M1094" i="3"/>
  <c r="L1094" i="3"/>
  <c r="K1094" i="3"/>
  <c r="E1094" i="3"/>
  <c r="E2162" i="3" s="1"/>
  <c r="D1094" i="3"/>
  <c r="D2162" i="3" s="1"/>
  <c r="C1094" i="3"/>
  <c r="C2162" i="3" s="1"/>
  <c r="B1094" i="3"/>
  <c r="B2162" i="3" s="1"/>
  <c r="A1094" i="3"/>
  <c r="A2162" i="3" s="1"/>
  <c r="O1093" i="3"/>
  <c r="N1093" i="3"/>
  <c r="M1093" i="3"/>
  <c r="L1093" i="3"/>
  <c r="K1093" i="3"/>
  <c r="E1093" i="3"/>
  <c r="E2161" i="3" s="1"/>
  <c r="D1093" i="3"/>
  <c r="D2161" i="3" s="1"/>
  <c r="C1093" i="3"/>
  <c r="C2161" i="3" s="1"/>
  <c r="B1093" i="3"/>
  <c r="B2161" i="3" s="1"/>
  <c r="A1093" i="3"/>
  <c r="A2161" i="3" s="1"/>
  <c r="O1092" i="3"/>
  <c r="N1092" i="3"/>
  <c r="M1092" i="3"/>
  <c r="L1092" i="3"/>
  <c r="K1092" i="3"/>
  <c r="E1092" i="3"/>
  <c r="E2160" i="3" s="1"/>
  <c r="D1092" i="3"/>
  <c r="D2160" i="3" s="1"/>
  <c r="C1092" i="3"/>
  <c r="C2160" i="3" s="1"/>
  <c r="B1092" i="3"/>
  <c r="B2160" i="3" s="1"/>
  <c r="A1092" i="3"/>
  <c r="A2160" i="3" s="1"/>
  <c r="O1091" i="3"/>
  <c r="N1091" i="3"/>
  <c r="M1091" i="3"/>
  <c r="L1091" i="3"/>
  <c r="K1091" i="3"/>
  <c r="E1091" i="3"/>
  <c r="E2159" i="3" s="1"/>
  <c r="D1091" i="3"/>
  <c r="D2159" i="3" s="1"/>
  <c r="C1091" i="3"/>
  <c r="C2159" i="3" s="1"/>
  <c r="B1091" i="3"/>
  <c r="B2159" i="3" s="1"/>
  <c r="A1091" i="3"/>
  <c r="A2159" i="3" s="1"/>
  <c r="O1090" i="3"/>
  <c r="N1090" i="3"/>
  <c r="M1090" i="3"/>
  <c r="L1090" i="3"/>
  <c r="K1090" i="3"/>
  <c r="E1090" i="3"/>
  <c r="E2158" i="3" s="1"/>
  <c r="D1090" i="3"/>
  <c r="D2158" i="3" s="1"/>
  <c r="C1090" i="3"/>
  <c r="C2158" i="3" s="1"/>
  <c r="B1090" i="3"/>
  <c r="B2158" i="3" s="1"/>
  <c r="A1090" i="3"/>
  <c r="A2158" i="3" s="1"/>
  <c r="O1089" i="3"/>
  <c r="N1089" i="3"/>
  <c r="M1089" i="3"/>
  <c r="L1089" i="3"/>
  <c r="K1089" i="3"/>
  <c r="E1089" i="3"/>
  <c r="E2157" i="3" s="1"/>
  <c r="D1089" i="3"/>
  <c r="D2157" i="3" s="1"/>
  <c r="C1089" i="3"/>
  <c r="C2157" i="3" s="1"/>
  <c r="B1089" i="3"/>
  <c r="B2157" i="3" s="1"/>
  <c r="A1089" i="3"/>
  <c r="A2157" i="3" s="1"/>
  <c r="O1088" i="3"/>
  <c r="N1088" i="3"/>
  <c r="M1088" i="3"/>
  <c r="L1088" i="3"/>
  <c r="K1088" i="3"/>
  <c r="E1088" i="3"/>
  <c r="E2156" i="3" s="1"/>
  <c r="D1088" i="3"/>
  <c r="D2156" i="3" s="1"/>
  <c r="C1088" i="3"/>
  <c r="C2156" i="3" s="1"/>
  <c r="B1088" i="3"/>
  <c r="B2156" i="3" s="1"/>
  <c r="A1088" i="3"/>
  <c r="A2156" i="3" s="1"/>
  <c r="O1087" i="3"/>
  <c r="N1087" i="3"/>
  <c r="M1087" i="3"/>
  <c r="L1087" i="3"/>
  <c r="K1087" i="3"/>
  <c r="E1087" i="3"/>
  <c r="E2155" i="3" s="1"/>
  <c r="D1087" i="3"/>
  <c r="D2155" i="3" s="1"/>
  <c r="C1087" i="3"/>
  <c r="C2155" i="3" s="1"/>
  <c r="B1087" i="3"/>
  <c r="B2155" i="3" s="1"/>
  <c r="A1087" i="3"/>
  <c r="A2155" i="3" s="1"/>
  <c r="O1086" i="3"/>
  <c r="N1086" i="3"/>
  <c r="M1086" i="3"/>
  <c r="L1086" i="3"/>
  <c r="K1086" i="3"/>
  <c r="E1086" i="3"/>
  <c r="E2154" i="3" s="1"/>
  <c r="D1086" i="3"/>
  <c r="D2154" i="3" s="1"/>
  <c r="C1086" i="3"/>
  <c r="C2154" i="3" s="1"/>
  <c r="B1086" i="3"/>
  <c r="B2154" i="3" s="1"/>
  <c r="A1086" i="3"/>
  <c r="A2154" i="3" s="1"/>
  <c r="O1085" i="3"/>
  <c r="N1085" i="3"/>
  <c r="M1085" i="3"/>
  <c r="L1085" i="3"/>
  <c r="K1085" i="3"/>
  <c r="E1085" i="3"/>
  <c r="E2153" i="3" s="1"/>
  <c r="D1085" i="3"/>
  <c r="D2153" i="3" s="1"/>
  <c r="C1085" i="3"/>
  <c r="C2153" i="3" s="1"/>
  <c r="B1085" i="3"/>
  <c r="B2153" i="3" s="1"/>
  <c r="A1085" i="3"/>
  <c r="A2153" i="3" s="1"/>
  <c r="O1084" i="3"/>
  <c r="N1084" i="3"/>
  <c r="M1084" i="3"/>
  <c r="L1084" i="3"/>
  <c r="K1084" i="3"/>
  <c r="E1084" i="3"/>
  <c r="E2152" i="3" s="1"/>
  <c r="D1084" i="3"/>
  <c r="D2152" i="3" s="1"/>
  <c r="C1084" i="3"/>
  <c r="C2152" i="3" s="1"/>
  <c r="B1084" i="3"/>
  <c r="B2152" i="3" s="1"/>
  <c r="A1084" i="3"/>
  <c r="A2152" i="3" s="1"/>
  <c r="O1083" i="3"/>
  <c r="N1083" i="3"/>
  <c r="M1083" i="3"/>
  <c r="L1083" i="3"/>
  <c r="K1083" i="3"/>
  <c r="E1083" i="3"/>
  <c r="E2151" i="3" s="1"/>
  <c r="D1083" i="3"/>
  <c r="D2151" i="3" s="1"/>
  <c r="C1083" i="3"/>
  <c r="C2151" i="3" s="1"/>
  <c r="B1083" i="3"/>
  <c r="B2151" i="3" s="1"/>
  <c r="A1083" i="3"/>
  <c r="A2151" i="3" s="1"/>
  <c r="O1082" i="3"/>
  <c r="N1082" i="3"/>
  <c r="M1082" i="3"/>
  <c r="L1082" i="3"/>
  <c r="K1082" i="3"/>
  <c r="E1082" i="3"/>
  <c r="E2150" i="3" s="1"/>
  <c r="D1082" i="3"/>
  <c r="D2150" i="3" s="1"/>
  <c r="C1082" i="3"/>
  <c r="C2150" i="3" s="1"/>
  <c r="B1082" i="3"/>
  <c r="B2150" i="3" s="1"/>
  <c r="A1082" i="3"/>
  <c r="A2150" i="3" s="1"/>
  <c r="O1081" i="3"/>
  <c r="N1081" i="3"/>
  <c r="M1081" i="3"/>
  <c r="L1081" i="3"/>
  <c r="K1081" i="3"/>
  <c r="E1081" i="3"/>
  <c r="E2149" i="3" s="1"/>
  <c r="D1081" i="3"/>
  <c r="D2149" i="3" s="1"/>
  <c r="C1081" i="3"/>
  <c r="C2149" i="3" s="1"/>
  <c r="B1081" i="3"/>
  <c r="B2149" i="3" s="1"/>
  <c r="A1081" i="3"/>
  <c r="A2149" i="3" s="1"/>
  <c r="O1080" i="3"/>
  <c r="N1080" i="3"/>
  <c r="M1080" i="3"/>
  <c r="L1080" i="3"/>
  <c r="K1080" i="3"/>
  <c r="E1080" i="3"/>
  <c r="E2148" i="3" s="1"/>
  <c r="D1080" i="3"/>
  <c r="D2148" i="3" s="1"/>
  <c r="C1080" i="3"/>
  <c r="C2148" i="3" s="1"/>
  <c r="B1080" i="3"/>
  <c r="B2148" i="3" s="1"/>
  <c r="A1080" i="3"/>
  <c r="A2148" i="3" s="1"/>
  <c r="O1079" i="3"/>
  <c r="N1079" i="3"/>
  <c r="M1079" i="3"/>
  <c r="L1079" i="3"/>
  <c r="K1079" i="3"/>
  <c r="E1079" i="3"/>
  <c r="E2147" i="3" s="1"/>
  <c r="D1079" i="3"/>
  <c r="D2147" i="3" s="1"/>
  <c r="C1079" i="3"/>
  <c r="C2147" i="3" s="1"/>
  <c r="B1079" i="3"/>
  <c r="B2147" i="3" s="1"/>
  <c r="A1079" i="3"/>
  <c r="A2147" i="3" s="1"/>
  <c r="O1078" i="3"/>
  <c r="N1078" i="3"/>
  <c r="M1078" i="3"/>
  <c r="L1078" i="3"/>
  <c r="K1078" i="3"/>
  <c r="E1078" i="3"/>
  <c r="E2146" i="3" s="1"/>
  <c r="D1078" i="3"/>
  <c r="D2146" i="3" s="1"/>
  <c r="C1078" i="3"/>
  <c r="C2146" i="3" s="1"/>
  <c r="B1078" i="3"/>
  <c r="B2146" i="3" s="1"/>
  <c r="A1078" i="3"/>
  <c r="A2146" i="3" s="1"/>
  <c r="O1077" i="3"/>
  <c r="N1077" i="3"/>
  <c r="M1077" i="3"/>
  <c r="L1077" i="3"/>
  <c r="K1077" i="3"/>
  <c r="E1077" i="3"/>
  <c r="E2145" i="3" s="1"/>
  <c r="D1077" i="3"/>
  <c r="D2145" i="3" s="1"/>
  <c r="C1077" i="3"/>
  <c r="C2145" i="3" s="1"/>
  <c r="B1077" i="3"/>
  <c r="B2145" i="3" s="1"/>
  <c r="A1077" i="3"/>
  <c r="A2145" i="3" s="1"/>
  <c r="O1076" i="3"/>
  <c r="N1076" i="3"/>
  <c r="M1076" i="3"/>
  <c r="L1076" i="3"/>
  <c r="K1076" i="3"/>
  <c r="E1076" i="3"/>
  <c r="E2144" i="3" s="1"/>
  <c r="D1076" i="3"/>
  <c r="D2144" i="3" s="1"/>
  <c r="C1076" i="3"/>
  <c r="C2144" i="3" s="1"/>
  <c r="B1076" i="3"/>
  <c r="B2144" i="3" s="1"/>
  <c r="A1076" i="3"/>
  <c r="A2144" i="3" s="1"/>
  <c r="O1075" i="3"/>
  <c r="N1075" i="3"/>
  <c r="M1075" i="3"/>
  <c r="L1075" i="3"/>
  <c r="K1075" i="3"/>
  <c r="E1075" i="3"/>
  <c r="E2143" i="3" s="1"/>
  <c r="D1075" i="3"/>
  <c r="D2143" i="3" s="1"/>
  <c r="C1075" i="3"/>
  <c r="C2143" i="3" s="1"/>
  <c r="B1075" i="3"/>
  <c r="B2143" i="3" s="1"/>
  <c r="A1075" i="3"/>
  <c r="A2143" i="3" s="1"/>
  <c r="O1074" i="3"/>
  <c r="N1074" i="3"/>
  <c r="M1074" i="3"/>
  <c r="L1074" i="3"/>
  <c r="K1074" i="3"/>
  <c r="E1074" i="3"/>
  <c r="E2142" i="3" s="1"/>
  <c r="D1074" i="3"/>
  <c r="D2142" i="3" s="1"/>
  <c r="C1074" i="3"/>
  <c r="C2142" i="3" s="1"/>
  <c r="B1074" i="3"/>
  <c r="B2142" i="3" s="1"/>
  <c r="A1074" i="3"/>
  <c r="A2142" i="3" s="1"/>
  <c r="O1073" i="3"/>
  <c r="N1073" i="3"/>
  <c r="M1073" i="3"/>
  <c r="L1073" i="3"/>
  <c r="K1073" i="3"/>
  <c r="E1073" i="3"/>
  <c r="E2141" i="3" s="1"/>
  <c r="D1073" i="3"/>
  <c r="D2141" i="3" s="1"/>
  <c r="C1073" i="3"/>
  <c r="C2141" i="3" s="1"/>
  <c r="B1073" i="3"/>
  <c r="B2141" i="3" s="1"/>
  <c r="A1073" i="3"/>
  <c r="A2141" i="3" s="1"/>
  <c r="O1072" i="3"/>
  <c r="N1072" i="3"/>
  <c r="M1072" i="3"/>
  <c r="L1072" i="3"/>
  <c r="K1072" i="3"/>
  <c r="E1072" i="3"/>
  <c r="E2140" i="3" s="1"/>
  <c r="D1072" i="3"/>
  <c r="D2140" i="3" s="1"/>
  <c r="C1072" i="3"/>
  <c r="C2140" i="3" s="1"/>
  <c r="B1072" i="3"/>
  <c r="B2140" i="3" s="1"/>
  <c r="A1072" i="3"/>
  <c r="A2140" i="3" s="1"/>
  <c r="O1071" i="3"/>
  <c r="N1071" i="3"/>
  <c r="M1071" i="3"/>
  <c r="L1071" i="3"/>
  <c r="K1071" i="3"/>
  <c r="E1071" i="3"/>
  <c r="E2139" i="3" s="1"/>
  <c r="D1071" i="3"/>
  <c r="D2139" i="3" s="1"/>
  <c r="C1071" i="3"/>
  <c r="C2139" i="3" s="1"/>
  <c r="B1071" i="3"/>
  <c r="B2139" i="3" s="1"/>
  <c r="A1071" i="3"/>
  <c r="A2139" i="3" s="1"/>
  <c r="O1070" i="3"/>
  <c r="N1070" i="3"/>
  <c r="M1070" i="3"/>
  <c r="L1070" i="3"/>
  <c r="K1070" i="3"/>
  <c r="E1070" i="3"/>
  <c r="E2138" i="3" s="1"/>
  <c r="D1070" i="3"/>
  <c r="D2138" i="3" s="1"/>
  <c r="C1070" i="3"/>
  <c r="C2138" i="3" s="1"/>
  <c r="B1070" i="3"/>
  <c r="B2138" i="3" s="1"/>
  <c r="A1070" i="3"/>
  <c r="A2138" i="3" s="1"/>
  <c r="O1069" i="3"/>
  <c r="N1069" i="3"/>
  <c r="M1069" i="3"/>
  <c r="L1069" i="3"/>
  <c r="K1069" i="3"/>
  <c r="E1069" i="3"/>
  <c r="E2137" i="3" s="1"/>
  <c r="D1069" i="3"/>
  <c r="D2137" i="3" s="1"/>
  <c r="C1069" i="3"/>
  <c r="C2137" i="3" s="1"/>
  <c r="B1069" i="3"/>
  <c r="B2137" i="3" s="1"/>
  <c r="A1069" i="3"/>
  <c r="A2137" i="3" s="1"/>
  <c r="O1068" i="3"/>
  <c r="N1068" i="3"/>
  <c r="M1068" i="3"/>
  <c r="L1068" i="3"/>
  <c r="K1068" i="3"/>
  <c r="E1068" i="3"/>
  <c r="E2136" i="3" s="1"/>
  <c r="D1068" i="3"/>
  <c r="D2136" i="3" s="1"/>
  <c r="C1068" i="3"/>
  <c r="C2136" i="3" s="1"/>
  <c r="B1068" i="3"/>
  <c r="B2136" i="3" s="1"/>
  <c r="A1068" i="3"/>
  <c r="A2136" i="3" s="1"/>
  <c r="O1067" i="3"/>
  <c r="N1067" i="3"/>
  <c r="M1067" i="3"/>
  <c r="L1067" i="3"/>
  <c r="K1067" i="3"/>
  <c r="E1067" i="3"/>
  <c r="E2135" i="3" s="1"/>
  <c r="D1067" i="3"/>
  <c r="D2135" i="3" s="1"/>
  <c r="C1067" i="3"/>
  <c r="C2135" i="3" s="1"/>
  <c r="B1067" i="3"/>
  <c r="B2135" i="3" s="1"/>
  <c r="A1067" i="3"/>
  <c r="A2135" i="3" s="1"/>
  <c r="O1066" i="3"/>
  <c r="N1066" i="3"/>
  <c r="M1066" i="3"/>
  <c r="L1066" i="3"/>
  <c r="K1066" i="3"/>
  <c r="E1066" i="3"/>
  <c r="E2134" i="3" s="1"/>
  <c r="D1066" i="3"/>
  <c r="D2134" i="3" s="1"/>
  <c r="C1066" i="3"/>
  <c r="C2134" i="3" s="1"/>
  <c r="B1066" i="3"/>
  <c r="B2134" i="3" s="1"/>
  <c r="A1066" i="3"/>
  <c r="A2134" i="3" s="1"/>
  <c r="O1065" i="3"/>
  <c r="N1065" i="3"/>
  <c r="M1065" i="3"/>
  <c r="L1065" i="3"/>
  <c r="K1065" i="3"/>
  <c r="E1065" i="3"/>
  <c r="E2133" i="3" s="1"/>
  <c r="D1065" i="3"/>
  <c r="D2133" i="3" s="1"/>
  <c r="C1065" i="3"/>
  <c r="C2133" i="3" s="1"/>
  <c r="B1065" i="3"/>
  <c r="B2133" i="3" s="1"/>
  <c r="A1065" i="3"/>
  <c r="A2133" i="3" s="1"/>
  <c r="O1064" i="3"/>
  <c r="N1064" i="3"/>
  <c r="M1064" i="3"/>
  <c r="L1064" i="3"/>
  <c r="K1064" i="3"/>
  <c r="E1064" i="3"/>
  <c r="E2132" i="3" s="1"/>
  <c r="D1064" i="3"/>
  <c r="D2132" i="3" s="1"/>
  <c r="C1064" i="3"/>
  <c r="C2132" i="3" s="1"/>
  <c r="B1064" i="3"/>
  <c r="B2132" i="3" s="1"/>
  <c r="A1064" i="3"/>
  <c r="A2132" i="3" s="1"/>
  <c r="O1063" i="3"/>
  <c r="N1063" i="3"/>
  <c r="M1063" i="3"/>
  <c r="L1063" i="3"/>
  <c r="K1063" i="3"/>
  <c r="E1063" i="3"/>
  <c r="E2131" i="3" s="1"/>
  <c r="D1063" i="3"/>
  <c r="D2131" i="3" s="1"/>
  <c r="C1063" i="3"/>
  <c r="C2131" i="3" s="1"/>
  <c r="B1063" i="3"/>
  <c r="B2131" i="3" s="1"/>
  <c r="A1063" i="3"/>
  <c r="A2131" i="3" s="1"/>
  <c r="O1062" i="3"/>
  <c r="N1062" i="3"/>
  <c r="M1062" i="3"/>
  <c r="L1062" i="3"/>
  <c r="K1062" i="3"/>
  <c r="E1062" i="3"/>
  <c r="E2130" i="3" s="1"/>
  <c r="D1062" i="3"/>
  <c r="D2130" i="3" s="1"/>
  <c r="C1062" i="3"/>
  <c r="C2130" i="3" s="1"/>
  <c r="B1062" i="3"/>
  <c r="B2130" i="3" s="1"/>
  <c r="A1062" i="3"/>
  <c r="A2130" i="3" s="1"/>
  <c r="O1061" i="3"/>
  <c r="N1061" i="3"/>
  <c r="M1061" i="3"/>
  <c r="L1061" i="3"/>
  <c r="K1061" i="3"/>
  <c r="E1061" i="3"/>
  <c r="E2129" i="3" s="1"/>
  <c r="D1061" i="3"/>
  <c r="D2129" i="3" s="1"/>
  <c r="C1061" i="3"/>
  <c r="C2129" i="3" s="1"/>
  <c r="B1061" i="3"/>
  <c r="B2129" i="3" s="1"/>
  <c r="A1061" i="3"/>
  <c r="A2129" i="3" s="1"/>
  <c r="O1060" i="3"/>
  <c r="N1060" i="3"/>
  <c r="M1060" i="3"/>
  <c r="L1060" i="3"/>
  <c r="K1060" i="3"/>
  <c r="E1060" i="3"/>
  <c r="E2128" i="3" s="1"/>
  <c r="D1060" i="3"/>
  <c r="D2128" i="3" s="1"/>
  <c r="C1060" i="3"/>
  <c r="C2128" i="3" s="1"/>
  <c r="B1060" i="3"/>
  <c r="B2128" i="3" s="1"/>
  <c r="A1060" i="3"/>
  <c r="A2128" i="3" s="1"/>
  <c r="O1059" i="3"/>
  <c r="N1059" i="3"/>
  <c r="M1059" i="3"/>
  <c r="L1059" i="3"/>
  <c r="K1059" i="3"/>
  <c r="E1059" i="3"/>
  <c r="E2127" i="3" s="1"/>
  <c r="D1059" i="3"/>
  <c r="D2127" i="3" s="1"/>
  <c r="C1059" i="3"/>
  <c r="C2127" i="3" s="1"/>
  <c r="B1059" i="3"/>
  <c r="B2127" i="3" s="1"/>
  <c r="A1059" i="3"/>
  <c r="A2127" i="3" s="1"/>
  <c r="O1058" i="3"/>
  <c r="N1058" i="3"/>
  <c r="M1058" i="3"/>
  <c r="L1058" i="3"/>
  <c r="K1058" i="3"/>
  <c r="E1058" i="3"/>
  <c r="B1058" i="3"/>
  <c r="A1058" i="3"/>
  <c r="O1057" i="3"/>
  <c r="N1057" i="3"/>
  <c r="M1057" i="3"/>
  <c r="L1057" i="3"/>
  <c r="K1057" i="3"/>
  <c r="E1057" i="3"/>
  <c r="E2126" i="3" s="1"/>
  <c r="D1057" i="3"/>
  <c r="D2126" i="3" s="1"/>
  <c r="C1057" i="3"/>
  <c r="C2126" i="3" s="1"/>
  <c r="B1057" i="3"/>
  <c r="B2126" i="3" s="1"/>
  <c r="A1057" i="3"/>
  <c r="A2126" i="3" s="1"/>
  <c r="O1056" i="3"/>
  <c r="N1056" i="3"/>
  <c r="M1056" i="3"/>
  <c r="L1056" i="3"/>
  <c r="K1056" i="3"/>
  <c r="E1056" i="3"/>
  <c r="E2125" i="3" s="1"/>
  <c r="D1056" i="3"/>
  <c r="D2125" i="3" s="1"/>
  <c r="C1056" i="3"/>
  <c r="C2125" i="3" s="1"/>
  <c r="B1056" i="3"/>
  <c r="B2125" i="3" s="1"/>
  <c r="A1056" i="3"/>
  <c r="A2125" i="3" s="1"/>
  <c r="O1055" i="3"/>
  <c r="N1055" i="3"/>
  <c r="M1055" i="3"/>
  <c r="L1055" i="3"/>
  <c r="K1055" i="3"/>
  <c r="E1055" i="3"/>
  <c r="E2124" i="3" s="1"/>
  <c r="D1055" i="3"/>
  <c r="D2124" i="3" s="1"/>
  <c r="C1055" i="3"/>
  <c r="C2124" i="3" s="1"/>
  <c r="B1055" i="3"/>
  <c r="B2124" i="3" s="1"/>
  <c r="A1055" i="3"/>
  <c r="A2124" i="3" s="1"/>
  <c r="O1054" i="3"/>
  <c r="N1054" i="3"/>
  <c r="M1054" i="3"/>
  <c r="L1054" i="3"/>
  <c r="K1054" i="3"/>
  <c r="E1054" i="3"/>
  <c r="E2123" i="3" s="1"/>
  <c r="D1054" i="3"/>
  <c r="D2123" i="3" s="1"/>
  <c r="C1054" i="3"/>
  <c r="C2123" i="3" s="1"/>
  <c r="B1054" i="3"/>
  <c r="B2123" i="3" s="1"/>
  <c r="A1054" i="3"/>
  <c r="A2123" i="3" s="1"/>
  <c r="O1053" i="3"/>
  <c r="N1053" i="3"/>
  <c r="M1053" i="3"/>
  <c r="L1053" i="3"/>
  <c r="K1053" i="3"/>
  <c r="E1053" i="3"/>
  <c r="E2122" i="3" s="1"/>
  <c r="D1053" i="3"/>
  <c r="D2122" i="3" s="1"/>
  <c r="C1053" i="3"/>
  <c r="C2122" i="3" s="1"/>
  <c r="B1053" i="3"/>
  <c r="B2122" i="3" s="1"/>
  <c r="A1053" i="3"/>
  <c r="A2122" i="3" s="1"/>
  <c r="O1052" i="3"/>
  <c r="N1052" i="3"/>
  <c r="M1052" i="3"/>
  <c r="L1052" i="3"/>
  <c r="K1052" i="3"/>
  <c r="E1052" i="3"/>
  <c r="E2121" i="3" s="1"/>
  <c r="D1052" i="3"/>
  <c r="D2121" i="3" s="1"/>
  <c r="C1052" i="3"/>
  <c r="C2121" i="3" s="1"/>
  <c r="B1052" i="3"/>
  <c r="B2121" i="3" s="1"/>
  <c r="A1052" i="3"/>
  <c r="A2121" i="3" s="1"/>
  <c r="O1051" i="3"/>
  <c r="N1051" i="3"/>
  <c r="M1051" i="3"/>
  <c r="L1051" i="3"/>
  <c r="K1051" i="3"/>
  <c r="E1051" i="3"/>
  <c r="E2120" i="3" s="1"/>
  <c r="D1051" i="3"/>
  <c r="D2120" i="3" s="1"/>
  <c r="C1051" i="3"/>
  <c r="C2120" i="3" s="1"/>
  <c r="B1051" i="3"/>
  <c r="B2120" i="3" s="1"/>
  <c r="A1051" i="3"/>
  <c r="A2120" i="3" s="1"/>
  <c r="O1050" i="3"/>
  <c r="N1050" i="3"/>
  <c r="M1050" i="3"/>
  <c r="L1050" i="3"/>
  <c r="K1050" i="3"/>
  <c r="E1050" i="3"/>
  <c r="E2119" i="3" s="1"/>
  <c r="D1050" i="3"/>
  <c r="D2119" i="3" s="1"/>
  <c r="C1050" i="3"/>
  <c r="C2119" i="3" s="1"/>
  <c r="B1050" i="3"/>
  <c r="B2119" i="3" s="1"/>
  <c r="A1050" i="3"/>
  <c r="A2119" i="3" s="1"/>
  <c r="O1049" i="3"/>
  <c r="N1049" i="3"/>
  <c r="M1049" i="3"/>
  <c r="L1049" i="3"/>
  <c r="K1049" i="3"/>
  <c r="E1049" i="3"/>
  <c r="E2118" i="3" s="1"/>
  <c r="D1049" i="3"/>
  <c r="D2118" i="3" s="1"/>
  <c r="C1049" i="3"/>
  <c r="C2118" i="3" s="1"/>
  <c r="B1049" i="3"/>
  <c r="B2118" i="3" s="1"/>
  <c r="A1049" i="3"/>
  <c r="A2118" i="3" s="1"/>
  <c r="O1048" i="3"/>
  <c r="N1048" i="3"/>
  <c r="M1048" i="3"/>
  <c r="L1048" i="3"/>
  <c r="K1048" i="3"/>
  <c r="E1048" i="3"/>
  <c r="E2117" i="3" s="1"/>
  <c r="D1048" i="3"/>
  <c r="D2117" i="3" s="1"/>
  <c r="C1048" i="3"/>
  <c r="C2117" i="3" s="1"/>
  <c r="B1048" i="3"/>
  <c r="B2117" i="3" s="1"/>
  <c r="A1048" i="3"/>
  <c r="A2117" i="3" s="1"/>
  <c r="O1047" i="3"/>
  <c r="N1047" i="3"/>
  <c r="M1047" i="3"/>
  <c r="L1047" i="3"/>
  <c r="K1047" i="3"/>
  <c r="E1047" i="3"/>
  <c r="E2116" i="3" s="1"/>
  <c r="D1047" i="3"/>
  <c r="D2116" i="3" s="1"/>
  <c r="C1047" i="3"/>
  <c r="C2116" i="3" s="1"/>
  <c r="B1047" i="3"/>
  <c r="B2116" i="3" s="1"/>
  <c r="A1047" i="3"/>
  <c r="A2116" i="3" s="1"/>
  <c r="O1046" i="3"/>
  <c r="N1046" i="3"/>
  <c r="M1046" i="3"/>
  <c r="L1046" i="3"/>
  <c r="K1046" i="3"/>
  <c r="E1046" i="3"/>
  <c r="E2115" i="3" s="1"/>
  <c r="D1046" i="3"/>
  <c r="D2115" i="3" s="1"/>
  <c r="C1046" i="3"/>
  <c r="C2115" i="3" s="1"/>
  <c r="B1046" i="3"/>
  <c r="B2115" i="3" s="1"/>
  <c r="A1046" i="3"/>
  <c r="A2115" i="3" s="1"/>
  <c r="O1045" i="3"/>
  <c r="N1045" i="3"/>
  <c r="M1045" i="3"/>
  <c r="L1045" i="3"/>
  <c r="K1045" i="3"/>
  <c r="E1045" i="3"/>
  <c r="E2114" i="3" s="1"/>
  <c r="D1045" i="3"/>
  <c r="D2114" i="3" s="1"/>
  <c r="C1045" i="3"/>
  <c r="C2114" i="3" s="1"/>
  <c r="B1045" i="3"/>
  <c r="B2114" i="3" s="1"/>
  <c r="A1045" i="3"/>
  <c r="A2114" i="3" s="1"/>
  <c r="O1044" i="3"/>
  <c r="N1044" i="3"/>
  <c r="M1044" i="3"/>
  <c r="L1044" i="3"/>
  <c r="K1044" i="3"/>
  <c r="E1044" i="3"/>
  <c r="E2113" i="3" s="1"/>
  <c r="D1044" i="3"/>
  <c r="D2113" i="3" s="1"/>
  <c r="C1044" i="3"/>
  <c r="C2113" i="3" s="1"/>
  <c r="B1044" i="3"/>
  <c r="B2113" i="3" s="1"/>
  <c r="A1044" i="3"/>
  <c r="A2113" i="3" s="1"/>
  <c r="O1043" i="3"/>
  <c r="N1043" i="3"/>
  <c r="M1043" i="3"/>
  <c r="L1043" i="3"/>
  <c r="K1043" i="3"/>
  <c r="E1043" i="3"/>
  <c r="E2112" i="3" s="1"/>
  <c r="D1043" i="3"/>
  <c r="D2112" i="3" s="1"/>
  <c r="C1043" i="3"/>
  <c r="C2112" i="3" s="1"/>
  <c r="B1043" i="3"/>
  <c r="B2112" i="3" s="1"/>
  <c r="A1043" i="3"/>
  <c r="A2112" i="3" s="1"/>
  <c r="O1042" i="3"/>
  <c r="N1042" i="3"/>
  <c r="M1042" i="3"/>
  <c r="L1042" i="3"/>
  <c r="K1042" i="3"/>
  <c r="E1042" i="3"/>
  <c r="E2111" i="3" s="1"/>
  <c r="D1042" i="3"/>
  <c r="D2111" i="3" s="1"/>
  <c r="C1042" i="3"/>
  <c r="C2111" i="3" s="1"/>
  <c r="B1042" i="3"/>
  <c r="B2111" i="3" s="1"/>
  <c r="A1042" i="3"/>
  <c r="A2111" i="3" s="1"/>
  <c r="O1041" i="3"/>
  <c r="N1041" i="3"/>
  <c r="M1041" i="3"/>
  <c r="L1041" i="3"/>
  <c r="K1041" i="3"/>
  <c r="E1041" i="3"/>
  <c r="E2110" i="3" s="1"/>
  <c r="D1041" i="3"/>
  <c r="D2110" i="3" s="1"/>
  <c r="C1041" i="3"/>
  <c r="C2110" i="3" s="1"/>
  <c r="B1041" i="3"/>
  <c r="B2110" i="3" s="1"/>
  <c r="A1041" i="3"/>
  <c r="A2110" i="3" s="1"/>
  <c r="O1040" i="3"/>
  <c r="N1040" i="3"/>
  <c r="M1040" i="3"/>
  <c r="L1040" i="3"/>
  <c r="K1040" i="3"/>
  <c r="E1040" i="3"/>
  <c r="E2109" i="3" s="1"/>
  <c r="D1040" i="3"/>
  <c r="D2109" i="3" s="1"/>
  <c r="C1040" i="3"/>
  <c r="C2109" i="3" s="1"/>
  <c r="B1040" i="3"/>
  <c r="B2109" i="3" s="1"/>
  <c r="A1040" i="3"/>
  <c r="A2109" i="3" s="1"/>
  <c r="O1039" i="3"/>
  <c r="N1039" i="3"/>
  <c r="M1039" i="3"/>
  <c r="L1039" i="3"/>
  <c r="K1039" i="3"/>
  <c r="E1039" i="3"/>
  <c r="E2108" i="3" s="1"/>
  <c r="D1039" i="3"/>
  <c r="D2108" i="3" s="1"/>
  <c r="C1039" i="3"/>
  <c r="C2108" i="3" s="1"/>
  <c r="B1039" i="3"/>
  <c r="B2108" i="3" s="1"/>
  <c r="A1039" i="3"/>
  <c r="A2108" i="3" s="1"/>
  <c r="O1038" i="3"/>
  <c r="N1038" i="3"/>
  <c r="M1038" i="3"/>
  <c r="L1038" i="3"/>
  <c r="K1038" i="3"/>
  <c r="E1038" i="3"/>
  <c r="E2107" i="3" s="1"/>
  <c r="D1038" i="3"/>
  <c r="D2107" i="3" s="1"/>
  <c r="C1038" i="3"/>
  <c r="C2107" i="3" s="1"/>
  <c r="B1038" i="3"/>
  <c r="B2107" i="3" s="1"/>
  <c r="A1038" i="3"/>
  <c r="A2107" i="3" s="1"/>
  <c r="O1037" i="3"/>
  <c r="N1037" i="3"/>
  <c r="M1037" i="3"/>
  <c r="L1037" i="3"/>
  <c r="K1037" i="3"/>
  <c r="E1037" i="3"/>
  <c r="E2106" i="3" s="1"/>
  <c r="D1037" i="3"/>
  <c r="D2106" i="3" s="1"/>
  <c r="C1037" i="3"/>
  <c r="C2106" i="3" s="1"/>
  <c r="B1037" i="3"/>
  <c r="B2106" i="3" s="1"/>
  <c r="A1037" i="3"/>
  <c r="A2106" i="3" s="1"/>
  <c r="O1036" i="3"/>
  <c r="N1036" i="3"/>
  <c r="M1036" i="3"/>
  <c r="L1036" i="3"/>
  <c r="K1036" i="3"/>
  <c r="E1036" i="3"/>
  <c r="E2105" i="3" s="1"/>
  <c r="D1036" i="3"/>
  <c r="D2105" i="3" s="1"/>
  <c r="C1036" i="3"/>
  <c r="C2105" i="3" s="1"/>
  <c r="B1036" i="3"/>
  <c r="B2105" i="3" s="1"/>
  <c r="A1036" i="3"/>
  <c r="A2105" i="3" s="1"/>
  <c r="O1035" i="3"/>
  <c r="N1035" i="3"/>
  <c r="M1035" i="3"/>
  <c r="L1035" i="3"/>
  <c r="K1035" i="3"/>
  <c r="E1035" i="3"/>
  <c r="E2104" i="3" s="1"/>
  <c r="D1035" i="3"/>
  <c r="D2104" i="3" s="1"/>
  <c r="C1035" i="3"/>
  <c r="C2104" i="3" s="1"/>
  <c r="B1035" i="3"/>
  <c r="B2104" i="3" s="1"/>
  <c r="A1035" i="3"/>
  <c r="A2104" i="3" s="1"/>
  <c r="O1034" i="3"/>
  <c r="N1034" i="3"/>
  <c r="M1034" i="3"/>
  <c r="L1034" i="3"/>
  <c r="K1034" i="3"/>
  <c r="E1034" i="3"/>
  <c r="E2103" i="3" s="1"/>
  <c r="D1034" i="3"/>
  <c r="D2103" i="3" s="1"/>
  <c r="C1034" i="3"/>
  <c r="C2103" i="3" s="1"/>
  <c r="B1034" i="3"/>
  <c r="B2103" i="3" s="1"/>
  <c r="A1034" i="3"/>
  <c r="A2103" i="3" s="1"/>
  <c r="O1033" i="3"/>
  <c r="N1033" i="3"/>
  <c r="M1033" i="3"/>
  <c r="L1033" i="3"/>
  <c r="K1033" i="3"/>
  <c r="E1033" i="3"/>
  <c r="E2102" i="3" s="1"/>
  <c r="D1033" i="3"/>
  <c r="D2102" i="3" s="1"/>
  <c r="C1033" i="3"/>
  <c r="C2102" i="3" s="1"/>
  <c r="B1033" i="3"/>
  <c r="B2102" i="3" s="1"/>
  <c r="A1033" i="3"/>
  <c r="A2102" i="3" s="1"/>
  <c r="O1032" i="3"/>
  <c r="N1032" i="3"/>
  <c r="M1032" i="3"/>
  <c r="L1032" i="3"/>
  <c r="K1032" i="3"/>
  <c r="E1032" i="3"/>
  <c r="E2101" i="3" s="1"/>
  <c r="D1032" i="3"/>
  <c r="D2101" i="3" s="1"/>
  <c r="C1032" i="3"/>
  <c r="C2101" i="3" s="1"/>
  <c r="B1032" i="3"/>
  <c r="B2101" i="3" s="1"/>
  <c r="A1032" i="3"/>
  <c r="A2101" i="3" s="1"/>
  <c r="O1031" i="3"/>
  <c r="N1031" i="3"/>
  <c r="M1031" i="3"/>
  <c r="L1031" i="3"/>
  <c r="K1031" i="3"/>
  <c r="E1031" i="3"/>
  <c r="E2100" i="3" s="1"/>
  <c r="D1031" i="3"/>
  <c r="D2100" i="3" s="1"/>
  <c r="C1031" i="3"/>
  <c r="C2100" i="3" s="1"/>
  <c r="B1031" i="3"/>
  <c r="B2100" i="3" s="1"/>
  <c r="A1031" i="3"/>
  <c r="A2100" i="3" s="1"/>
  <c r="O1030" i="3"/>
  <c r="N1030" i="3"/>
  <c r="M1030" i="3"/>
  <c r="L1030" i="3"/>
  <c r="K1030" i="3"/>
  <c r="E1030" i="3"/>
  <c r="E2099" i="3" s="1"/>
  <c r="D1030" i="3"/>
  <c r="D2099" i="3" s="1"/>
  <c r="C1030" i="3"/>
  <c r="C2099" i="3" s="1"/>
  <c r="B1030" i="3"/>
  <c r="B2099" i="3" s="1"/>
  <c r="A1030" i="3"/>
  <c r="A2099" i="3" s="1"/>
  <c r="O1029" i="3"/>
  <c r="N1029" i="3"/>
  <c r="M1029" i="3"/>
  <c r="L1029" i="3"/>
  <c r="K1029" i="3"/>
  <c r="E1029" i="3"/>
  <c r="E2098" i="3" s="1"/>
  <c r="D1029" i="3"/>
  <c r="D2098" i="3" s="1"/>
  <c r="C1029" i="3"/>
  <c r="C2098" i="3" s="1"/>
  <c r="B1029" i="3"/>
  <c r="B2098" i="3" s="1"/>
  <c r="A1029" i="3"/>
  <c r="A2098" i="3" s="1"/>
  <c r="O1028" i="3"/>
  <c r="N1028" i="3"/>
  <c r="M1028" i="3"/>
  <c r="L1028" i="3"/>
  <c r="K1028" i="3"/>
  <c r="E1028" i="3"/>
  <c r="E2097" i="3" s="1"/>
  <c r="D1028" i="3"/>
  <c r="D2097" i="3" s="1"/>
  <c r="C1028" i="3"/>
  <c r="C2097" i="3" s="1"/>
  <c r="B1028" i="3"/>
  <c r="B2097" i="3" s="1"/>
  <c r="A1028" i="3"/>
  <c r="A2097" i="3" s="1"/>
  <c r="O1027" i="3"/>
  <c r="N1027" i="3"/>
  <c r="M1027" i="3"/>
  <c r="L1027" i="3"/>
  <c r="K1027" i="3"/>
  <c r="E1027" i="3"/>
  <c r="E2096" i="3" s="1"/>
  <c r="D1027" i="3"/>
  <c r="D2096" i="3" s="1"/>
  <c r="C1027" i="3"/>
  <c r="C2096" i="3" s="1"/>
  <c r="B1027" i="3"/>
  <c r="B2096" i="3" s="1"/>
  <c r="A1027" i="3"/>
  <c r="A2096" i="3" s="1"/>
  <c r="O1026" i="3"/>
  <c r="N1026" i="3"/>
  <c r="M1026" i="3"/>
  <c r="L1026" i="3"/>
  <c r="K1026" i="3"/>
  <c r="E1026" i="3"/>
  <c r="E2095" i="3" s="1"/>
  <c r="D1026" i="3"/>
  <c r="D2095" i="3" s="1"/>
  <c r="C1026" i="3"/>
  <c r="C2095" i="3" s="1"/>
  <c r="B1026" i="3"/>
  <c r="B2095" i="3" s="1"/>
  <c r="A1026" i="3"/>
  <c r="A2095" i="3" s="1"/>
  <c r="O1025" i="3"/>
  <c r="N1025" i="3"/>
  <c r="M1025" i="3"/>
  <c r="L1025" i="3"/>
  <c r="K1025" i="3"/>
  <c r="E1025" i="3"/>
  <c r="E2094" i="3" s="1"/>
  <c r="D1025" i="3"/>
  <c r="D2094" i="3" s="1"/>
  <c r="C1025" i="3"/>
  <c r="C2094" i="3" s="1"/>
  <c r="B1025" i="3"/>
  <c r="B2094" i="3" s="1"/>
  <c r="A1025" i="3"/>
  <c r="A2094" i="3" s="1"/>
  <c r="O1024" i="3"/>
  <c r="N1024" i="3"/>
  <c r="M1024" i="3"/>
  <c r="L1024" i="3"/>
  <c r="K1024" i="3"/>
  <c r="E1024" i="3"/>
  <c r="E2093" i="3" s="1"/>
  <c r="D1024" i="3"/>
  <c r="D2093" i="3" s="1"/>
  <c r="C1024" i="3"/>
  <c r="C2093" i="3" s="1"/>
  <c r="B1024" i="3"/>
  <c r="B2093" i="3" s="1"/>
  <c r="A1024" i="3"/>
  <c r="A2093" i="3" s="1"/>
  <c r="O1023" i="3"/>
  <c r="N1023" i="3"/>
  <c r="M1023" i="3"/>
  <c r="L1023" i="3"/>
  <c r="K1023" i="3"/>
  <c r="E1023" i="3"/>
  <c r="E2092" i="3" s="1"/>
  <c r="D1023" i="3"/>
  <c r="D2092" i="3" s="1"/>
  <c r="C1023" i="3"/>
  <c r="C2092" i="3" s="1"/>
  <c r="B1023" i="3"/>
  <c r="B2092" i="3" s="1"/>
  <c r="A1023" i="3"/>
  <c r="A2092" i="3" s="1"/>
  <c r="O1022" i="3"/>
  <c r="N1022" i="3"/>
  <c r="M1022" i="3"/>
  <c r="L1022" i="3"/>
  <c r="K1022" i="3"/>
  <c r="E1022" i="3"/>
  <c r="E2091" i="3" s="1"/>
  <c r="D1022" i="3"/>
  <c r="D2091" i="3" s="1"/>
  <c r="C1022" i="3"/>
  <c r="C2091" i="3" s="1"/>
  <c r="B1022" i="3"/>
  <c r="B2091" i="3" s="1"/>
  <c r="A1022" i="3"/>
  <c r="A2091" i="3" s="1"/>
  <c r="O1021" i="3"/>
  <c r="N1021" i="3"/>
  <c r="M1021" i="3"/>
  <c r="L1021" i="3"/>
  <c r="K1021" i="3"/>
  <c r="E1021" i="3"/>
  <c r="B1021" i="3"/>
  <c r="A1021" i="3"/>
  <c r="O1020" i="3"/>
  <c r="N1020" i="3"/>
  <c r="M1020" i="3"/>
  <c r="L1020" i="3"/>
  <c r="K1020" i="3"/>
  <c r="E1020" i="3"/>
  <c r="B1020" i="3"/>
  <c r="A1020" i="3"/>
  <c r="O1019" i="3"/>
  <c r="N1019" i="3"/>
  <c r="M1019" i="3"/>
  <c r="L1019" i="3"/>
  <c r="K1019" i="3"/>
  <c r="E1019" i="3"/>
  <c r="E2090" i="3" s="1"/>
  <c r="D1019" i="3"/>
  <c r="D2090" i="3" s="1"/>
  <c r="C1019" i="3"/>
  <c r="C2090" i="3" s="1"/>
  <c r="B1019" i="3"/>
  <c r="B2090" i="3" s="1"/>
  <c r="A1019" i="3"/>
  <c r="A2090" i="3" s="1"/>
  <c r="O1018" i="3"/>
  <c r="N1018" i="3"/>
  <c r="M1018" i="3"/>
  <c r="L1018" i="3"/>
  <c r="K1018" i="3"/>
  <c r="E1018" i="3"/>
  <c r="E2089" i="3" s="1"/>
  <c r="D1018" i="3"/>
  <c r="D2089" i="3" s="1"/>
  <c r="C1018" i="3"/>
  <c r="C2089" i="3" s="1"/>
  <c r="B1018" i="3"/>
  <c r="B2089" i="3" s="1"/>
  <c r="A1018" i="3"/>
  <c r="A2089" i="3" s="1"/>
  <c r="O1017" i="3"/>
  <c r="N1017" i="3"/>
  <c r="M1017" i="3"/>
  <c r="L1017" i="3"/>
  <c r="K1017" i="3"/>
  <c r="E1017" i="3"/>
  <c r="E2088" i="3" s="1"/>
  <c r="D1017" i="3"/>
  <c r="D2088" i="3" s="1"/>
  <c r="C1017" i="3"/>
  <c r="C2088" i="3" s="1"/>
  <c r="B1017" i="3"/>
  <c r="B2088" i="3" s="1"/>
  <c r="A1017" i="3"/>
  <c r="A2088" i="3" s="1"/>
  <c r="O1016" i="3"/>
  <c r="N1016" i="3"/>
  <c r="M1016" i="3"/>
  <c r="L1016" i="3"/>
  <c r="K1016" i="3"/>
  <c r="E1016" i="3"/>
  <c r="E2087" i="3" s="1"/>
  <c r="D1016" i="3"/>
  <c r="D2087" i="3" s="1"/>
  <c r="C1016" i="3"/>
  <c r="C2087" i="3" s="1"/>
  <c r="B1016" i="3"/>
  <c r="B2087" i="3" s="1"/>
  <c r="A1016" i="3"/>
  <c r="A2087" i="3" s="1"/>
  <c r="O1015" i="3"/>
  <c r="N1015" i="3"/>
  <c r="M1015" i="3"/>
  <c r="L1015" i="3"/>
  <c r="K1015" i="3"/>
  <c r="E1015" i="3"/>
  <c r="E2086" i="3" s="1"/>
  <c r="D1015" i="3"/>
  <c r="D2086" i="3" s="1"/>
  <c r="C1015" i="3"/>
  <c r="C2086" i="3" s="1"/>
  <c r="B1015" i="3"/>
  <c r="B2086" i="3" s="1"/>
  <c r="A1015" i="3"/>
  <c r="A2086" i="3" s="1"/>
  <c r="O1014" i="3"/>
  <c r="N1014" i="3"/>
  <c r="M1014" i="3"/>
  <c r="L1014" i="3"/>
  <c r="K1014" i="3"/>
  <c r="E1014" i="3"/>
  <c r="E2085" i="3" s="1"/>
  <c r="D1014" i="3"/>
  <c r="D2085" i="3" s="1"/>
  <c r="C1014" i="3"/>
  <c r="C2085" i="3" s="1"/>
  <c r="B1014" i="3"/>
  <c r="B2085" i="3" s="1"/>
  <c r="A1014" i="3"/>
  <c r="A2085" i="3" s="1"/>
  <c r="O1013" i="3"/>
  <c r="N1013" i="3"/>
  <c r="M1013" i="3"/>
  <c r="L1013" i="3"/>
  <c r="K1013" i="3"/>
  <c r="E1013" i="3"/>
  <c r="E2084" i="3" s="1"/>
  <c r="D1013" i="3"/>
  <c r="D2084" i="3" s="1"/>
  <c r="C1013" i="3"/>
  <c r="C2084" i="3" s="1"/>
  <c r="B1013" i="3"/>
  <c r="B2084" i="3" s="1"/>
  <c r="A1013" i="3"/>
  <c r="A2084" i="3" s="1"/>
  <c r="O1012" i="3"/>
  <c r="N1012" i="3"/>
  <c r="M1012" i="3"/>
  <c r="L1012" i="3"/>
  <c r="K1012" i="3"/>
  <c r="E1012" i="3"/>
  <c r="E2083" i="3" s="1"/>
  <c r="D1012" i="3"/>
  <c r="D2083" i="3" s="1"/>
  <c r="C1012" i="3"/>
  <c r="C2083" i="3" s="1"/>
  <c r="B1012" i="3"/>
  <c r="B2083" i="3" s="1"/>
  <c r="A1012" i="3"/>
  <c r="A2083" i="3" s="1"/>
  <c r="O1011" i="3"/>
  <c r="N1011" i="3"/>
  <c r="M1011" i="3"/>
  <c r="L1011" i="3"/>
  <c r="K1011" i="3"/>
  <c r="E1011" i="3"/>
  <c r="E2082" i="3" s="1"/>
  <c r="D1011" i="3"/>
  <c r="D2082" i="3" s="1"/>
  <c r="C1011" i="3"/>
  <c r="C2082" i="3" s="1"/>
  <c r="B1011" i="3"/>
  <c r="B2082" i="3" s="1"/>
  <c r="A1011" i="3"/>
  <c r="A2082" i="3" s="1"/>
  <c r="O1010" i="3"/>
  <c r="N1010" i="3"/>
  <c r="M1010" i="3"/>
  <c r="L1010" i="3"/>
  <c r="K1010" i="3"/>
  <c r="E1010" i="3"/>
  <c r="E2081" i="3" s="1"/>
  <c r="D1010" i="3"/>
  <c r="D2081" i="3" s="1"/>
  <c r="C1010" i="3"/>
  <c r="C2081" i="3" s="1"/>
  <c r="B1010" i="3"/>
  <c r="B2081" i="3" s="1"/>
  <c r="A1010" i="3"/>
  <c r="A2081" i="3" s="1"/>
  <c r="O1009" i="3"/>
  <c r="N1009" i="3"/>
  <c r="M1009" i="3"/>
  <c r="L1009" i="3"/>
  <c r="K1009" i="3"/>
  <c r="E1009" i="3"/>
  <c r="E2080" i="3" s="1"/>
  <c r="D1009" i="3"/>
  <c r="D2080" i="3" s="1"/>
  <c r="C1009" i="3"/>
  <c r="C2080" i="3" s="1"/>
  <c r="B1009" i="3"/>
  <c r="B2080" i="3" s="1"/>
  <c r="A1009" i="3"/>
  <c r="A2080" i="3" s="1"/>
  <c r="O1008" i="3"/>
  <c r="N1008" i="3"/>
  <c r="M1008" i="3"/>
  <c r="L1008" i="3"/>
  <c r="K1008" i="3"/>
  <c r="E1008" i="3"/>
  <c r="E2079" i="3" s="1"/>
  <c r="D1008" i="3"/>
  <c r="D2079" i="3" s="1"/>
  <c r="C1008" i="3"/>
  <c r="C2079" i="3" s="1"/>
  <c r="B1008" i="3"/>
  <c r="B2079" i="3" s="1"/>
  <c r="A1008" i="3"/>
  <c r="A2079" i="3" s="1"/>
  <c r="O1007" i="3"/>
  <c r="N1007" i="3"/>
  <c r="M1007" i="3"/>
  <c r="L1007" i="3"/>
  <c r="K1007" i="3"/>
  <c r="E1007" i="3"/>
  <c r="E2078" i="3" s="1"/>
  <c r="D1007" i="3"/>
  <c r="D2078" i="3" s="1"/>
  <c r="C1007" i="3"/>
  <c r="C2078" i="3" s="1"/>
  <c r="B1007" i="3"/>
  <c r="B2078" i="3" s="1"/>
  <c r="A1007" i="3"/>
  <c r="A2078" i="3" s="1"/>
  <c r="O1006" i="3"/>
  <c r="N1006" i="3"/>
  <c r="M1006" i="3"/>
  <c r="L1006" i="3"/>
  <c r="K1006" i="3"/>
  <c r="E1006" i="3"/>
  <c r="E2077" i="3" s="1"/>
  <c r="D1006" i="3"/>
  <c r="D2077" i="3" s="1"/>
  <c r="C1006" i="3"/>
  <c r="C2077" i="3" s="1"/>
  <c r="B1006" i="3"/>
  <c r="B2077" i="3" s="1"/>
  <c r="A1006" i="3"/>
  <c r="A2077" i="3" s="1"/>
  <c r="O1005" i="3"/>
  <c r="N1005" i="3"/>
  <c r="M1005" i="3"/>
  <c r="L1005" i="3"/>
  <c r="K1005" i="3"/>
  <c r="E1005" i="3"/>
  <c r="E2076" i="3" s="1"/>
  <c r="D1005" i="3"/>
  <c r="D2076" i="3" s="1"/>
  <c r="C1005" i="3"/>
  <c r="C2076" i="3" s="1"/>
  <c r="B1005" i="3"/>
  <c r="B2076" i="3" s="1"/>
  <c r="A1005" i="3"/>
  <c r="A2076" i="3" s="1"/>
  <c r="O1004" i="3"/>
  <c r="N1004" i="3"/>
  <c r="M1004" i="3"/>
  <c r="L1004" i="3"/>
  <c r="K1004" i="3"/>
  <c r="E1004" i="3"/>
  <c r="E2075" i="3" s="1"/>
  <c r="D1004" i="3"/>
  <c r="D2075" i="3" s="1"/>
  <c r="C1004" i="3"/>
  <c r="C2075" i="3" s="1"/>
  <c r="B1004" i="3"/>
  <c r="B2075" i="3" s="1"/>
  <c r="A1004" i="3"/>
  <c r="A2075" i="3" s="1"/>
  <c r="O1003" i="3"/>
  <c r="N1003" i="3"/>
  <c r="M1003" i="3"/>
  <c r="L1003" i="3"/>
  <c r="K1003" i="3"/>
  <c r="E1003" i="3"/>
  <c r="E2074" i="3" s="1"/>
  <c r="D1003" i="3"/>
  <c r="D2074" i="3" s="1"/>
  <c r="C1003" i="3"/>
  <c r="C2074" i="3" s="1"/>
  <c r="B1003" i="3"/>
  <c r="B2074" i="3" s="1"/>
  <c r="A1003" i="3"/>
  <c r="A2074" i="3" s="1"/>
  <c r="O1002" i="3"/>
  <c r="N1002" i="3"/>
  <c r="M1002" i="3"/>
  <c r="L1002" i="3"/>
  <c r="K1002" i="3"/>
  <c r="E1002" i="3"/>
  <c r="E2073" i="3" s="1"/>
  <c r="D1002" i="3"/>
  <c r="D2073" i="3" s="1"/>
  <c r="C1002" i="3"/>
  <c r="C2073" i="3" s="1"/>
  <c r="B1002" i="3"/>
  <c r="B2073" i="3" s="1"/>
  <c r="A1002" i="3"/>
  <c r="A2073" i="3" s="1"/>
  <c r="O1001" i="3"/>
  <c r="N1001" i="3"/>
  <c r="M1001" i="3"/>
  <c r="L1001" i="3"/>
  <c r="K1001" i="3"/>
  <c r="E1001" i="3"/>
  <c r="E2072" i="3" s="1"/>
  <c r="D1001" i="3"/>
  <c r="D2072" i="3" s="1"/>
  <c r="C1001" i="3"/>
  <c r="C2072" i="3" s="1"/>
  <c r="B1001" i="3"/>
  <c r="B2072" i="3" s="1"/>
  <c r="A1001" i="3"/>
  <c r="A2072" i="3" s="1"/>
  <c r="O1000" i="3"/>
  <c r="N1000" i="3"/>
  <c r="M1000" i="3"/>
  <c r="L1000" i="3"/>
  <c r="K1000" i="3"/>
  <c r="E1000" i="3"/>
  <c r="E2071" i="3" s="1"/>
  <c r="D1000" i="3"/>
  <c r="D2071" i="3" s="1"/>
  <c r="C1000" i="3"/>
  <c r="C2071" i="3" s="1"/>
  <c r="B1000" i="3"/>
  <c r="B2071" i="3" s="1"/>
  <c r="A1000" i="3"/>
  <c r="A2071" i="3" s="1"/>
  <c r="O999" i="3"/>
  <c r="N999" i="3"/>
  <c r="M999" i="3"/>
  <c r="L999" i="3"/>
  <c r="K999" i="3"/>
  <c r="E999" i="3"/>
  <c r="E2070" i="3" s="1"/>
  <c r="D999" i="3"/>
  <c r="D2070" i="3" s="1"/>
  <c r="C999" i="3"/>
  <c r="C2070" i="3" s="1"/>
  <c r="B999" i="3"/>
  <c r="B2070" i="3" s="1"/>
  <c r="A999" i="3"/>
  <c r="A2070" i="3" s="1"/>
  <c r="O998" i="3"/>
  <c r="N998" i="3"/>
  <c r="M998" i="3"/>
  <c r="L998" i="3"/>
  <c r="K998" i="3"/>
  <c r="E998" i="3"/>
  <c r="E2069" i="3" s="1"/>
  <c r="D998" i="3"/>
  <c r="D2069" i="3" s="1"/>
  <c r="C998" i="3"/>
  <c r="C2069" i="3" s="1"/>
  <c r="B998" i="3"/>
  <c r="B2069" i="3" s="1"/>
  <c r="A998" i="3"/>
  <c r="A2069" i="3" s="1"/>
  <c r="O997" i="3"/>
  <c r="N997" i="3"/>
  <c r="M997" i="3"/>
  <c r="L997" i="3"/>
  <c r="K997" i="3"/>
  <c r="E997" i="3"/>
  <c r="E2068" i="3" s="1"/>
  <c r="D997" i="3"/>
  <c r="D2068" i="3" s="1"/>
  <c r="C997" i="3"/>
  <c r="C2068" i="3" s="1"/>
  <c r="B997" i="3"/>
  <c r="B2068" i="3" s="1"/>
  <c r="A997" i="3"/>
  <c r="A2068" i="3" s="1"/>
  <c r="O996" i="3"/>
  <c r="N996" i="3"/>
  <c r="M996" i="3"/>
  <c r="L996" i="3"/>
  <c r="K996" i="3"/>
  <c r="E996" i="3"/>
  <c r="E2067" i="3" s="1"/>
  <c r="D996" i="3"/>
  <c r="D2067" i="3" s="1"/>
  <c r="C996" i="3"/>
  <c r="C2067" i="3" s="1"/>
  <c r="B996" i="3"/>
  <c r="B2067" i="3" s="1"/>
  <c r="A996" i="3"/>
  <c r="A2067" i="3" s="1"/>
  <c r="O995" i="3"/>
  <c r="N995" i="3"/>
  <c r="M995" i="3"/>
  <c r="L995" i="3"/>
  <c r="K995" i="3"/>
  <c r="E995" i="3"/>
  <c r="B995" i="3"/>
  <c r="A995" i="3"/>
  <c r="O994" i="3"/>
  <c r="N994" i="3"/>
  <c r="M994" i="3"/>
  <c r="L994" i="3"/>
  <c r="K994" i="3"/>
  <c r="E994" i="3"/>
  <c r="B994" i="3"/>
  <c r="A994" i="3"/>
  <c r="O993" i="3"/>
  <c r="N993" i="3"/>
  <c r="M993" i="3"/>
  <c r="L993" i="3"/>
  <c r="K993" i="3"/>
  <c r="E993" i="3"/>
  <c r="B993" i="3"/>
  <c r="A993" i="3"/>
  <c r="O992" i="3"/>
  <c r="N992" i="3"/>
  <c r="M992" i="3"/>
  <c r="L992" i="3"/>
  <c r="K992" i="3"/>
  <c r="E992" i="3"/>
  <c r="E2066" i="3" s="1"/>
  <c r="D992" i="3"/>
  <c r="D2066" i="3" s="1"/>
  <c r="C992" i="3"/>
  <c r="C2066" i="3" s="1"/>
  <c r="B992" i="3"/>
  <c r="B2066" i="3" s="1"/>
  <c r="A992" i="3"/>
  <c r="A2066" i="3" s="1"/>
  <c r="O991" i="3"/>
  <c r="N991" i="3"/>
  <c r="M991" i="3"/>
  <c r="L991" i="3"/>
  <c r="K991" i="3"/>
  <c r="E991" i="3"/>
  <c r="E2065" i="3" s="1"/>
  <c r="D991" i="3"/>
  <c r="D2065" i="3" s="1"/>
  <c r="C991" i="3"/>
  <c r="C2065" i="3" s="1"/>
  <c r="B991" i="3"/>
  <c r="B2065" i="3" s="1"/>
  <c r="A991" i="3"/>
  <c r="A2065" i="3" s="1"/>
  <c r="O990" i="3"/>
  <c r="N990" i="3"/>
  <c r="M990" i="3"/>
  <c r="L990" i="3"/>
  <c r="K990" i="3"/>
  <c r="E990" i="3"/>
  <c r="E2064" i="3" s="1"/>
  <c r="D990" i="3"/>
  <c r="D2064" i="3" s="1"/>
  <c r="C990" i="3"/>
  <c r="C2064" i="3" s="1"/>
  <c r="B990" i="3"/>
  <c r="B2064" i="3" s="1"/>
  <c r="A990" i="3"/>
  <c r="A2064" i="3" s="1"/>
  <c r="O989" i="3"/>
  <c r="N989" i="3"/>
  <c r="M989" i="3"/>
  <c r="L989" i="3"/>
  <c r="K989" i="3"/>
  <c r="E989" i="3"/>
  <c r="E2063" i="3" s="1"/>
  <c r="D989" i="3"/>
  <c r="D2063" i="3" s="1"/>
  <c r="C989" i="3"/>
  <c r="C2063" i="3" s="1"/>
  <c r="B989" i="3"/>
  <c r="B2063" i="3" s="1"/>
  <c r="A989" i="3"/>
  <c r="A2063" i="3" s="1"/>
  <c r="O988" i="3"/>
  <c r="N988" i="3"/>
  <c r="M988" i="3"/>
  <c r="L988" i="3"/>
  <c r="K988" i="3"/>
  <c r="E988" i="3"/>
  <c r="E2062" i="3" s="1"/>
  <c r="D988" i="3"/>
  <c r="D2062" i="3" s="1"/>
  <c r="C988" i="3"/>
  <c r="C2062" i="3" s="1"/>
  <c r="B988" i="3"/>
  <c r="B2062" i="3" s="1"/>
  <c r="A988" i="3"/>
  <c r="A2062" i="3" s="1"/>
  <c r="O987" i="3"/>
  <c r="N987" i="3"/>
  <c r="M987" i="3"/>
  <c r="L987" i="3"/>
  <c r="K987" i="3"/>
  <c r="E987" i="3"/>
  <c r="E2061" i="3" s="1"/>
  <c r="D987" i="3"/>
  <c r="D2061" i="3" s="1"/>
  <c r="C987" i="3"/>
  <c r="C2061" i="3" s="1"/>
  <c r="B987" i="3"/>
  <c r="B2061" i="3" s="1"/>
  <c r="A987" i="3"/>
  <c r="A2061" i="3" s="1"/>
  <c r="O986" i="3"/>
  <c r="N986" i="3"/>
  <c r="M986" i="3"/>
  <c r="L986" i="3"/>
  <c r="K986" i="3"/>
  <c r="E986" i="3"/>
  <c r="E2060" i="3" s="1"/>
  <c r="D986" i="3"/>
  <c r="D2060" i="3" s="1"/>
  <c r="C986" i="3"/>
  <c r="C2060" i="3" s="1"/>
  <c r="B986" i="3"/>
  <c r="B2060" i="3" s="1"/>
  <c r="A986" i="3"/>
  <c r="A2060" i="3" s="1"/>
  <c r="O985" i="3"/>
  <c r="N985" i="3"/>
  <c r="M985" i="3"/>
  <c r="L985" i="3"/>
  <c r="K985" i="3"/>
  <c r="E985" i="3"/>
  <c r="E2059" i="3" s="1"/>
  <c r="D985" i="3"/>
  <c r="D2059" i="3" s="1"/>
  <c r="C985" i="3"/>
  <c r="C2059" i="3" s="1"/>
  <c r="B985" i="3"/>
  <c r="B2059" i="3" s="1"/>
  <c r="A985" i="3"/>
  <c r="A2059" i="3" s="1"/>
  <c r="O984" i="3"/>
  <c r="N984" i="3"/>
  <c r="M984" i="3"/>
  <c r="L984" i="3"/>
  <c r="K984" i="3"/>
  <c r="E984" i="3"/>
  <c r="E2058" i="3" s="1"/>
  <c r="D984" i="3"/>
  <c r="D2058" i="3" s="1"/>
  <c r="C984" i="3"/>
  <c r="C2058" i="3" s="1"/>
  <c r="B984" i="3"/>
  <c r="B2058" i="3" s="1"/>
  <c r="A984" i="3"/>
  <c r="A2058" i="3" s="1"/>
  <c r="O983" i="3"/>
  <c r="N983" i="3"/>
  <c r="M983" i="3"/>
  <c r="L983" i="3"/>
  <c r="K983" i="3"/>
  <c r="E983" i="3"/>
  <c r="E2057" i="3" s="1"/>
  <c r="D983" i="3"/>
  <c r="D2057" i="3" s="1"/>
  <c r="C983" i="3"/>
  <c r="C2057" i="3" s="1"/>
  <c r="B983" i="3"/>
  <c r="B2057" i="3" s="1"/>
  <c r="A983" i="3"/>
  <c r="A2057" i="3" s="1"/>
  <c r="O982" i="3"/>
  <c r="N982" i="3"/>
  <c r="M982" i="3"/>
  <c r="L982" i="3"/>
  <c r="K982" i="3"/>
  <c r="E982" i="3"/>
  <c r="E2056" i="3" s="1"/>
  <c r="D982" i="3"/>
  <c r="D2056" i="3" s="1"/>
  <c r="C982" i="3"/>
  <c r="C2056" i="3" s="1"/>
  <c r="B982" i="3"/>
  <c r="B2056" i="3" s="1"/>
  <c r="A982" i="3"/>
  <c r="A2056" i="3" s="1"/>
  <c r="O981" i="3"/>
  <c r="N981" i="3"/>
  <c r="M981" i="3"/>
  <c r="L981" i="3"/>
  <c r="K981" i="3"/>
  <c r="E981" i="3"/>
  <c r="E2055" i="3" s="1"/>
  <c r="D981" i="3"/>
  <c r="D2055" i="3" s="1"/>
  <c r="C981" i="3"/>
  <c r="C2055" i="3" s="1"/>
  <c r="B981" i="3"/>
  <c r="B2055" i="3" s="1"/>
  <c r="A981" i="3"/>
  <c r="A2055" i="3" s="1"/>
  <c r="O980" i="3"/>
  <c r="N980" i="3"/>
  <c r="M980" i="3"/>
  <c r="L980" i="3"/>
  <c r="K980" i="3"/>
  <c r="E980" i="3"/>
  <c r="B980" i="3"/>
  <c r="A980" i="3"/>
  <c r="O979" i="3"/>
  <c r="N979" i="3"/>
  <c r="M979" i="3"/>
  <c r="L979" i="3"/>
  <c r="K979" i="3"/>
  <c r="E979" i="3"/>
  <c r="E2054" i="3" s="1"/>
  <c r="D979" i="3"/>
  <c r="D2054" i="3" s="1"/>
  <c r="C979" i="3"/>
  <c r="C2054" i="3" s="1"/>
  <c r="B979" i="3"/>
  <c r="B2054" i="3" s="1"/>
  <c r="A979" i="3"/>
  <c r="A2054" i="3" s="1"/>
  <c r="O978" i="3"/>
  <c r="N978" i="3"/>
  <c r="M978" i="3"/>
  <c r="L978" i="3"/>
  <c r="K978" i="3"/>
  <c r="E978" i="3"/>
  <c r="E2053" i="3" s="1"/>
  <c r="D978" i="3"/>
  <c r="D2053" i="3" s="1"/>
  <c r="C978" i="3"/>
  <c r="C2053" i="3" s="1"/>
  <c r="B978" i="3"/>
  <c r="B2053" i="3" s="1"/>
  <c r="A978" i="3"/>
  <c r="A2053" i="3" s="1"/>
  <c r="O977" i="3"/>
  <c r="N977" i="3"/>
  <c r="M977" i="3"/>
  <c r="L977" i="3"/>
  <c r="K977" i="3"/>
  <c r="E977" i="3"/>
  <c r="E2052" i="3" s="1"/>
  <c r="D977" i="3"/>
  <c r="D2052" i="3" s="1"/>
  <c r="C977" i="3"/>
  <c r="C2052" i="3" s="1"/>
  <c r="B977" i="3"/>
  <c r="B2052" i="3" s="1"/>
  <c r="A977" i="3"/>
  <c r="A2052" i="3" s="1"/>
  <c r="O976" i="3"/>
  <c r="N976" i="3"/>
  <c r="M976" i="3"/>
  <c r="L976" i="3"/>
  <c r="K976" i="3"/>
  <c r="E976" i="3"/>
  <c r="E2051" i="3" s="1"/>
  <c r="D976" i="3"/>
  <c r="D2051" i="3" s="1"/>
  <c r="C976" i="3"/>
  <c r="C2051" i="3" s="1"/>
  <c r="B976" i="3"/>
  <c r="B2051" i="3" s="1"/>
  <c r="A976" i="3"/>
  <c r="A2051" i="3" s="1"/>
  <c r="O975" i="3"/>
  <c r="N975" i="3"/>
  <c r="M975" i="3"/>
  <c r="L975" i="3"/>
  <c r="K975" i="3"/>
  <c r="E975" i="3"/>
  <c r="E2050" i="3" s="1"/>
  <c r="D975" i="3"/>
  <c r="D2050" i="3" s="1"/>
  <c r="C975" i="3"/>
  <c r="C2050" i="3" s="1"/>
  <c r="B975" i="3"/>
  <c r="B2050" i="3" s="1"/>
  <c r="A975" i="3"/>
  <c r="A2050" i="3" s="1"/>
  <c r="O974" i="3"/>
  <c r="N974" i="3"/>
  <c r="M974" i="3"/>
  <c r="L974" i="3"/>
  <c r="K974" i="3"/>
  <c r="E974" i="3"/>
  <c r="E2049" i="3" s="1"/>
  <c r="D974" i="3"/>
  <c r="D2049" i="3" s="1"/>
  <c r="C974" i="3"/>
  <c r="C2049" i="3" s="1"/>
  <c r="B974" i="3"/>
  <c r="B2049" i="3" s="1"/>
  <c r="A974" i="3"/>
  <c r="A2049" i="3" s="1"/>
  <c r="O973" i="3"/>
  <c r="N973" i="3"/>
  <c r="M973" i="3"/>
  <c r="L973" i="3"/>
  <c r="K973" i="3"/>
  <c r="E973" i="3"/>
  <c r="E2048" i="3" s="1"/>
  <c r="D973" i="3"/>
  <c r="D2048" i="3" s="1"/>
  <c r="C973" i="3"/>
  <c r="C2048" i="3" s="1"/>
  <c r="B973" i="3"/>
  <c r="B2048" i="3" s="1"/>
  <c r="A973" i="3"/>
  <c r="A2048" i="3" s="1"/>
  <c r="O972" i="3"/>
  <c r="N972" i="3"/>
  <c r="M972" i="3"/>
  <c r="L972" i="3"/>
  <c r="K972" i="3"/>
  <c r="E972" i="3"/>
  <c r="E2047" i="3" s="1"/>
  <c r="D972" i="3"/>
  <c r="D2047" i="3" s="1"/>
  <c r="C972" i="3"/>
  <c r="C2047" i="3" s="1"/>
  <c r="B972" i="3"/>
  <c r="B2047" i="3" s="1"/>
  <c r="A972" i="3"/>
  <c r="A2047" i="3" s="1"/>
  <c r="O971" i="3"/>
  <c r="N971" i="3"/>
  <c r="M971" i="3"/>
  <c r="L971" i="3"/>
  <c r="K971" i="3"/>
  <c r="E971" i="3"/>
  <c r="E2046" i="3" s="1"/>
  <c r="D971" i="3"/>
  <c r="D2046" i="3" s="1"/>
  <c r="C971" i="3"/>
  <c r="C2046" i="3" s="1"/>
  <c r="B971" i="3"/>
  <c r="B2046" i="3" s="1"/>
  <c r="A971" i="3"/>
  <c r="A2046" i="3" s="1"/>
  <c r="O970" i="3"/>
  <c r="N970" i="3"/>
  <c r="M970" i="3"/>
  <c r="L970" i="3"/>
  <c r="K970" i="3"/>
  <c r="E970" i="3"/>
  <c r="E2045" i="3" s="1"/>
  <c r="D970" i="3"/>
  <c r="D2045" i="3" s="1"/>
  <c r="C970" i="3"/>
  <c r="C2045" i="3" s="1"/>
  <c r="B970" i="3"/>
  <c r="B2045" i="3" s="1"/>
  <c r="A970" i="3"/>
  <c r="A2045" i="3" s="1"/>
  <c r="O969" i="3"/>
  <c r="N969" i="3"/>
  <c r="M969" i="3"/>
  <c r="L969" i="3"/>
  <c r="K969" i="3"/>
  <c r="E969" i="3"/>
  <c r="E2044" i="3" s="1"/>
  <c r="D969" i="3"/>
  <c r="D2044" i="3" s="1"/>
  <c r="C969" i="3"/>
  <c r="C2044" i="3" s="1"/>
  <c r="B969" i="3"/>
  <c r="B2044" i="3" s="1"/>
  <c r="A969" i="3"/>
  <c r="A2044" i="3" s="1"/>
  <c r="O968" i="3"/>
  <c r="N968" i="3"/>
  <c r="M968" i="3"/>
  <c r="L968" i="3"/>
  <c r="K968" i="3"/>
  <c r="E968" i="3"/>
  <c r="E2043" i="3" s="1"/>
  <c r="D968" i="3"/>
  <c r="D2043" i="3" s="1"/>
  <c r="C968" i="3"/>
  <c r="C2043" i="3" s="1"/>
  <c r="B968" i="3"/>
  <c r="B2043" i="3" s="1"/>
  <c r="A968" i="3"/>
  <c r="A2043" i="3" s="1"/>
  <c r="O967" i="3"/>
  <c r="N967" i="3"/>
  <c r="M967" i="3"/>
  <c r="L967" i="3"/>
  <c r="K967" i="3"/>
  <c r="E967" i="3"/>
  <c r="E2042" i="3" s="1"/>
  <c r="D967" i="3"/>
  <c r="D2042" i="3" s="1"/>
  <c r="C967" i="3"/>
  <c r="C2042" i="3" s="1"/>
  <c r="B967" i="3"/>
  <c r="B2042" i="3" s="1"/>
  <c r="A967" i="3"/>
  <c r="A2042" i="3" s="1"/>
  <c r="O966" i="3"/>
  <c r="N966" i="3"/>
  <c r="M966" i="3"/>
  <c r="L966" i="3"/>
  <c r="K966" i="3"/>
  <c r="E966" i="3"/>
  <c r="E2041" i="3" s="1"/>
  <c r="D966" i="3"/>
  <c r="D2041" i="3" s="1"/>
  <c r="C966" i="3"/>
  <c r="C2041" i="3" s="1"/>
  <c r="B966" i="3"/>
  <c r="B2041" i="3" s="1"/>
  <c r="A966" i="3"/>
  <c r="A2041" i="3" s="1"/>
  <c r="O965" i="3"/>
  <c r="N965" i="3"/>
  <c r="M965" i="3"/>
  <c r="L965" i="3"/>
  <c r="K965" i="3"/>
  <c r="E965" i="3"/>
  <c r="E2040" i="3" s="1"/>
  <c r="D965" i="3"/>
  <c r="D2040" i="3" s="1"/>
  <c r="C965" i="3"/>
  <c r="C2040" i="3" s="1"/>
  <c r="B965" i="3"/>
  <c r="B2040" i="3" s="1"/>
  <c r="A965" i="3"/>
  <c r="A2040" i="3" s="1"/>
  <c r="O964" i="3"/>
  <c r="N964" i="3"/>
  <c r="M964" i="3"/>
  <c r="L964" i="3"/>
  <c r="K964" i="3"/>
  <c r="E964" i="3"/>
  <c r="E2039" i="3" s="1"/>
  <c r="D964" i="3"/>
  <c r="D2039" i="3" s="1"/>
  <c r="C964" i="3"/>
  <c r="C2039" i="3" s="1"/>
  <c r="B964" i="3"/>
  <c r="B2039" i="3" s="1"/>
  <c r="A964" i="3"/>
  <c r="A2039" i="3" s="1"/>
  <c r="O963" i="3"/>
  <c r="N963" i="3"/>
  <c r="M963" i="3"/>
  <c r="L963" i="3"/>
  <c r="K963" i="3"/>
  <c r="E963" i="3"/>
  <c r="B963" i="3"/>
  <c r="A963" i="3"/>
  <c r="O962" i="3"/>
  <c r="N962" i="3"/>
  <c r="M962" i="3"/>
  <c r="L962" i="3"/>
  <c r="K962" i="3"/>
  <c r="E962" i="3"/>
  <c r="E2038" i="3" s="1"/>
  <c r="D962" i="3"/>
  <c r="D2038" i="3" s="1"/>
  <c r="C962" i="3"/>
  <c r="C2038" i="3" s="1"/>
  <c r="B962" i="3"/>
  <c r="B2038" i="3" s="1"/>
  <c r="A962" i="3"/>
  <c r="A2038" i="3" s="1"/>
  <c r="O961" i="3"/>
  <c r="N961" i="3"/>
  <c r="M961" i="3"/>
  <c r="L961" i="3"/>
  <c r="K961" i="3"/>
  <c r="E961" i="3"/>
  <c r="E2037" i="3" s="1"/>
  <c r="D961" i="3"/>
  <c r="D2037" i="3" s="1"/>
  <c r="C961" i="3"/>
  <c r="C2037" i="3" s="1"/>
  <c r="B961" i="3"/>
  <c r="B2037" i="3" s="1"/>
  <c r="A961" i="3"/>
  <c r="A2037" i="3" s="1"/>
  <c r="O960" i="3"/>
  <c r="N960" i="3"/>
  <c r="M960" i="3"/>
  <c r="L960" i="3"/>
  <c r="K960" i="3"/>
  <c r="E960" i="3"/>
  <c r="E2036" i="3" s="1"/>
  <c r="D960" i="3"/>
  <c r="D2036" i="3" s="1"/>
  <c r="C960" i="3"/>
  <c r="C2036" i="3" s="1"/>
  <c r="B960" i="3"/>
  <c r="B2036" i="3" s="1"/>
  <c r="A960" i="3"/>
  <c r="A2036" i="3" s="1"/>
  <c r="O959" i="3"/>
  <c r="N959" i="3"/>
  <c r="M959" i="3"/>
  <c r="L959" i="3"/>
  <c r="K959" i="3"/>
  <c r="E959" i="3"/>
  <c r="E2035" i="3" s="1"/>
  <c r="D959" i="3"/>
  <c r="D2035" i="3" s="1"/>
  <c r="C959" i="3"/>
  <c r="C2035" i="3" s="1"/>
  <c r="B959" i="3"/>
  <c r="B2035" i="3" s="1"/>
  <c r="A959" i="3"/>
  <c r="A2035" i="3" s="1"/>
  <c r="O958" i="3"/>
  <c r="N958" i="3"/>
  <c r="M958" i="3"/>
  <c r="L958" i="3"/>
  <c r="K958" i="3"/>
  <c r="E958" i="3"/>
  <c r="E2034" i="3" s="1"/>
  <c r="D958" i="3"/>
  <c r="D2034" i="3" s="1"/>
  <c r="C958" i="3"/>
  <c r="C2034" i="3" s="1"/>
  <c r="B958" i="3"/>
  <c r="B2034" i="3" s="1"/>
  <c r="A958" i="3"/>
  <c r="A2034" i="3" s="1"/>
  <c r="O957" i="3"/>
  <c r="N957" i="3"/>
  <c r="M957" i="3"/>
  <c r="L957" i="3"/>
  <c r="K957" i="3"/>
  <c r="E957" i="3"/>
  <c r="E2033" i="3" s="1"/>
  <c r="D957" i="3"/>
  <c r="D2033" i="3" s="1"/>
  <c r="C957" i="3"/>
  <c r="C2033" i="3" s="1"/>
  <c r="B957" i="3"/>
  <c r="B2033" i="3" s="1"/>
  <c r="A957" i="3"/>
  <c r="A2033" i="3" s="1"/>
  <c r="O956" i="3"/>
  <c r="N956" i="3"/>
  <c r="M956" i="3"/>
  <c r="L956" i="3"/>
  <c r="K956" i="3"/>
  <c r="E956" i="3"/>
  <c r="E2032" i="3" s="1"/>
  <c r="D956" i="3"/>
  <c r="D2032" i="3" s="1"/>
  <c r="C956" i="3"/>
  <c r="C2032" i="3" s="1"/>
  <c r="B956" i="3"/>
  <c r="B2032" i="3" s="1"/>
  <c r="A956" i="3"/>
  <c r="A2032" i="3" s="1"/>
  <c r="O955" i="3"/>
  <c r="N955" i="3"/>
  <c r="M955" i="3"/>
  <c r="L955" i="3"/>
  <c r="K955" i="3"/>
  <c r="E955" i="3"/>
  <c r="E2031" i="3" s="1"/>
  <c r="D955" i="3"/>
  <c r="D2031" i="3" s="1"/>
  <c r="C955" i="3"/>
  <c r="C2031" i="3" s="1"/>
  <c r="B955" i="3"/>
  <c r="B2031" i="3" s="1"/>
  <c r="A955" i="3"/>
  <c r="A2031" i="3" s="1"/>
  <c r="O954" i="3"/>
  <c r="N954" i="3"/>
  <c r="M954" i="3"/>
  <c r="L954" i="3"/>
  <c r="K954" i="3"/>
  <c r="E954" i="3"/>
  <c r="E2030" i="3" s="1"/>
  <c r="D954" i="3"/>
  <c r="D2030" i="3" s="1"/>
  <c r="C954" i="3"/>
  <c r="C2030" i="3" s="1"/>
  <c r="B954" i="3"/>
  <c r="B2030" i="3" s="1"/>
  <c r="A954" i="3"/>
  <c r="A2030" i="3" s="1"/>
  <c r="O953" i="3"/>
  <c r="N953" i="3"/>
  <c r="M953" i="3"/>
  <c r="L953" i="3"/>
  <c r="K953" i="3"/>
  <c r="E953" i="3"/>
  <c r="E2029" i="3" s="1"/>
  <c r="D953" i="3"/>
  <c r="D2029" i="3" s="1"/>
  <c r="C953" i="3"/>
  <c r="C2029" i="3" s="1"/>
  <c r="B953" i="3"/>
  <c r="B2029" i="3" s="1"/>
  <c r="A953" i="3"/>
  <c r="A2029" i="3" s="1"/>
  <c r="O952" i="3"/>
  <c r="N952" i="3"/>
  <c r="M952" i="3"/>
  <c r="L952" i="3"/>
  <c r="K952" i="3"/>
  <c r="E952" i="3"/>
  <c r="E2028" i="3" s="1"/>
  <c r="D952" i="3"/>
  <c r="D2028" i="3" s="1"/>
  <c r="C952" i="3"/>
  <c r="C2028" i="3" s="1"/>
  <c r="B952" i="3"/>
  <c r="B2028" i="3" s="1"/>
  <c r="A952" i="3"/>
  <c r="A2028" i="3" s="1"/>
  <c r="O951" i="3"/>
  <c r="N951" i="3"/>
  <c r="M951" i="3"/>
  <c r="L951" i="3"/>
  <c r="K951" i="3"/>
  <c r="E951" i="3"/>
  <c r="E2027" i="3" s="1"/>
  <c r="D951" i="3"/>
  <c r="D2027" i="3" s="1"/>
  <c r="C951" i="3"/>
  <c r="C2027" i="3" s="1"/>
  <c r="B951" i="3"/>
  <c r="B2027" i="3" s="1"/>
  <c r="A951" i="3"/>
  <c r="A2027" i="3" s="1"/>
  <c r="O950" i="3"/>
  <c r="N950" i="3"/>
  <c r="M950" i="3"/>
  <c r="L950" i="3"/>
  <c r="K950" i="3"/>
  <c r="E950" i="3"/>
  <c r="E2026" i="3" s="1"/>
  <c r="D950" i="3"/>
  <c r="D2026" i="3" s="1"/>
  <c r="C950" i="3"/>
  <c r="C2026" i="3" s="1"/>
  <c r="B950" i="3"/>
  <c r="B2026" i="3" s="1"/>
  <c r="A950" i="3"/>
  <c r="A2026" i="3" s="1"/>
  <c r="O949" i="3"/>
  <c r="N949" i="3"/>
  <c r="M949" i="3"/>
  <c r="L949" i="3"/>
  <c r="K949" i="3"/>
  <c r="E949" i="3"/>
  <c r="E2025" i="3" s="1"/>
  <c r="D949" i="3"/>
  <c r="D2025" i="3" s="1"/>
  <c r="C949" i="3"/>
  <c r="C2025" i="3" s="1"/>
  <c r="B949" i="3"/>
  <c r="B2025" i="3" s="1"/>
  <c r="A949" i="3"/>
  <c r="A2025" i="3" s="1"/>
  <c r="O948" i="3"/>
  <c r="N948" i="3"/>
  <c r="M948" i="3"/>
  <c r="L948" i="3"/>
  <c r="K948" i="3"/>
  <c r="E948" i="3"/>
  <c r="E2024" i="3" s="1"/>
  <c r="D948" i="3"/>
  <c r="D2024" i="3" s="1"/>
  <c r="C948" i="3"/>
  <c r="C2024" i="3" s="1"/>
  <c r="B948" i="3"/>
  <c r="B2024" i="3" s="1"/>
  <c r="A948" i="3"/>
  <c r="A2024" i="3" s="1"/>
  <c r="O947" i="3"/>
  <c r="N947" i="3"/>
  <c r="M947" i="3"/>
  <c r="L947" i="3"/>
  <c r="K947" i="3"/>
  <c r="E947" i="3"/>
  <c r="E2023" i="3" s="1"/>
  <c r="D947" i="3"/>
  <c r="D2023" i="3" s="1"/>
  <c r="C947" i="3"/>
  <c r="C2023" i="3" s="1"/>
  <c r="B947" i="3"/>
  <c r="B2023" i="3" s="1"/>
  <c r="A947" i="3"/>
  <c r="A2023" i="3" s="1"/>
  <c r="O946" i="3"/>
  <c r="N946" i="3"/>
  <c r="M946" i="3"/>
  <c r="L946" i="3"/>
  <c r="K946" i="3"/>
  <c r="E946" i="3"/>
  <c r="E2022" i="3" s="1"/>
  <c r="D946" i="3"/>
  <c r="D2022" i="3" s="1"/>
  <c r="C946" i="3"/>
  <c r="C2022" i="3" s="1"/>
  <c r="B946" i="3"/>
  <c r="B2022" i="3" s="1"/>
  <c r="A946" i="3"/>
  <c r="A2022" i="3" s="1"/>
  <c r="O945" i="3"/>
  <c r="N945" i="3"/>
  <c r="M945" i="3"/>
  <c r="L945" i="3"/>
  <c r="K945" i="3"/>
  <c r="E945" i="3"/>
  <c r="B945" i="3"/>
  <c r="A945" i="3"/>
  <c r="O944" i="3"/>
  <c r="N944" i="3"/>
  <c r="M944" i="3"/>
  <c r="L944" i="3"/>
  <c r="K944" i="3"/>
  <c r="E944" i="3"/>
  <c r="B944" i="3"/>
  <c r="A944" i="3"/>
  <c r="O943" i="3"/>
  <c r="N943" i="3"/>
  <c r="M943" i="3"/>
  <c r="L943" i="3"/>
  <c r="K943" i="3"/>
  <c r="E943" i="3"/>
  <c r="B943" i="3"/>
  <c r="A943" i="3"/>
  <c r="O942" i="3"/>
  <c r="N942" i="3"/>
  <c r="M942" i="3"/>
  <c r="L942" i="3"/>
  <c r="K942" i="3"/>
  <c r="E942" i="3"/>
  <c r="B942" i="3"/>
  <c r="A942" i="3"/>
  <c r="O941" i="3"/>
  <c r="N941" i="3"/>
  <c r="M941" i="3"/>
  <c r="L941" i="3"/>
  <c r="K941" i="3"/>
  <c r="E941" i="3"/>
  <c r="E2021" i="3" s="1"/>
  <c r="D941" i="3"/>
  <c r="D2021" i="3" s="1"/>
  <c r="C941" i="3"/>
  <c r="C2021" i="3" s="1"/>
  <c r="B941" i="3"/>
  <c r="B2021" i="3" s="1"/>
  <c r="A941" i="3"/>
  <c r="A2021" i="3" s="1"/>
  <c r="O940" i="3"/>
  <c r="N940" i="3"/>
  <c r="M940" i="3"/>
  <c r="L940" i="3"/>
  <c r="K940" i="3"/>
  <c r="E940" i="3"/>
  <c r="E2020" i="3" s="1"/>
  <c r="D940" i="3"/>
  <c r="D2020" i="3" s="1"/>
  <c r="C940" i="3"/>
  <c r="C2020" i="3" s="1"/>
  <c r="B940" i="3"/>
  <c r="B2020" i="3" s="1"/>
  <c r="A940" i="3"/>
  <c r="A2020" i="3" s="1"/>
  <c r="O939" i="3"/>
  <c r="N939" i="3"/>
  <c r="M939" i="3"/>
  <c r="L939" i="3"/>
  <c r="K939" i="3"/>
  <c r="E939" i="3"/>
  <c r="E2019" i="3" s="1"/>
  <c r="D939" i="3"/>
  <c r="D2019" i="3" s="1"/>
  <c r="C939" i="3"/>
  <c r="C2019" i="3" s="1"/>
  <c r="B939" i="3"/>
  <c r="B2019" i="3" s="1"/>
  <c r="A939" i="3"/>
  <c r="A2019" i="3" s="1"/>
  <c r="O938" i="3"/>
  <c r="N938" i="3"/>
  <c r="M938" i="3"/>
  <c r="L938" i="3"/>
  <c r="K938" i="3"/>
  <c r="E938" i="3"/>
  <c r="E2018" i="3" s="1"/>
  <c r="D938" i="3"/>
  <c r="D2018" i="3" s="1"/>
  <c r="C938" i="3"/>
  <c r="C2018" i="3" s="1"/>
  <c r="B938" i="3"/>
  <c r="B2018" i="3" s="1"/>
  <c r="A938" i="3"/>
  <c r="A2018" i="3" s="1"/>
  <c r="O937" i="3"/>
  <c r="N937" i="3"/>
  <c r="M937" i="3"/>
  <c r="L937" i="3"/>
  <c r="K937" i="3"/>
  <c r="E937" i="3"/>
  <c r="E2017" i="3" s="1"/>
  <c r="D937" i="3"/>
  <c r="D2017" i="3" s="1"/>
  <c r="C937" i="3"/>
  <c r="C2017" i="3" s="1"/>
  <c r="B937" i="3"/>
  <c r="B2017" i="3" s="1"/>
  <c r="A937" i="3"/>
  <c r="A2017" i="3" s="1"/>
  <c r="O936" i="3"/>
  <c r="N936" i="3"/>
  <c r="M936" i="3"/>
  <c r="L936" i="3"/>
  <c r="K936" i="3"/>
  <c r="E936" i="3"/>
  <c r="E2016" i="3" s="1"/>
  <c r="D936" i="3"/>
  <c r="D2016" i="3" s="1"/>
  <c r="C936" i="3"/>
  <c r="C2016" i="3" s="1"/>
  <c r="B936" i="3"/>
  <c r="B2016" i="3" s="1"/>
  <c r="A936" i="3"/>
  <c r="A2016" i="3" s="1"/>
  <c r="O935" i="3"/>
  <c r="N935" i="3"/>
  <c r="M935" i="3"/>
  <c r="L935" i="3"/>
  <c r="K935" i="3"/>
  <c r="E935" i="3"/>
  <c r="E2015" i="3" s="1"/>
  <c r="D935" i="3"/>
  <c r="D2015" i="3" s="1"/>
  <c r="C935" i="3"/>
  <c r="C2015" i="3" s="1"/>
  <c r="B935" i="3"/>
  <c r="B2015" i="3" s="1"/>
  <c r="A935" i="3"/>
  <c r="A2015" i="3" s="1"/>
  <c r="O934" i="3"/>
  <c r="N934" i="3"/>
  <c r="M934" i="3"/>
  <c r="L934" i="3"/>
  <c r="K934" i="3"/>
  <c r="E934" i="3"/>
  <c r="E2014" i="3" s="1"/>
  <c r="D934" i="3"/>
  <c r="D2014" i="3" s="1"/>
  <c r="C934" i="3"/>
  <c r="C2014" i="3" s="1"/>
  <c r="B934" i="3"/>
  <c r="B2014" i="3" s="1"/>
  <c r="A934" i="3"/>
  <c r="A2014" i="3" s="1"/>
  <c r="O933" i="3"/>
  <c r="N933" i="3"/>
  <c r="M933" i="3"/>
  <c r="L933" i="3"/>
  <c r="K933" i="3"/>
  <c r="E933" i="3"/>
  <c r="E2013" i="3" s="1"/>
  <c r="D933" i="3"/>
  <c r="D2013" i="3" s="1"/>
  <c r="C933" i="3"/>
  <c r="C2013" i="3" s="1"/>
  <c r="B933" i="3"/>
  <c r="B2013" i="3" s="1"/>
  <c r="A933" i="3"/>
  <c r="A2013" i="3" s="1"/>
  <c r="O932" i="3"/>
  <c r="N932" i="3"/>
  <c r="M932" i="3"/>
  <c r="L932" i="3"/>
  <c r="K932" i="3"/>
  <c r="E932" i="3"/>
  <c r="E2012" i="3" s="1"/>
  <c r="D932" i="3"/>
  <c r="D2012" i="3" s="1"/>
  <c r="C932" i="3"/>
  <c r="C2012" i="3" s="1"/>
  <c r="B932" i="3"/>
  <c r="B2012" i="3" s="1"/>
  <c r="A932" i="3"/>
  <c r="A2012" i="3" s="1"/>
  <c r="O931" i="3"/>
  <c r="N931" i="3"/>
  <c r="M931" i="3"/>
  <c r="L931" i="3"/>
  <c r="K931" i="3"/>
  <c r="E931" i="3"/>
  <c r="B931" i="3"/>
  <c r="A931" i="3"/>
  <c r="O930" i="3"/>
  <c r="N930" i="3"/>
  <c r="M930" i="3"/>
  <c r="L930" i="3"/>
  <c r="K930" i="3"/>
  <c r="E930" i="3"/>
  <c r="B930" i="3"/>
  <c r="A930" i="3"/>
  <c r="O929" i="3"/>
  <c r="N929" i="3"/>
  <c r="M929" i="3"/>
  <c r="L929" i="3"/>
  <c r="K929" i="3"/>
  <c r="E929" i="3"/>
  <c r="E2011" i="3" s="1"/>
  <c r="D929" i="3"/>
  <c r="D2011" i="3" s="1"/>
  <c r="C929" i="3"/>
  <c r="C2011" i="3" s="1"/>
  <c r="B929" i="3"/>
  <c r="B2011" i="3" s="1"/>
  <c r="A929" i="3"/>
  <c r="A2011" i="3" s="1"/>
  <c r="O928" i="3"/>
  <c r="N928" i="3"/>
  <c r="M928" i="3"/>
  <c r="L928" i="3"/>
  <c r="K928" i="3"/>
  <c r="E928" i="3"/>
  <c r="E2010" i="3" s="1"/>
  <c r="D928" i="3"/>
  <c r="D2010" i="3" s="1"/>
  <c r="C928" i="3"/>
  <c r="C2010" i="3" s="1"/>
  <c r="B928" i="3"/>
  <c r="B2010" i="3" s="1"/>
  <c r="A928" i="3"/>
  <c r="A2010" i="3" s="1"/>
  <c r="O927" i="3"/>
  <c r="N927" i="3"/>
  <c r="M927" i="3"/>
  <c r="L927" i="3"/>
  <c r="K927" i="3"/>
  <c r="E927" i="3"/>
  <c r="E2009" i="3" s="1"/>
  <c r="D927" i="3"/>
  <c r="D2009" i="3" s="1"/>
  <c r="C927" i="3"/>
  <c r="C2009" i="3" s="1"/>
  <c r="B927" i="3"/>
  <c r="B2009" i="3" s="1"/>
  <c r="A927" i="3"/>
  <c r="A2009" i="3" s="1"/>
  <c r="O926" i="3"/>
  <c r="N926" i="3"/>
  <c r="M926" i="3"/>
  <c r="L926" i="3"/>
  <c r="K926" i="3"/>
  <c r="E926" i="3"/>
  <c r="E2008" i="3" s="1"/>
  <c r="D926" i="3"/>
  <c r="D2008" i="3" s="1"/>
  <c r="C926" i="3"/>
  <c r="C2008" i="3" s="1"/>
  <c r="B926" i="3"/>
  <c r="B2008" i="3" s="1"/>
  <c r="A926" i="3"/>
  <c r="A2008" i="3" s="1"/>
  <c r="O925" i="3"/>
  <c r="N925" i="3"/>
  <c r="M925" i="3"/>
  <c r="L925" i="3"/>
  <c r="K925" i="3"/>
  <c r="E925" i="3"/>
  <c r="E2007" i="3" s="1"/>
  <c r="D925" i="3"/>
  <c r="D2007" i="3" s="1"/>
  <c r="C925" i="3"/>
  <c r="C2007" i="3" s="1"/>
  <c r="B925" i="3"/>
  <c r="B2007" i="3" s="1"/>
  <c r="A925" i="3"/>
  <c r="A2007" i="3" s="1"/>
  <c r="O924" i="3"/>
  <c r="N924" i="3"/>
  <c r="M924" i="3"/>
  <c r="L924" i="3"/>
  <c r="K924" i="3"/>
  <c r="E924" i="3"/>
  <c r="E2006" i="3" s="1"/>
  <c r="D924" i="3"/>
  <c r="D2006" i="3" s="1"/>
  <c r="C924" i="3"/>
  <c r="C2006" i="3" s="1"/>
  <c r="B924" i="3"/>
  <c r="B2006" i="3" s="1"/>
  <c r="A924" i="3"/>
  <c r="A2006" i="3" s="1"/>
  <c r="O923" i="3"/>
  <c r="N923" i="3"/>
  <c r="M923" i="3"/>
  <c r="L923" i="3"/>
  <c r="K923" i="3"/>
  <c r="E923" i="3"/>
  <c r="B923" i="3"/>
  <c r="A923" i="3"/>
  <c r="O922" i="3"/>
  <c r="N922" i="3"/>
  <c r="M922" i="3"/>
  <c r="L922" i="3"/>
  <c r="K922" i="3"/>
  <c r="E922" i="3"/>
  <c r="E2005" i="3" s="1"/>
  <c r="D922" i="3"/>
  <c r="D2005" i="3" s="1"/>
  <c r="C922" i="3"/>
  <c r="C2005" i="3" s="1"/>
  <c r="B922" i="3"/>
  <c r="B2005" i="3" s="1"/>
  <c r="A922" i="3"/>
  <c r="A2005" i="3" s="1"/>
  <c r="O921" i="3"/>
  <c r="N921" i="3"/>
  <c r="M921" i="3"/>
  <c r="L921" i="3"/>
  <c r="K921" i="3"/>
  <c r="E921" i="3"/>
  <c r="E2004" i="3" s="1"/>
  <c r="D921" i="3"/>
  <c r="D2004" i="3" s="1"/>
  <c r="C921" i="3"/>
  <c r="C2004" i="3" s="1"/>
  <c r="B921" i="3"/>
  <c r="B2004" i="3" s="1"/>
  <c r="A921" i="3"/>
  <c r="A2004" i="3" s="1"/>
  <c r="O920" i="3"/>
  <c r="N920" i="3"/>
  <c r="M920" i="3"/>
  <c r="L920" i="3"/>
  <c r="K920" i="3"/>
  <c r="E920" i="3"/>
  <c r="E2003" i="3" s="1"/>
  <c r="D920" i="3"/>
  <c r="D2003" i="3" s="1"/>
  <c r="C920" i="3"/>
  <c r="C2003" i="3" s="1"/>
  <c r="B920" i="3"/>
  <c r="B2003" i="3" s="1"/>
  <c r="A920" i="3"/>
  <c r="A2003" i="3" s="1"/>
  <c r="O919" i="3"/>
  <c r="N919" i="3"/>
  <c r="M919" i="3"/>
  <c r="L919" i="3"/>
  <c r="K919" i="3"/>
  <c r="E919" i="3"/>
  <c r="E2002" i="3" s="1"/>
  <c r="D919" i="3"/>
  <c r="D2002" i="3" s="1"/>
  <c r="C919" i="3"/>
  <c r="C2002" i="3" s="1"/>
  <c r="B919" i="3"/>
  <c r="B2002" i="3" s="1"/>
  <c r="A919" i="3"/>
  <c r="A2002" i="3" s="1"/>
  <c r="O918" i="3"/>
  <c r="N918" i="3"/>
  <c r="M918" i="3"/>
  <c r="L918" i="3"/>
  <c r="K918" i="3"/>
  <c r="E918" i="3"/>
  <c r="E2001" i="3" s="1"/>
  <c r="D918" i="3"/>
  <c r="D2001" i="3" s="1"/>
  <c r="C918" i="3"/>
  <c r="C2001" i="3" s="1"/>
  <c r="B918" i="3"/>
  <c r="B2001" i="3" s="1"/>
  <c r="A918" i="3"/>
  <c r="A2001" i="3" s="1"/>
  <c r="O917" i="3"/>
  <c r="N917" i="3"/>
  <c r="M917" i="3"/>
  <c r="L917" i="3"/>
  <c r="K917" i="3"/>
  <c r="E917" i="3"/>
  <c r="E2000" i="3" s="1"/>
  <c r="D917" i="3"/>
  <c r="D2000" i="3" s="1"/>
  <c r="C917" i="3"/>
  <c r="C2000" i="3" s="1"/>
  <c r="B917" i="3"/>
  <c r="B2000" i="3" s="1"/>
  <c r="A917" i="3"/>
  <c r="A2000" i="3" s="1"/>
  <c r="O916" i="3"/>
  <c r="N916" i="3"/>
  <c r="M916" i="3"/>
  <c r="L916" i="3"/>
  <c r="K916" i="3"/>
  <c r="E916" i="3"/>
  <c r="E1999" i="3" s="1"/>
  <c r="D916" i="3"/>
  <c r="D1999" i="3" s="1"/>
  <c r="C916" i="3"/>
  <c r="C1999" i="3" s="1"/>
  <c r="B916" i="3"/>
  <c r="B1999" i="3" s="1"/>
  <c r="A916" i="3"/>
  <c r="A1999" i="3" s="1"/>
  <c r="O915" i="3"/>
  <c r="N915" i="3"/>
  <c r="M915" i="3"/>
  <c r="L915" i="3"/>
  <c r="K915" i="3"/>
  <c r="E915" i="3"/>
  <c r="E1998" i="3" s="1"/>
  <c r="D915" i="3"/>
  <c r="D1998" i="3" s="1"/>
  <c r="C915" i="3"/>
  <c r="C1998" i="3" s="1"/>
  <c r="B915" i="3"/>
  <c r="B1998" i="3" s="1"/>
  <c r="A915" i="3"/>
  <c r="A1998" i="3" s="1"/>
  <c r="O914" i="3"/>
  <c r="N914" i="3"/>
  <c r="M914" i="3"/>
  <c r="L914" i="3"/>
  <c r="K914" i="3"/>
  <c r="E914" i="3"/>
  <c r="E1997" i="3" s="1"/>
  <c r="D914" i="3"/>
  <c r="D1997" i="3" s="1"/>
  <c r="C914" i="3"/>
  <c r="C1997" i="3" s="1"/>
  <c r="B914" i="3"/>
  <c r="B1997" i="3" s="1"/>
  <c r="A914" i="3"/>
  <c r="A1997" i="3" s="1"/>
  <c r="O913" i="3"/>
  <c r="N913" i="3"/>
  <c r="M913" i="3"/>
  <c r="L913" i="3"/>
  <c r="K913" i="3"/>
  <c r="E913" i="3"/>
  <c r="E1996" i="3" s="1"/>
  <c r="D913" i="3"/>
  <c r="D1996" i="3" s="1"/>
  <c r="C913" i="3"/>
  <c r="C1996" i="3" s="1"/>
  <c r="B913" i="3"/>
  <c r="B1996" i="3" s="1"/>
  <c r="A913" i="3"/>
  <c r="A1996" i="3" s="1"/>
  <c r="O912" i="3"/>
  <c r="N912" i="3"/>
  <c r="M912" i="3"/>
  <c r="L912" i="3"/>
  <c r="K912" i="3"/>
  <c r="E912" i="3"/>
  <c r="E1995" i="3" s="1"/>
  <c r="D912" i="3"/>
  <c r="D1995" i="3" s="1"/>
  <c r="C912" i="3"/>
  <c r="C1995" i="3" s="1"/>
  <c r="B912" i="3"/>
  <c r="B1995" i="3" s="1"/>
  <c r="A912" i="3"/>
  <c r="A1995" i="3" s="1"/>
  <c r="O911" i="3"/>
  <c r="N911" i="3"/>
  <c r="M911" i="3"/>
  <c r="L911" i="3"/>
  <c r="K911" i="3"/>
  <c r="E911" i="3"/>
  <c r="E1994" i="3" s="1"/>
  <c r="D911" i="3"/>
  <c r="D1994" i="3" s="1"/>
  <c r="C911" i="3"/>
  <c r="C1994" i="3" s="1"/>
  <c r="B911" i="3"/>
  <c r="B1994" i="3" s="1"/>
  <c r="A911" i="3"/>
  <c r="A1994" i="3" s="1"/>
  <c r="O910" i="3"/>
  <c r="N910" i="3"/>
  <c r="M910" i="3"/>
  <c r="L910" i="3"/>
  <c r="K910" i="3"/>
  <c r="E910" i="3"/>
  <c r="B910" i="3"/>
  <c r="A910" i="3"/>
  <c r="O909" i="3"/>
  <c r="N909" i="3"/>
  <c r="M909" i="3"/>
  <c r="L909" i="3"/>
  <c r="K909" i="3"/>
  <c r="E909" i="3"/>
  <c r="E1993" i="3" s="1"/>
  <c r="D909" i="3"/>
  <c r="D1993" i="3" s="1"/>
  <c r="C909" i="3"/>
  <c r="C1993" i="3" s="1"/>
  <c r="B909" i="3"/>
  <c r="B1993" i="3" s="1"/>
  <c r="A909" i="3"/>
  <c r="A1993" i="3" s="1"/>
  <c r="O908" i="3"/>
  <c r="N908" i="3"/>
  <c r="M908" i="3"/>
  <c r="L908" i="3"/>
  <c r="K908" i="3"/>
  <c r="E908" i="3"/>
  <c r="E1992" i="3" s="1"/>
  <c r="D908" i="3"/>
  <c r="D1992" i="3" s="1"/>
  <c r="C908" i="3"/>
  <c r="C1992" i="3" s="1"/>
  <c r="B908" i="3"/>
  <c r="B1992" i="3" s="1"/>
  <c r="A908" i="3"/>
  <c r="A1992" i="3" s="1"/>
  <c r="O907" i="3"/>
  <c r="N907" i="3"/>
  <c r="M907" i="3"/>
  <c r="L907" i="3"/>
  <c r="K907" i="3"/>
  <c r="E907" i="3"/>
  <c r="E1991" i="3" s="1"/>
  <c r="D907" i="3"/>
  <c r="D1991" i="3" s="1"/>
  <c r="C907" i="3"/>
  <c r="C1991" i="3" s="1"/>
  <c r="B907" i="3"/>
  <c r="B1991" i="3" s="1"/>
  <c r="A907" i="3"/>
  <c r="A1991" i="3" s="1"/>
  <c r="O906" i="3"/>
  <c r="N906" i="3"/>
  <c r="M906" i="3"/>
  <c r="L906" i="3"/>
  <c r="K906" i="3"/>
  <c r="E906" i="3"/>
  <c r="E1990" i="3" s="1"/>
  <c r="D906" i="3"/>
  <c r="D1990" i="3" s="1"/>
  <c r="C906" i="3"/>
  <c r="C1990" i="3" s="1"/>
  <c r="B906" i="3"/>
  <c r="B1990" i="3" s="1"/>
  <c r="A906" i="3"/>
  <c r="A1990" i="3" s="1"/>
  <c r="O905" i="3"/>
  <c r="N905" i="3"/>
  <c r="M905" i="3"/>
  <c r="L905" i="3"/>
  <c r="K905" i="3"/>
  <c r="E905" i="3"/>
  <c r="E1989" i="3" s="1"/>
  <c r="D905" i="3"/>
  <c r="D1989" i="3" s="1"/>
  <c r="C905" i="3"/>
  <c r="C1989" i="3" s="1"/>
  <c r="B905" i="3"/>
  <c r="B1989" i="3" s="1"/>
  <c r="A905" i="3"/>
  <c r="A1989" i="3" s="1"/>
  <c r="O904" i="3"/>
  <c r="N904" i="3"/>
  <c r="M904" i="3"/>
  <c r="L904" i="3"/>
  <c r="K904" i="3"/>
  <c r="E904" i="3"/>
  <c r="E1988" i="3" s="1"/>
  <c r="D904" i="3"/>
  <c r="D1988" i="3" s="1"/>
  <c r="C904" i="3"/>
  <c r="C1988" i="3" s="1"/>
  <c r="B904" i="3"/>
  <c r="B1988" i="3" s="1"/>
  <c r="A904" i="3"/>
  <c r="A1988" i="3" s="1"/>
  <c r="O903" i="3"/>
  <c r="N903" i="3"/>
  <c r="M903" i="3"/>
  <c r="L903" i="3"/>
  <c r="K903" i="3"/>
  <c r="E903" i="3"/>
  <c r="E1987" i="3" s="1"/>
  <c r="D903" i="3"/>
  <c r="D1987" i="3" s="1"/>
  <c r="C903" i="3"/>
  <c r="C1987" i="3" s="1"/>
  <c r="B903" i="3"/>
  <c r="B1987" i="3" s="1"/>
  <c r="A903" i="3"/>
  <c r="A1987" i="3" s="1"/>
  <c r="O902" i="3"/>
  <c r="N902" i="3"/>
  <c r="M902" i="3"/>
  <c r="L902" i="3"/>
  <c r="K902" i="3"/>
  <c r="E902" i="3"/>
  <c r="E1986" i="3" s="1"/>
  <c r="D902" i="3"/>
  <c r="D1986" i="3" s="1"/>
  <c r="C902" i="3"/>
  <c r="C1986" i="3" s="1"/>
  <c r="B902" i="3"/>
  <c r="B1986" i="3" s="1"/>
  <c r="A902" i="3"/>
  <c r="A1986" i="3" s="1"/>
  <c r="O901" i="3"/>
  <c r="N901" i="3"/>
  <c r="M901" i="3"/>
  <c r="L901" i="3"/>
  <c r="K901" i="3"/>
  <c r="E901" i="3"/>
  <c r="E1985" i="3" s="1"/>
  <c r="D901" i="3"/>
  <c r="D1985" i="3" s="1"/>
  <c r="C901" i="3"/>
  <c r="C1985" i="3" s="1"/>
  <c r="B901" i="3"/>
  <c r="B1985" i="3" s="1"/>
  <c r="A901" i="3"/>
  <c r="A1985" i="3" s="1"/>
  <c r="O900" i="3"/>
  <c r="N900" i="3"/>
  <c r="M900" i="3"/>
  <c r="L900" i="3"/>
  <c r="K900" i="3"/>
  <c r="E900" i="3"/>
  <c r="E1984" i="3" s="1"/>
  <c r="D900" i="3"/>
  <c r="D1984" i="3" s="1"/>
  <c r="C900" i="3"/>
  <c r="C1984" i="3" s="1"/>
  <c r="B900" i="3"/>
  <c r="B1984" i="3" s="1"/>
  <c r="A900" i="3"/>
  <c r="A1984" i="3" s="1"/>
  <c r="O899" i="3"/>
  <c r="N899" i="3"/>
  <c r="M899" i="3"/>
  <c r="L899" i="3"/>
  <c r="K899" i="3"/>
  <c r="E899" i="3"/>
  <c r="E1983" i="3" s="1"/>
  <c r="D899" i="3"/>
  <c r="D1983" i="3" s="1"/>
  <c r="C899" i="3"/>
  <c r="C1983" i="3" s="1"/>
  <c r="B899" i="3"/>
  <c r="B1983" i="3" s="1"/>
  <c r="A899" i="3"/>
  <c r="A1983" i="3" s="1"/>
  <c r="O898" i="3"/>
  <c r="N898" i="3"/>
  <c r="M898" i="3"/>
  <c r="L898" i="3"/>
  <c r="K898" i="3"/>
  <c r="E898" i="3"/>
  <c r="E1982" i="3" s="1"/>
  <c r="D898" i="3"/>
  <c r="D1982" i="3" s="1"/>
  <c r="C898" i="3"/>
  <c r="C1982" i="3" s="1"/>
  <c r="B898" i="3"/>
  <c r="B1982" i="3" s="1"/>
  <c r="A898" i="3"/>
  <c r="A1982" i="3" s="1"/>
  <c r="O897" i="3"/>
  <c r="N897" i="3"/>
  <c r="M897" i="3"/>
  <c r="L897" i="3"/>
  <c r="K897" i="3"/>
  <c r="E897" i="3"/>
  <c r="E1981" i="3" s="1"/>
  <c r="D897" i="3"/>
  <c r="D1981" i="3" s="1"/>
  <c r="C897" i="3"/>
  <c r="C1981" i="3" s="1"/>
  <c r="B897" i="3"/>
  <c r="B1981" i="3" s="1"/>
  <c r="A897" i="3"/>
  <c r="A1981" i="3" s="1"/>
  <c r="O896" i="3"/>
  <c r="N896" i="3"/>
  <c r="M896" i="3"/>
  <c r="L896" i="3"/>
  <c r="K896" i="3"/>
  <c r="E896" i="3"/>
  <c r="E1980" i="3" s="1"/>
  <c r="D896" i="3"/>
  <c r="D1980" i="3" s="1"/>
  <c r="C896" i="3"/>
  <c r="C1980" i="3" s="1"/>
  <c r="B896" i="3"/>
  <c r="B1980" i="3" s="1"/>
  <c r="A896" i="3"/>
  <c r="A1980" i="3" s="1"/>
  <c r="O895" i="3"/>
  <c r="N895" i="3"/>
  <c r="M895" i="3"/>
  <c r="L895" i="3"/>
  <c r="K895" i="3"/>
  <c r="E895" i="3"/>
  <c r="E1979" i="3" s="1"/>
  <c r="D895" i="3"/>
  <c r="D1979" i="3" s="1"/>
  <c r="C895" i="3"/>
  <c r="C1979" i="3" s="1"/>
  <c r="B895" i="3"/>
  <c r="B1979" i="3" s="1"/>
  <c r="A895" i="3"/>
  <c r="A1979" i="3" s="1"/>
  <c r="O894" i="3"/>
  <c r="N894" i="3"/>
  <c r="M894" i="3"/>
  <c r="L894" i="3"/>
  <c r="K894" i="3"/>
  <c r="E894" i="3"/>
  <c r="E1978" i="3" s="1"/>
  <c r="D894" i="3"/>
  <c r="D1978" i="3" s="1"/>
  <c r="C894" i="3"/>
  <c r="C1978" i="3" s="1"/>
  <c r="B894" i="3"/>
  <c r="B1978" i="3" s="1"/>
  <c r="A894" i="3"/>
  <c r="A1978" i="3" s="1"/>
  <c r="O893" i="3"/>
  <c r="N893" i="3"/>
  <c r="M893" i="3"/>
  <c r="L893" i="3"/>
  <c r="K893" i="3"/>
  <c r="E893" i="3"/>
  <c r="E1977" i="3" s="1"/>
  <c r="D893" i="3"/>
  <c r="D1977" i="3" s="1"/>
  <c r="C893" i="3"/>
  <c r="C1977" i="3" s="1"/>
  <c r="B893" i="3"/>
  <c r="B1977" i="3" s="1"/>
  <c r="A893" i="3"/>
  <c r="A1977" i="3" s="1"/>
  <c r="O892" i="3"/>
  <c r="N892" i="3"/>
  <c r="M892" i="3"/>
  <c r="L892" i="3"/>
  <c r="K892" i="3"/>
  <c r="E892" i="3"/>
  <c r="E1976" i="3" s="1"/>
  <c r="D892" i="3"/>
  <c r="D1976" i="3" s="1"/>
  <c r="C892" i="3"/>
  <c r="C1976" i="3" s="1"/>
  <c r="B892" i="3"/>
  <c r="B1976" i="3" s="1"/>
  <c r="A892" i="3"/>
  <c r="A1976" i="3" s="1"/>
  <c r="O891" i="3"/>
  <c r="N891" i="3"/>
  <c r="M891" i="3"/>
  <c r="L891" i="3"/>
  <c r="K891" i="3"/>
  <c r="E891" i="3"/>
  <c r="E1975" i="3" s="1"/>
  <c r="D891" i="3"/>
  <c r="D1975" i="3" s="1"/>
  <c r="C891" i="3"/>
  <c r="C1975" i="3" s="1"/>
  <c r="B891" i="3"/>
  <c r="B1975" i="3" s="1"/>
  <c r="A891" i="3"/>
  <c r="A1975" i="3" s="1"/>
  <c r="O890" i="3"/>
  <c r="N890" i="3"/>
  <c r="M890" i="3"/>
  <c r="L890" i="3"/>
  <c r="K890" i="3"/>
  <c r="E890" i="3"/>
  <c r="E1974" i="3" s="1"/>
  <c r="D890" i="3"/>
  <c r="D1974" i="3" s="1"/>
  <c r="C890" i="3"/>
  <c r="C1974" i="3" s="1"/>
  <c r="B890" i="3"/>
  <c r="B1974" i="3" s="1"/>
  <c r="A890" i="3"/>
  <c r="A1974" i="3" s="1"/>
  <c r="O889" i="3"/>
  <c r="N889" i="3"/>
  <c r="M889" i="3"/>
  <c r="L889" i="3"/>
  <c r="K889" i="3"/>
  <c r="E889" i="3"/>
  <c r="E1973" i="3" s="1"/>
  <c r="D889" i="3"/>
  <c r="D1973" i="3" s="1"/>
  <c r="C889" i="3"/>
  <c r="C1973" i="3" s="1"/>
  <c r="B889" i="3"/>
  <c r="B1973" i="3" s="1"/>
  <c r="A889" i="3"/>
  <c r="A1973" i="3" s="1"/>
  <c r="O888" i="3"/>
  <c r="N888" i="3"/>
  <c r="M888" i="3"/>
  <c r="L888" i="3"/>
  <c r="K888" i="3"/>
  <c r="E888" i="3"/>
  <c r="E1972" i="3" s="1"/>
  <c r="D888" i="3"/>
  <c r="D1972" i="3" s="1"/>
  <c r="C888" i="3"/>
  <c r="C1972" i="3" s="1"/>
  <c r="B888" i="3"/>
  <c r="B1972" i="3" s="1"/>
  <c r="A888" i="3"/>
  <c r="A1972" i="3" s="1"/>
  <c r="O887" i="3"/>
  <c r="N887" i="3"/>
  <c r="M887" i="3"/>
  <c r="L887" i="3"/>
  <c r="K887" i="3"/>
  <c r="E887" i="3"/>
  <c r="B887" i="3"/>
  <c r="A887" i="3"/>
  <c r="O886" i="3"/>
  <c r="N886" i="3"/>
  <c r="M886" i="3"/>
  <c r="L886" i="3"/>
  <c r="K886" i="3"/>
  <c r="E886" i="3"/>
  <c r="E1971" i="3" s="1"/>
  <c r="D886" i="3"/>
  <c r="D1971" i="3" s="1"/>
  <c r="C886" i="3"/>
  <c r="C1971" i="3" s="1"/>
  <c r="B886" i="3"/>
  <c r="B1971" i="3" s="1"/>
  <c r="A886" i="3"/>
  <c r="A1971" i="3" s="1"/>
  <c r="O885" i="3"/>
  <c r="N885" i="3"/>
  <c r="M885" i="3"/>
  <c r="L885" i="3"/>
  <c r="K885" i="3"/>
  <c r="E885" i="3"/>
  <c r="E1970" i="3" s="1"/>
  <c r="D885" i="3"/>
  <c r="D1970" i="3" s="1"/>
  <c r="C885" i="3"/>
  <c r="C1970" i="3" s="1"/>
  <c r="B885" i="3"/>
  <c r="B1970" i="3" s="1"/>
  <c r="A885" i="3"/>
  <c r="A1970" i="3" s="1"/>
  <c r="O884" i="3"/>
  <c r="N884" i="3"/>
  <c r="M884" i="3"/>
  <c r="L884" i="3"/>
  <c r="K884" i="3"/>
  <c r="E884" i="3"/>
  <c r="E1969" i="3" s="1"/>
  <c r="D884" i="3"/>
  <c r="D1969" i="3" s="1"/>
  <c r="C884" i="3"/>
  <c r="C1969" i="3" s="1"/>
  <c r="B884" i="3"/>
  <c r="B1969" i="3" s="1"/>
  <c r="A884" i="3"/>
  <c r="A1969" i="3" s="1"/>
  <c r="O883" i="3"/>
  <c r="N883" i="3"/>
  <c r="M883" i="3"/>
  <c r="L883" i="3"/>
  <c r="K883" i="3"/>
  <c r="E883" i="3"/>
  <c r="E1968" i="3" s="1"/>
  <c r="D883" i="3"/>
  <c r="D1968" i="3" s="1"/>
  <c r="C883" i="3"/>
  <c r="C1968" i="3" s="1"/>
  <c r="B883" i="3"/>
  <c r="B1968" i="3" s="1"/>
  <c r="A883" i="3"/>
  <c r="A1968" i="3" s="1"/>
  <c r="O882" i="3"/>
  <c r="N882" i="3"/>
  <c r="M882" i="3"/>
  <c r="L882" i="3"/>
  <c r="K882" i="3"/>
  <c r="E882" i="3"/>
  <c r="E1967" i="3" s="1"/>
  <c r="D882" i="3"/>
  <c r="D1967" i="3" s="1"/>
  <c r="C882" i="3"/>
  <c r="C1967" i="3" s="1"/>
  <c r="B882" i="3"/>
  <c r="B1967" i="3" s="1"/>
  <c r="A882" i="3"/>
  <c r="A1967" i="3" s="1"/>
  <c r="O881" i="3"/>
  <c r="N881" i="3"/>
  <c r="M881" i="3"/>
  <c r="L881" i="3"/>
  <c r="K881" i="3"/>
  <c r="E881" i="3"/>
  <c r="E1966" i="3" s="1"/>
  <c r="D881" i="3"/>
  <c r="D1966" i="3" s="1"/>
  <c r="C881" i="3"/>
  <c r="C1966" i="3" s="1"/>
  <c r="B881" i="3"/>
  <c r="B1966" i="3" s="1"/>
  <c r="A881" i="3"/>
  <c r="A1966" i="3" s="1"/>
  <c r="O880" i="3"/>
  <c r="N880" i="3"/>
  <c r="M880" i="3"/>
  <c r="L880" i="3"/>
  <c r="K880" i="3"/>
  <c r="E880" i="3"/>
  <c r="E1965" i="3" s="1"/>
  <c r="D880" i="3"/>
  <c r="D1965" i="3" s="1"/>
  <c r="C880" i="3"/>
  <c r="C1965" i="3" s="1"/>
  <c r="B880" i="3"/>
  <c r="B1965" i="3" s="1"/>
  <c r="A880" i="3"/>
  <c r="A1965" i="3" s="1"/>
  <c r="O879" i="3"/>
  <c r="N879" i="3"/>
  <c r="M879" i="3"/>
  <c r="L879" i="3"/>
  <c r="K879" i="3"/>
  <c r="E879" i="3"/>
  <c r="E1964" i="3" s="1"/>
  <c r="D879" i="3"/>
  <c r="D1964" i="3" s="1"/>
  <c r="C879" i="3"/>
  <c r="C1964" i="3" s="1"/>
  <c r="B879" i="3"/>
  <c r="B1964" i="3" s="1"/>
  <c r="A879" i="3"/>
  <c r="A1964" i="3" s="1"/>
  <c r="O878" i="3"/>
  <c r="N878" i="3"/>
  <c r="M878" i="3"/>
  <c r="L878" i="3"/>
  <c r="K878" i="3"/>
  <c r="E878" i="3"/>
  <c r="E1963" i="3" s="1"/>
  <c r="D878" i="3"/>
  <c r="D1963" i="3" s="1"/>
  <c r="C878" i="3"/>
  <c r="C1963" i="3" s="1"/>
  <c r="B878" i="3"/>
  <c r="B1963" i="3" s="1"/>
  <c r="A878" i="3"/>
  <c r="A1963" i="3" s="1"/>
  <c r="O877" i="3"/>
  <c r="N877" i="3"/>
  <c r="M877" i="3"/>
  <c r="L877" i="3"/>
  <c r="K877" i="3"/>
  <c r="E877" i="3"/>
  <c r="E1962" i="3" s="1"/>
  <c r="D877" i="3"/>
  <c r="D1962" i="3" s="1"/>
  <c r="C877" i="3"/>
  <c r="C1962" i="3" s="1"/>
  <c r="B877" i="3"/>
  <c r="B1962" i="3" s="1"/>
  <c r="A877" i="3"/>
  <c r="A1962" i="3" s="1"/>
  <c r="O876" i="3"/>
  <c r="N876" i="3"/>
  <c r="M876" i="3"/>
  <c r="L876" i="3"/>
  <c r="K876" i="3"/>
  <c r="E876" i="3"/>
  <c r="E1961" i="3" s="1"/>
  <c r="D876" i="3"/>
  <c r="D1961" i="3" s="1"/>
  <c r="C876" i="3"/>
  <c r="C1961" i="3" s="1"/>
  <c r="B876" i="3"/>
  <c r="B1961" i="3" s="1"/>
  <c r="A876" i="3"/>
  <c r="A1961" i="3" s="1"/>
  <c r="O875" i="3"/>
  <c r="N875" i="3"/>
  <c r="M875" i="3"/>
  <c r="L875" i="3"/>
  <c r="K875" i="3"/>
  <c r="E875" i="3"/>
  <c r="E1960" i="3" s="1"/>
  <c r="D875" i="3"/>
  <c r="D1960" i="3" s="1"/>
  <c r="C875" i="3"/>
  <c r="C1960" i="3" s="1"/>
  <c r="B875" i="3"/>
  <c r="B1960" i="3" s="1"/>
  <c r="A875" i="3"/>
  <c r="A1960" i="3" s="1"/>
  <c r="O874" i="3"/>
  <c r="N874" i="3"/>
  <c r="M874" i="3"/>
  <c r="L874" i="3"/>
  <c r="K874" i="3"/>
  <c r="E874" i="3"/>
  <c r="B874" i="3"/>
  <c r="A874" i="3"/>
  <c r="O873" i="3"/>
  <c r="N873" i="3"/>
  <c r="M873" i="3"/>
  <c r="L873" i="3"/>
  <c r="K873" i="3"/>
  <c r="E873" i="3"/>
  <c r="E1959" i="3" s="1"/>
  <c r="D873" i="3"/>
  <c r="D1959" i="3" s="1"/>
  <c r="C873" i="3"/>
  <c r="C1959" i="3" s="1"/>
  <c r="B873" i="3"/>
  <c r="B1959" i="3" s="1"/>
  <c r="A873" i="3"/>
  <c r="A1959" i="3" s="1"/>
  <c r="O872" i="3"/>
  <c r="N872" i="3"/>
  <c r="M872" i="3"/>
  <c r="L872" i="3"/>
  <c r="K872" i="3"/>
  <c r="E872" i="3"/>
  <c r="E1958" i="3" s="1"/>
  <c r="D872" i="3"/>
  <c r="D1958" i="3" s="1"/>
  <c r="C872" i="3"/>
  <c r="C1958" i="3" s="1"/>
  <c r="B872" i="3"/>
  <c r="B1958" i="3" s="1"/>
  <c r="A872" i="3"/>
  <c r="A1958" i="3" s="1"/>
  <c r="O871" i="3"/>
  <c r="N871" i="3"/>
  <c r="M871" i="3"/>
  <c r="L871" i="3"/>
  <c r="K871" i="3"/>
  <c r="E871" i="3"/>
  <c r="E1957" i="3" s="1"/>
  <c r="D871" i="3"/>
  <c r="D1957" i="3" s="1"/>
  <c r="C871" i="3"/>
  <c r="C1957" i="3" s="1"/>
  <c r="B871" i="3"/>
  <c r="B1957" i="3" s="1"/>
  <c r="A871" i="3"/>
  <c r="A1957" i="3" s="1"/>
  <c r="O870" i="3"/>
  <c r="N870" i="3"/>
  <c r="M870" i="3"/>
  <c r="L870" i="3"/>
  <c r="K870" i="3"/>
  <c r="E870" i="3"/>
  <c r="E1956" i="3" s="1"/>
  <c r="D870" i="3"/>
  <c r="D1956" i="3" s="1"/>
  <c r="C870" i="3"/>
  <c r="C1956" i="3" s="1"/>
  <c r="B870" i="3"/>
  <c r="B1956" i="3" s="1"/>
  <c r="A870" i="3"/>
  <c r="A1956" i="3" s="1"/>
  <c r="O869" i="3"/>
  <c r="N869" i="3"/>
  <c r="M869" i="3"/>
  <c r="L869" i="3"/>
  <c r="K869" i="3"/>
  <c r="E869" i="3"/>
  <c r="E1955" i="3" s="1"/>
  <c r="D869" i="3"/>
  <c r="D1955" i="3" s="1"/>
  <c r="C869" i="3"/>
  <c r="C1955" i="3" s="1"/>
  <c r="B869" i="3"/>
  <c r="B1955" i="3" s="1"/>
  <c r="A869" i="3"/>
  <c r="A1955" i="3" s="1"/>
  <c r="O868" i="3"/>
  <c r="N868" i="3"/>
  <c r="M868" i="3"/>
  <c r="L868" i="3"/>
  <c r="K868" i="3"/>
  <c r="E868" i="3"/>
  <c r="E1954" i="3" s="1"/>
  <c r="D868" i="3"/>
  <c r="D1954" i="3" s="1"/>
  <c r="C868" i="3"/>
  <c r="C1954" i="3" s="1"/>
  <c r="B868" i="3"/>
  <c r="B1954" i="3" s="1"/>
  <c r="A868" i="3"/>
  <c r="A1954" i="3" s="1"/>
  <c r="O867" i="3"/>
  <c r="N867" i="3"/>
  <c r="M867" i="3"/>
  <c r="L867" i="3"/>
  <c r="K867" i="3"/>
  <c r="E867" i="3"/>
  <c r="E1953" i="3" s="1"/>
  <c r="D867" i="3"/>
  <c r="D1953" i="3" s="1"/>
  <c r="C867" i="3"/>
  <c r="C1953" i="3" s="1"/>
  <c r="B867" i="3"/>
  <c r="B1953" i="3" s="1"/>
  <c r="A867" i="3"/>
  <c r="A1953" i="3" s="1"/>
  <c r="O866" i="3"/>
  <c r="N866" i="3"/>
  <c r="M866" i="3"/>
  <c r="L866" i="3"/>
  <c r="K866" i="3"/>
  <c r="E866" i="3"/>
  <c r="E1952" i="3" s="1"/>
  <c r="D866" i="3"/>
  <c r="D1952" i="3" s="1"/>
  <c r="C866" i="3"/>
  <c r="C1952" i="3" s="1"/>
  <c r="B866" i="3"/>
  <c r="B1952" i="3" s="1"/>
  <c r="A866" i="3"/>
  <c r="A1952" i="3" s="1"/>
  <c r="O865" i="3"/>
  <c r="N865" i="3"/>
  <c r="M865" i="3"/>
  <c r="L865" i="3"/>
  <c r="K865" i="3"/>
  <c r="E865" i="3"/>
  <c r="E1951" i="3" s="1"/>
  <c r="D865" i="3"/>
  <c r="D1951" i="3" s="1"/>
  <c r="C865" i="3"/>
  <c r="C1951" i="3" s="1"/>
  <c r="B865" i="3"/>
  <c r="B1951" i="3" s="1"/>
  <c r="A865" i="3"/>
  <c r="A1951" i="3" s="1"/>
  <c r="O864" i="3"/>
  <c r="N864" i="3"/>
  <c r="M864" i="3"/>
  <c r="L864" i="3"/>
  <c r="K864" i="3"/>
  <c r="E864" i="3"/>
  <c r="E1950" i="3" s="1"/>
  <c r="D864" i="3"/>
  <c r="D1950" i="3" s="1"/>
  <c r="C864" i="3"/>
  <c r="C1950" i="3" s="1"/>
  <c r="B864" i="3"/>
  <c r="B1950" i="3" s="1"/>
  <c r="A864" i="3"/>
  <c r="A1950" i="3" s="1"/>
  <c r="O863" i="3"/>
  <c r="N863" i="3"/>
  <c r="M863" i="3"/>
  <c r="L863" i="3"/>
  <c r="K863" i="3"/>
  <c r="E863" i="3"/>
  <c r="E1949" i="3" s="1"/>
  <c r="D863" i="3"/>
  <c r="D1949" i="3" s="1"/>
  <c r="C863" i="3"/>
  <c r="C1949" i="3" s="1"/>
  <c r="B863" i="3"/>
  <c r="B1949" i="3" s="1"/>
  <c r="A863" i="3"/>
  <c r="A1949" i="3" s="1"/>
  <c r="O862" i="3"/>
  <c r="N862" i="3"/>
  <c r="M862" i="3"/>
  <c r="L862" i="3"/>
  <c r="K862" i="3"/>
  <c r="E862" i="3"/>
  <c r="E1948" i="3" s="1"/>
  <c r="D862" i="3"/>
  <c r="D1948" i="3" s="1"/>
  <c r="C862" i="3"/>
  <c r="C1948" i="3" s="1"/>
  <c r="B862" i="3"/>
  <c r="B1948" i="3" s="1"/>
  <c r="A862" i="3"/>
  <c r="A1948" i="3" s="1"/>
  <c r="O861" i="3"/>
  <c r="N861" i="3"/>
  <c r="M861" i="3"/>
  <c r="L861" i="3"/>
  <c r="K861" i="3"/>
  <c r="E861" i="3"/>
  <c r="E1947" i="3" s="1"/>
  <c r="D861" i="3"/>
  <c r="D1947" i="3" s="1"/>
  <c r="C861" i="3"/>
  <c r="C1947" i="3" s="1"/>
  <c r="B861" i="3"/>
  <c r="B1947" i="3" s="1"/>
  <c r="A861" i="3"/>
  <c r="A1947" i="3" s="1"/>
  <c r="O860" i="3"/>
  <c r="N860" i="3"/>
  <c r="M860" i="3"/>
  <c r="L860" i="3"/>
  <c r="K860" i="3"/>
  <c r="E860" i="3"/>
  <c r="E1946" i="3" s="1"/>
  <c r="D860" i="3"/>
  <c r="D1946" i="3" s="1"/>
  <c r="C860" i="3"/>
  <c r="C1946" i="3" s="1"/>
  <c r="B860" i="3"/>
  <c r="B1946" i="3" s="1"/>
  <c r="A860" i="3"/>
  <c r="A1946" i="3" s="1"/>
  <c r="O859" i="3"/>
  <c r="N859" i="3"/>
  <c r="M859" i="3"/>
  <c r="L859" i="3"/>
  <c r="K859" i="3"/>
  <c r="E859" i="3"/>
  <c r="E1945" i="3" s="1"/>
  <c r="D859" i="3"/>
  <c r="D1945" i="3" s="1"/>
  <c r="C859" i="3"/>
  <c r="C1945" i="3" s="1"/>
  <c r="B859" i="3"/>
  <c r="B1945" i="3" s="1"/>
  <c r="A859" i="3"/>
  <c r="A1945" i="3" s="1"/>
  <c r="O858" i="3"/>
  <c r="N858" i="3"/>
  <c r="M858" i="3"/>
  <c r="L858" i="3"/>
  <c r="K858" i="3"/>
  <c r="E858" i="3"/>
  <c r="E1944" i="3" s="1"/>
  <c r="D858" i="3"/>
  <c r="D1944" i="3" s="1"/>
  <c r="C858" i="3"/>
  <c r="C1944" i="3" s="1"/>
  <c r="B858" i="3"/>
  <c r="B1944" i="3" s="1"/>
  <c r="A858" i="3"/>
  <c r="A1944" i="3" s="1"/>
  <c r="O857" i="3"/>
  <c r="N857" i="3"/>
  <c r="M857" i="3"/>
  <c r="L857" i="3"/>
  <c r="K857" i="3"/>
  <c r="E857" i="3"/>
  <c r="E1943" i="3" s="1"/>
  <c r="D857" i="3"/>
  <c r="D1943" i="3" s="1"/>
  <c r="C857" i="3"/>
  <c r="C1943" i="3" s="1"/>
  <c r="B857" i="3"/>
  <c r="B1943" i="3" s="1"/>
  <c r="A857" i="3"/>
  <c r="A1943" i="3" s="1"/>
  <c r="O856" i="3"/>
  <c r="N856" i="3"/>
  <c r="M856" i="3"/>
  <c r="L856" i="3"/>
  <c r="K856" i="3"/>
  <c r="E856" i="3"/>
  <c r="E1942" i="3" s="1"/>
  <c r="D856" i="3"/>
  <c r="D1942" i="3" s="1"/>
  <c r="C856" i="3"/>
  <c r="C1942" i="3" s="1"/>
  <c r="B856" i="3"/>
  <c r="B1942" i="3" s="1"/>
  <c r="A856" i="3"/>
  <c r="A1942" i="3" s="1"/>
  <c r="O855" i="3"/>
  <c r="N855" i="3"/>
  <c r="M855" i="3"/>
  <c r="L855" i="3"/>
  <c r="K855" i="3"/>
  <c r="E855" i="3"/>
  <c r="E1941" i="3" s="1"/>
  <c r="D855" i="3"/>
  <c r="D1941" i="3" s="1"/>
  <c r="C855" i="3"/>
  <c r="C1941" i="3" s="1"/>
  <c r="B855" i="3"/>
  <c r="B1941" i="3" s="1"/>
  <c r="A855" i="3"/>
  <c r="A1941" i="3" s="1"/>
  <c r="O854" i="3"/>
  <c r="N854" i="3"/>
  <c r="M854" i="3"/>
  <c r="L854" i="3"/>
  <c r="K854" i="3"/>
  <c r="E854" i="3"/>
  <c r="E1940" i="3" s="1"/>
  <c r="D854" i="3"/>
  <c r="D1940" i="3" s="1"/>
  <c r="C854" i="3"/>
  <c r="C1940" i="3" s="1"/>
  <c r="B854" i="3"/>
  <c r="B1940" i="3" s="1"/>
  <c r="A854" i="3"/>
  <c r="A1940" i="3" s="1"/>
  <c r="O853" i="3"/>
  <c r="N853" i="3"/>
  <c r="M853" i="3"/>
  <c r="L853" i="3"/>
  <c r="K853" i="3"/>
  <c r="E853" i="3"/>
  <c r="E1939" i="3" s="1"/>
  <c r="D853" i="3"/>
  <c r="D1939" i="3" s="1"/>
  <c r="C853" i="3"/>
  <c r="C1939" i="3" s="1"/>
  <c r="B853" i="3"/>
  <c r="B1939" i="3" s="1"/>
  <c r="A853" i="3"/>
  <c r="A1939" i="3" s="1"/>
  <c r="O852" i="3"/>
  <c r="N852" i="3"/>
  <c r="M852" i="3"/>
  <c r="L852" i="3"/>
  <c r="K852" i="3"/>
  <c r="E852" i="3"/>
  <c r="E1938" i="3" s="1"/>
  <c r="D852" i="3"/>
  <c r="D1938" i="3" s="1"/>
  <c r="C852" i="3"/>
  <c r="C1938" i="3" s="1"/>
  <c r="B852" i="3"/>
  <c r="B1938" i="3" s="1"/>
  <c r="A852" i="3"/>
  <c r="A1938" i="3" s="1"/>
  <c r="O851" i="3"/>
  <c r="N851" i="3"/>
  <c r="M851" i="3"/>
  <c r="L851" i="3"/>
  <c r="K851" i="3"/>
  <c r="E851" i="3"/>
  <c r="E1937" i="3" s="1"/>
  <c r="D851" i="3"/>
  <c r="D1937" i="3" s="1"/>
  <c r="C851" i="3"/>
  <c r="C1937" i="3" s="1"/>
  <c r="B851" i="3"/>
  <c r="B1937" i="3" s="1"/>
  <c r="A851" i="3"/>
  <c r="A1937" i="3" s="1"/>
  <c r="O850" i="3"/>
  <c r="N850" i="3"/>
  <c r="M850" i="3"/>
  <c r="L850" i="3"/>
  <c r="K850" i="3"/>
  <c r="E850" i="3"/>
  <c r="E1936" i="3" s="1"/>
  <c r="D850" i="3"/>
  <c r="D1936" i="3" s="1"/>
  <c r="C850" i="3"/>
  <c r="C1936" i="3" s="1"/>
  <c r="B850" i="3"/>
  <c r="B1936" i="3" s="1"/>
  <c r="A850" i="3"/>
  <c r="A1936" i="3" s="1"/>
  <c r="O849" i="3"/>
  <c r="N849" i="3"/>
  <c r="M849" i="3"/>
  <c r="L849" i="3"/>
  <c r="K849" i="3"/>
  <c r="E849" i="3"/>
  <c r="E1935" i="3" s="1"/>
  <c r="D849" i="3"/>
  <c r="D1935" i="3" s="1"/>
  <c r="C849" i="3"/>
  <c r="C1935" i="3" s="1"/>
  <c r="B849" i="3"/>
  <c r="B1935" i="3" s="1"/>
  <c r="A849" i="3"/>
  <c r="A1935" i="3" s="1"/>
  <c r="O848" i="3"/>
  <c r="N848" i="3"/>
  <c r="M848" i="3"/>
  <c r="L848" i="3"/>
  <c r="K848" i="3"/>
  <c r="E848" i="3"/>
  <c r="E1934" i="3" s="1"/>
  <c r="D848" i="3"/>
  <c r="D1934" i="3" s="1"/>
  <c r="C848" i="3"/>
  <c r="C1934" i="3" s="1"/>
  <c r="B848" i="3"/>
  <c r="B1934" i="3" s="1"/>
  <c r="A848" i="3"/>
  <c r="A1934" i="3" s="1"/>
  <c r="O847" i="3"/>
  <c r="N847" i="3"/>
  <c r="M847" i="3"/>
  <c r="L847" i="3"/>
  <c r="K847" i="3"/>
  <c r="E847" i="3"/>
  <c r="E1933" i="3" s="1"/>
  <c r="D847" i="3"/>
  <c r="D1933" i="3" s="1"/>
  <c r="C847" i="3"/>
  <c r="C1933" i="3" s="1"/>
  <c r="B847" i="3"/>
  <c r="B1933" i="3" s="1"/>
  <c r="A847" i="3"/>
  <c r="A1933" i="3" s="1"/>
  <c r="O846" i="3"/>
  <c r="N846" i="3"/>
  <c r="M846" i="3"/>
  <c r="L846" i="3"/>
  <c r="K846" i="3"/>
  <c r="E846" i="3"/>
  <c r="E1932" i="3" s="1"/>
  <c r="D846" i="3"/>
  <c r="D1932" i="3" s="1"/>
  <c r="C846" i="3"/>
  <c r="C1932" i="3" s="1"/>
  <c r="B846" i="3"/>
  <c r="B1932" i="3" s="1"/>
  <c r="A846" i="3"/>
  <c r="A1932" i="3" s="1"/>
  <c r="O845" i="3"/>
  <c r="N845" i="3"/>
  <c r="M845" i="3"/>
  <c r="L845" i="3"/>
  <c r="K845" i="3"/>
  <c r="E845" i="3"/>
  <c r="B845" i="3"/>
  <c r="A845" i="3"/>
  <c r="O844" i="3"/>
  <c r="N844" i="3"/>
  <c r="M844" i="3"/>
  <c r="L844" i="3"/>
  <c r="K844" i="3"/>
  <c r="E844" i="3"/>
  <c r="E1931" i="3" s="1"/>
  <c r="D844" i="3"/>
  <c r="D1931" i="3" s="1"/>
  <c r="C844" i="3"/>
  <c r="C1931" i="3" s="1"/>
  <c r="B844" i="3"/>
  <c r="B1931" i="3" s="1"/>
  <c r="A844" i="3"/>
  <c r="A1931" i="3" s="1"/>
  <c r="O843" i="3"/>
  <c r="N843" i="3"/>
  <c r="M843" i="3"/>
  <c r="L843" i="3"/>
  <c r="K843" i="3"/>
  <c r="E843" i="3"/>
  <c r="E1930" i="3" s="1"/>
  <c r="D843" i="3"/>
  <c r="D1930" i="3" s="1"/>
  <c r="C843" i="3"/>
  <c r="C1930" i="3" s="1"/>
  <c r="B843" i="3"/>
  <c r="B1930" i="3" s="1"/>
  <c r="A843" i="3"/>
  <c r="A1930" i="3" s="1"/>
  <c r="O842" i="3"/>
  <c r="N842" i="3"/>
  <c r="M842" i="3"/>
  <c r="L842" i="3"/>
  <c r="K842" i="3"/>
  <c r="E842" i="3"/>
  <c r="E1929" i="3" s="1"/>
  <c r="D842" i="3"/>
  <c r="D1929" i="3" s="1"/>
  <c r="C842" i="3"/>
  <c r="C1929" i="3" s="1"/>
  <c r="B842" i="3"/>
  <c r="B1929" i="3" s="1"/>
  <c r="A842" i="3"/>
  <c r="A1929" i="3" s="1"/>
  <c r="O841" i="3"/>
  <c r="N841" i="3"/>
  <c r="M841" i="3"/>
  <c r="L841" i="3"/>
  <c r="K841" i="3"/>
  <c r="E841" i="3"/>
  <c r="B841" i="3"/>
  <c r="A841" i="3"/>
  <c r="O840" i="3"/>
  <c r="N840" i="3"/>
  <c r="M840" i="3"/>
  <c r="L840" i="3"/>
  <c r="K840" i="3"/>
  <c r="E840" i="3"/>
  <c r="E1928" i="3" s="1"/>
  <c r="D840" i="3"/>
  <c r="D1928" i="3" s="1"/>
  <c r="C840" i="3"/>
  <c r="C1928" i="3" s="1"/>
  <c r="B840" i="3"/>
  <c r="B1928" i="3" s="1"/>
  <c r="A840" i="3"/>
  <c r="A1928" i="3" s="1"/>
  <c r="O839" i="3"/>
  <c r="N839" i="3"/>
  <c r="M839" i="3"/>
  <c r="L839" i="3"/>
  <c r="K839" i="3"/>
  <c r="E839" i="3"/>
  <c r="E1927" i="3" s="1"/>
  <c r="D839" i="3"/>
  <c r="D1927" i="3" s="1"/>
  <c r="C839" i="3"/>
  <c r="C1927" i="3" s="1"/>
  <c r="B839" i="3"/>
  <c r="B1927" i="3" s="1"/>
  <c r="A839" i="3"/>
  <c r="A1927" i="3" s="1"/>
  <c r="O838" i="3"/>
  <c r="N838" i="3"/>
  <c r="M838" i="3"/>
  <c r="L838" i="3"/>
  <c r="K838" i="3"/>
  <c r="E838" i="3"/>
  <c r="E1926" i="3" s="1"/>
  <c r="D838" i="3"/>
  <c r="D1926" i="3" s="1"/>
  <c r="C838" i="3"/>
  <c r="C1926" i="3" s="1"/>
  <c r="B838" i="3"/>
  <c r="B1926" i="3" s="1"/>
  <c r="A838" i="3"/>
  <c r="A1926" i="3" s="1"/>
  <c r="O837" i="3"/>
  <c r="N837" i="3"/>
  <c r="M837" i="3"/>
  <c r="L837" i="3"/>
  <c r="K837" i="3"/>
  <c r="E837" i="3"/>
  <c r="E1925" i="3" s="1"/>
  <c r="D837" i="3"/>
  <c r="D1925" i="3" s="1"/>
  <c r="C837" i="3"/>
  <c r="C1925" i="3" s="1"/>
  <c r="B837" i="3"/>
  <c r="B1925" i="3" s="1"/>
  <c r="A837" i="3"/>
  <c r="A1925" i="3" s="1"/>
  <c r="O836" i="3"/>
  <c r="N836" i="3"/>
  <c r="M836" i="3"/>
  <c r="L836" i="3"/>
  <c r="K836" i="3"/>
  <c r="E836" i="3"/>
  <c r="E1924" i="3" s="1"/>
  <c r="D836" i="3"/>
  <c r="D1924" i="3" s="1"/>
  <c r="C836" i="3"/>
  <c r="C1924" i="3" s="1"/>
  <c r="B836" i="3"/>
  <c r="B1924" i="3" s="1"/>
  <c r="A836" i="3"/>
  <c r="A1924" i="3" s="1"/>
  <c r="O835" i="3"/>
  <c r="N835" i="3"/>
  <c r="M835" i="3"/>
  <c r="L835" i="3"/>
  <c r="K835" i="3"/>
  <c r="E835" i="3"/>
  <c r="E1923" i="3" s="1"/>
  <c r="D835" i="3"/>
  <c r="D1923" i="3" s="1"/>
  <c r="C835" i="3"/>
  <c r="C1923" i="3" s="1"/>
  <c r="B835" i="3"/>
  <c r="B1923" i="3" s="1"/>
  <c r="A835" i="3"/>
  <c r="A1923" i="3" s="1"/>
  <c r="O834" i="3"/>
  <c r="N834" i="3"/>
  <c r="M834" i="3"/>
  <c r="L834" i="3"/>
  <c r="K834" i="3"/>
  <c r="E834" i="3"/>
  <c r="E1922" i="3" s="1"/>
  <c r="D834" i="3"/>
  <c r="D1922" i="3" s="1"/>
  <c r="C834" i="3"/>
  <c r="C1922" i="3" s="1"/>
  <c r="B834" i="3"/>
  <c r="B1922" i="3" s="1"/>
  <c r="A834" i="3"/>
  <c r="A1922" i="3" s="1"/>
  <c r="O833" i="3"/>
  <c r="N833" i="3"/>
  <c r="M833" i="3"/>
  <c r="L833" i="3"/>
  <c r="K833" i="3"/>
  <c r="E833" i="3"/>
  <c r="E1921" i="3" s="1"/>
  <c r="D833" i="3"/>
  <c r="D1921" i="3" s="1"/>
  <c r="C833" i="3"/>
  <c r="C1921" i="3" s="1"/>
  <c r="B833" i="3"/>
  <c r="B1921" i="3" s="1"/>
  <c r="A833" i="3"/>
  <c r="A1921" i="3" s="1"/>
  <c r="O832" i="3"/>
  <c r="N832" i="3"/>
  <c r="M832" i="3"/>
  <c r="L832" i="3"/>
  <c r="K832" i="3"/>
  <c r="E832" i="3"/>
  <c r="E1920" i="3" s="1"/>
  <c r="D832" i="3"/>
  <c r="D1920" i="3" s="1"/>
  <c r="C832" i="3"/>
  <c r="C1920" i="3" s="1"/>
  <c r="B832" i="3"/>
  <c r="B1920" i="3" s="1"/>
  <c r="A832" i="3"/>
  <c r="A1920" i="3" s="1"/>
  <c r="O831" i="3"/>
  <c r="N831" i="3"/>
  <c r="M831" i="3"/>
  <c r="L831" i="3"/>
  <c r="K831" i="3"/>
  <c r="E831" i="3"/>
  <c r="E1919" i="3" s="1"/>
  <c r="D831" i="3"/>
  <c r="D1919" i="3" s="1"/>
  <c r="C831" i="3"/>
  <c r="C1919" i="3" s="1"/>
  <c r="B831" i="3"/>
  <c r="B1919" i="3" s="1"/>
  <c r="A831" i="3"/>
  <c r="A1919" i="3" s="1"/>
  <c r="O830" i="3"/>
  <c r="N830" i="3"/>
  <c r="M830" i="3"/>
  <c r="L830" i="3"/>
  <c r="K830" i="3"/>
  <c r="E830" i="3"/>
  <c r="E1918" i="3" s="1"/>
  <c r="D830" i="3"/>
  <c r="D1918" i="3" s="1"/>
  <c r="C830" i="3"/>
  <c r="C1918" i="3" s="1"/>
  <c r="B830" i="3"/>
  <c r="B1918" i="3" s="1"/>
  <c r="A830" i="3"/>
  <c r="A1918" i="3" s="1"/>
  <c r="O829" i="3"/>
  <c r="N829" i="3"/>
  <c r="M829" i="3"/>
  <c r="L829" i="3"/>
  <c r="K829" i="3"/>
  <c r="E829" i="3"/>
  <c r="E1917" i="3" s="1"/>
  <c r="D829" i="3"/>
  <c r="D1917" i="3" s="1"/>
  <c r="C829" i="3"/>
  <c r="C1917" i="3" s="1"/>
  <c r="B829" i="3"/>
  <c r="B1917" i="3" s="1"/>
  <c r="A829" i="3"/>
  <c r="A1917" i="3" s="1"/>
  <c r="O828" i="3"/>
  <c r="N828" i="3"/>
  <c r="M828" i="3"/>
  <c r="L828" i="3"/>
  <c r="K828" i="3"/>
  <c r="E828" i="3"/>
  <c r="E1916" i="3" s="1"/>
  <c r="D828" i="3"/>
  <c r="D1916" i="3" s="1"/>
  <c r="C828" i="3"/>
  <c r="C1916" i="3" s="1"/>
  <c r="B828" i="3"/>
  <c r="B1916" i="3" s="1"/>
  <c r="A828" i="3"/>
  <c r="A1916" i="3" s="1"/>
  <c r="O827" i="3"/>
  <c r="N827" i="3"/>
  <c r="M827" i="3"/>
  <c r="L827" i="3"/>
  <c r="K827" i="3"/>
  <c r="E827" i="3"/>
  <c r="E1915" i="3" s="1"/>
  <c r="D827" i="3"/>
  <c r="D1915" i="3" s="1"/>
  <c r="C827" i="3"/>
  <c r="C1915" i="3" s="1"/>
  <c r="B827" i="3"/>
  <c r="B1915" i="3" s="1"/>
  <c r="A827" i="3"/>
  <c r="A1915" i="3" s="1"/>
  <c r="O826" i="3"/>
  <c r="N826" i="3"/>
  <c r="M826" i="3"/>
  <c r="L826" i="3"/>
  <c r="K826" i="3"/>
  <c r="E826" i="3"/>
  <c r="E1914" i="3" s="1"/>
  <c r="D826" i="3"/>
  <c r="D1914" i="3" s="1"/>
  <c r="C826" i="3"/>
  <c r="C1914" i="3" s="1"/>
  <c r="B826" i="3"/>
  <c r="B1914" i="3" s="1"/>
  <c r="A826" i="3"/>
  <c r="A1914" i="3" s="1"/>
  <c r="O825" i="3"/>
  <c r="N825" i="3"/>
  <c r="M825" i="3"/>
  <c r="L825" i="3"/>
  <c r="K825" i="3"/>
  <c r="E825" i="3"/>
  <c r="E1913" i="3" s="1"/>
  <c r="D825" i="3"/>
  <c r="D1913" i="3" s="1"/>
  <c r="C825" i="3"/>
  <c r="C1913" i="3" s="1"/>
  <c r="B825" i="3"/>
  <c r="B1913" i="3" s="1"/>
  <c r="A825" i="3"/>
  <c r="A1913" i="3" s="1"/>
  <c r="O824" i="3"/>
  <c r="N824" i="3"/>
  <c r="M824" i="3"/>
  <c r="L824" i="3"/>
  <c r="K824" i="3"/>
  <c r="E824" i="3"/>
  <c r="E1912" i="3" s="1"/>
  <c r="D824" i="3"/>
  <c r="D1912" i="3" s="1"/>
  <c r="C824" i="3"/>
  <c r="C1912" i="3" s="1"/>
  <c r="B824" i="3"/>
  <c r="B1912" i="3" s="1"/>
  <c r="A824" i="3"/>
  <c r="A1912" i="3" s="1"/>
  <c r="O823" i="3"/>
  <c r="N823" i="3"/>
  <c r="M823" i="3"/>
  <c r="L823" i="3"/>
  <c r="K823" i="3"/>
  <c r="E823" i="3"/>
  <c r="E1911" i="3" s="1"/>
  <c r="D823" i="3"/>
  <c r="D1911" i="3" s="1"/>
  <c r="C823" i="3"/>
  <c r="C1911" i="3" s="1"/>
  <c r="B823" i="3"/>
  <c r="B1911" i="3" s="1"/>
  <c r="A823" i="3"/>
  <c r="A1911" i="3" s="1"/>
  <c r="O822" i="3"/>
  <c r="N822" i="3"/>
  <c r="M822" i="3"/>
  <c r="L822" i="3"/>
  <c r="K822" i="3"/>
  <c r="E822" i="3"/>
  <c r="E1910" i="3" s="1"/>
  <c r="D822" i="3"/>
  <c r="D1910" i="3" s="1"/>
  <c r="C822" i="3"/>
  <c r="C1910" i="3" s="1"/>
  <c r="B822" i="3"/>
  <c r="B1910" i="3" s="1"/>
  <c r="A822" i="3"/>
  <c r="A1910" i="3" s="1"/>
  <c r="O821" i="3"/>
  <c r="N821" i="3"/>
  <c r="M821" i="3"/>
  <c r="L821" i="3"/>
  <c r="K821" i="3"/>
  <c r="E821" i="3"/>
  <c r="E1909" i="3" s="1"/>
  <c r="D821" i="3"/>
  <c r="D1909" i="3" s="1"/>
  <c r="C821" i="3"/>
  <c r="C1909" i="3" s="1"/>
  <c r="B821" i="3"/>
  <c r="B1909" i="3" s="1"/>
  <c r="A821" i="3"/>
  <c r="A1909" i="3" s="1"/>
  <c r="O820" i="3"/>
  <c r="N820" i="3"/>
  <c r="M820" i="3"/>
  <c r="L820" i="3"/>
  <c r="K820" i="3"/>
  <c r="E820" i="3"/>
  <c r="E1908" i="3" s="1"/>
  <c r="D820" i="3"/>
  <c r="D1908" i="3" s="1"/>
  <c r="C820" i="3"/>
  <c r="C1908" i="3" s="1"/>
  <c r="B820" i="3"/>
  <c r="B1908" i="3" s="1"/>
  <c r="A820" i="3"/>
  <c r="A1908" i="3" s="1"/>
  <c r="O819" i="3"/>
  <c r="N819" i="3"/>
  <c r="M819" i="3"/>
  <c r="L819" i="3"/>
  <c r="K819" i="3"/>
  <c r="E819" i="3"/>
  <c r="E1907" i="3" s="1"/>
  <c r="D819" i="3"/>
  <c r="D1907" i="3" s="1"/>
  <c r="C819" i="3"/>
  <c r="C1907" i="3" s="1"/>
  <c r="B819" i="3"/>
  <c r="B1907" i="3" s="1"/>
  <c r="A819" i="3"/>
  <c r="A1907" i="3" s="1"/>
  <c r="O818" i="3"/>
  <c r="N818" i="3"/>
  <c r="M818" i="3"/>
  <c r="L818" i="3"/>
  <c r="K818" i="3"/>
  <c r="E818" i="3"/>
  <c r="E1906" i="3" s="1"/>
  <c r="D818" i="3"/>
  <c r="D1906" i="3" s="1"/>
  <c r="C818" i="3"/>
  <c r="C1906" i="3" s="1"/>
  <c r="B818" i="3"/>
  <c r="B1906" i="3" s="1"/>
  <c r="A818" i="3"/>
  <c r="A1906" i="3" s="1"/>
  <c r="O817" i="3"/>
  <c r="N817" i="3"/>
  <c r="M817" i="3"/>
  <c r="L817" i="3"/>
  <c r="K817" i="3"/>
  <c r="E817" i="3"/>
  <c r="E1905" i="3" s="1"/>
  <c r="D817" i="3"/>
  <c r="D1905" i="3" s="1"/>
  <c r="C817" i="3"/>
  <c r="C1905" i="3" s="1"/>
  <c r="B817" i="3"/>
  <c r="B1905" i="3" s="1"/>
  <c r="A817" i="3"/>
  <c r="A1905" i="3" s="1"/>
  <c r="O816" i="3"/>
  <c r="N816" i="3"/>
  <c r="M816" i="3"/>
  <c r="L816" i="3"/>
  <c r="K816" i="3"/>
  <c r="E816" i="3"/>
  <c r="E1904" i="3" s="1"/>
  <c r="D816" i="3"/>
  <c r="D1904" i="3" s="1"/>
  <c r="C816" i="3"/>
  <c r="C1904" i="3" s="1"/>
  <c r="B816" i="3"/>
  <c r="B1904" i="3" s="1"/>
  <c r="A816" i="3"/>
  <c r="A1904" i="3" s="1"/>
  <c r="O815" i="3"/>
  <c r="N815" i="3"/>
  <c r="M815" i="3"/>
  <c r="L815" i="3"/>
  <c r="K815" i="3"/>
  <c r="E815" i="3"/>
  <c r="E1903" i="3" s="1"/>
  <c r="D815" i="3"/>
  <c r="D1903" i="3" s="1"/>
  <c r="C815" i="3"/>
  <c r="C1903" i="3" s="1"/>
  <c r="B815" i="3"/>
  <c r="B1903" i="3" s="1"/>
  <c r="A815" i="3"/>
  <c r="A1903" i="3" s="1"/>
  <c r="O814" i="3"/>
  <c r="N814" i="3"/>
  <c r="M814" i="3"/>
  <c r="L814" i="3"/>
  <c r="K814" i="3"/>
  <c r="E814" i="3"/>
  <c r="E1902" i="3" s="1"/>
  <c r="D814" i="3"/>
  <c r="D1902" i="3" s="1"/>
  <c r="C814" i="3"/>
  <c r="C1902" i="3" s="1"/>
  <c r="B814" i="3"/>
  <c r="B1902" i="3" s="1"/>
  <c r="A814" i="3"/>
  <c r="A1902" i="3" s="1"/>
  <c r="O813" i="3"/>
  <c r="N813" i="3"/>
  <c r="M813" i="3"/>
  <c r="L813" i="3"/>
  <c r="K813" i="3"/>
  <c r="E813" i="3"/>
  <c r="E1901" i="3" s="1"/>
  <c r="D813" i="3"/>
  <c r="D1901" i="3" s="1"/>
  <c r="C813" i="3"/>
  <c r="C1901" i="3" s="1"/>
  <c r="B813" i="3"/>
  <c r="B1901" i="3" s="1"/>
  <c r="A813" i="3"/>
  <c r="A1901" i="3" s="1"/>
  <c r="O812" i="3"/>
  <c r="N812" i="3"/>
  <c r="M812" i="3"/>
  <c r="L812" i="3"/>
  <c r="K812" i="3"/>
  <c r="E812" i="3"/>
  <c r="E1900" i="3" s="1"/>
  <c r="D812" i="3"/>
  <c r="D1900" i="3" s="1"/>
  <c r="C812" i="3"/>
  <c r="C1900" i="3" s="1"/>
  <c r="B812" i="3"/>
  <c r="B1900" i="3" s="1"/>
  <c r="A812" i="3"/>
  <c r="A1900" i="3" s="1"/>
  <c r="O811" i="3"/>
  <c r="N811" i="3"/>
  <c r="M811" i="3"/>
  <c r="L811" i="3"/>
  <c r="K811" i="3"/>
  <c r="E811" i="3"/>
  <c r="B811" i="3"/>
  <c r="A811" i="3"/>
  <c r="O810" i="3"/>
  <c r="N810" i="3"/>
  <c r="M810" i="3"/>
  <c r="L810" i="3"/>
  <c r="K810" i="3"/>
  <c r="E810" i="3"/>
  <c r="B810" i="3"/>
  <c r="A810" i="3"/>
  <c r="O809" i="3"/>
  <c r="N809" i="3"/>
  <c r="M809" i="3"/>
  <c r="L809" i="3"/>
  <c r="K809" i="3"/>
  <c r="E809" i="3"/>
  <c r="E1899" i="3" s="1"/>
  <c r="D809" i="3"/>
  <c r="D1899" i="3" s="1"/>
  <c r="C809" i="3"/>
  <c r="C1899" i="3" s="1"/>
  <c r="B809" i="3"/>
  <c r="B1899" i="3" s="1"/>
  <c r="A809" i="3"/>
  <c r="A1899" i="3" s="1"/>
  <c r="O808" i="3"/>
  <c r="N808" i="3"/>
  <c r="M808" i="3"/>
  <c r="L808" i="3"/>
  <c r="K808" i="3"/>
  <c r="E808" i="3"/>
  <c r="E1898" i="3" s="1"/>
  <c r="D808" i="3"/>
  <c r="D1898" i="3" s="1"/>
  <c r="C808" i="3"/>
  <c r="C1898" i="3" s="1"/>
  <c r="B808" i="3"/>
  <c r="B1898" i="3" s="1"/>
  <c r="A808" i="3"/>
  <c r="A1898" i="3" s="1"/>
  <c r="O807" i="3"/>
  <c r="N807" i="3"/>
  <c r="M807" i="3"/>
  <c r="L807" i="3"/>
  <c r="K807" i="3"/>
  <c r="E807" i="3"/>
  <c r="E1897" i="3" s="1"/>
  <c r="D807" i="3"/>
  <c r="D1897" i="3" s="1"/>
  <c r="C807" i="3"/>
  <c r="C1897" i="3" s="1"/>
  <c r="B807" i="3"/>
  <c r="B1897" i="3" s="1"/>
  <c r="A807" i="3"/>
  <c r="A1897" i="3" s="1"/>
  <c r="O806" i="3"/>
  <c r="N806" i="3"/>
  <c r="M806" i="3"/>
  <c r="L806" i="3"/>
  <c r="K806" i="3"/>
  <c r="E806" i="3"/>
  <c r="E1896" i="3" s="1"/>
  <c r="D806" i="3"/>
  <c r="D1896" i="3" s="1"/>
  <c r="C806" i="3"/>
  <c r="C1896" i="3" s="1"/>
  <c r="B806" i="3"/>
  <c r="B1896" i="3" s="1"/>
  <c r="A806" i="3"/>
  <c r="A1896" i="3" s="1"/>
  <c r="O805" i="3"/>
  <c r="N805" i="3"/>
  <c r="M805" i="3"/>
  <c r="L805" i="3"/>
  <c r="K805" i="3"/>
  <c r="E805" i="3"/>
  <c r="B805" i="3"/>
  <c r="A805" i="3"/>
  <c r="O804" i="3"/>
  <c r="N804" i="3"/>
  <c r="M804" i="3"/>
  <c r="L804" i="3"/>
  <c r="K804" i="3"/>
  <c r="E804" i="3"/>
  <c r="E1895" i="3" s="1"/>
  <c r="D804" i="3"/>
  <c r="D1895" i="3" s="1"/>
  <c r="C804" i="3"/>
  <c r="C1895" i="3" s="1"/>
  <c r="B804" i="3"/>
  <c r="B1895" i="3" s="1"/>
  <c r="A804" i="3"/>
  <c r="A1895" i="3" s="1"/>
  <c r="O803" i="3"/>
  <c r="N803" i="3"/>
  <c r="M803" i="3"/>
  <c r="L803" i="3"/>
  <c r="K803" i="3"/>
  <c r="E803" i="3"/>
  <c r="E1894" i="3" s="1"/>
  <c r="D803" i="3"/>
  <c r="D1894" i="3" s="1"/>
  <c r="C803" i="3"/>
  <c r="C1894" i="3" s="1"/>
  <c r="B803" i="3"/>
  <c r="B1894" i="3" s="1"/>
  <c r="A803" i="3"/>
  <c r="A1894" i="3" s="1"/>
  <c r="O802" i="3"/>
  <c r="N802" i="3"/>
  <c r="M802" i="3"/>
  <c r="L802" i="3"/>
  <c r="K802" i="3"/>
  <c r="E802" i="3"/>
  <c r="E1893" i="3" s="1"/>
  <c r="D802" i="3"/>
  <c r="D1893" i="3" s="1"/>
  <c r="C802" i="3"/>
  <c r="C1893" i="3" s="1"/>
  <c r="B802" i="3"/>
  <c r="B1893" i="3" s="1"/>
  <c r="A802" i="3"/>
  <c r="A1893" i="3" s="1"/>
  <c r="O801" i="3"/>
  <c r="N801" i="3"/>
  <c r="M801" i="3"/>
  <c r="L801" i="3"/>
  <c r="K801" i="3"/>
  <c r="E801" i="3"/>
  <c r="E1892" i="3" s="1"/>
  <c r="D801" i="3"/>
  <c r="D1892" i="3" s="1"/>
  <c r="C801" i="3"/>
  <c r="C1892" i="3" s="1"/>
  <c r="B801" i="3"/>
  <c r="B1892" i="3" s="1"/>
  <c r="A801" i="3"/>
  <c r="A1892" i="3" s="1"/>
  <c r="O800" i="3"/>
  <c r="N800" i="3"/>
  <c r="M800" i="3"/>
  <c r="L800" i="3"/>
  <c r="K800" i="3"/>
  <c r="E800" i="3"/>
  <c r="E1891" i="3" s="1"/>
  <c r="D800" i="3"/>
  <c r="D1891" i="3" s="1"/>
  <c r="C800" i="3"/>
  <c r="C1891" i="3" s="1"/>
  <c r="B800" i="3"/>
  <c r="B1891" i="3" s="1"/>
  <c r="A800" i="3"/>
  <c r="A1891" i="3" s="1"/>
  <c r="O799" i="3"/>
  <c r="N799" i="3"/>
  <c r="M799" i="3"/>
  <c r="L799" i="3"/>
  <c r="K799" i="3"/>
  <c r="E799" i="3"/>
  <c r="E1890" i="3" s="1"/>
  <c r="D799" i="3"/>
  <c r="D1890" i="3" s="1"/>
  <c r="C799" i="3"/>
  <c r="C1890" i="3" s="1"/>
  <c r="B799" i="3"/>
  <c r="B1890" i="3" s="1"/>
  <c r="A799" i="3"/>
  <c r="A1890" i="3" s="1"/>
  <c r="O798" i="3"/>
  <c r="N798" i="3"/>
  <c r="M798" i="3"/>
  <c r="L798" i="3"/>
  <c r="K798" i="3"/>
  <c r="E798" i="3"/>
  <c r="E1889" i="3" s="1"/>
  <c r="D798" i="3"/>
  <c r="D1889" i="3" s="1"/>
  <c r="C798" i="3"/>
  <c r="C1889" i="3" s="1"/>
  <c r="B798" i="3"/>
  <c r="B1889" i="3" s="1"/>
  <c r="A798" i="3"/>
  <c r="A1889" i="3" s="1"/>
  <c r="O797" i="3"/>
  <c r="N797" i="3"/>
  <c r="M797" i="3"/>
  <c r="L797" i="3"/>
  <c r="K797" i="3"/>
  <c r="E797" i="3"/>
  <c r="E1888" i="3" s="1"/>
  <c r="D797" i="3"/>
  <c r="D1888" i="3" s="1"/>
  <c r="C797" i="3"/>
  <c r="C1888" i="3" s="1"/>
  <c r="B797" i="3"/>
  <c r="B1888" i="3" s="1"/>
  <c r="A797" i="3"/>
  <c r="A1888" i="3" s="1"/>
  <c r="O796" i="3"/>
  <c r="N796" i="3"/>
  <c r="M796" i="3"/>
  <c r="L796" i="3"/>
  <c r="K796" i="3"/>
  <c r="E796" i="3"/>
  <c r="E1887" i="3" s="1"/>
  <c r="D796" i="3"/>
  <c r="D1887" i="3" s="1"/>
  <c r="C796" i="3"/>
  <c r="C1887" i="3" s="1"/>
  <c r="B796" i="3"/>
  <c r="B1887" i="3" s="1"/>
  <c r="A796" i="3"/>
  <c r="A1887" i="3" s="1"/>
  <c r="O795" i="3"/>
  <c r="N795" i="3"/>
  <c r="M795" i="3"/>
  <c r="L795" i="3"/>
  <c r="K795" i="3"/>
  <c r="E795" i="3"/>
  <c r="E1886" i="3" s="1"/>
  <c r="D795" i="3"/>
  <c r="D1886" i="3" s="1"/>
  <c r="C795" i="3"/>
  <c r="C1886" i="3" s="1"/>
  <c r="B795" i="3"/>
  <c r="B1886" i="3" s="1"/>
  <c r="A795" i="3"/>
  <c r="A1886" i="3" s="1"/>
  <c r="O794" i="3"/>
  <c r="N794" i="3"/>
  <c r="M794" i="3"/>
  <c r="L794" i="3"/>
  <c r="K794" i="3"/>
  <c r="E794" i="3"/>
  <c r="E1885" i="3" s="1"/>
  <c r="D794" i="3"/>
  <c r="D1885" i="3" s="1"/>
  <c r="C794" i="3"/>
  <c r="C1885" i="3" s="1"/>
  <c r="B794" i="3"/>
  <c r="B1885" i="3" s="1"/>
  <c r="A794" i="3"/>
  <c r="A1885" i="3" s="1"/>
  <c r="O793" i="3"/>
  <c r="N793" i="3"/>
  <c r="M793" i="3"/>
  <c r="L793" i="3"/>
  <c r="K793" i="3"/>
  <c r="E793" i="3"/>
  <c r="E1884" i="3" s="1"/>
  <c r="D793" i="3"/>
  <c r="D1884" i="3" s="1"/>
  <c r="C793" i="3"/>
  <c r="C1884" i="3" s="1"/>
  <c r="B793" i="3"/>
  <c r="B1884" i="3" s="1"/>
  <c r="A793" i="3"/>
  <c r="A1884" i="3" s="1"/>
  <c r="O792" i="3"/>
  <c r="N792" i="3"/>
  <c r="M792" i="3"/>
  <c r="L792" i="3"/>
  <c r="K792" i="3"/>
  <c r="E792" i="3"/>
  <c r="E1883" i="3" s="1"/>
  <c r="D792" i="3"/>
  <c r="D1883" i="3" s="1"/>
  <c r="C792" i="3"/>
  <c r="C1883" i="3" s="1"/>
  <c r="B792" i="3"/>
  <c r="B1883" i="3" s="1"/>
  <c r="A792" i="3"/>
  <c r="A1883" i="3" s="1"/>
  <c r="O791" i="3"/>
  <c r="N791" i="3"/>
  <c r="M791" i="3"/>
  <c r="L791" i="3"/>
  <c r="K791" i="3"/>
  <c r="E791" i="3"/>
  <c r="E1882" i="3" s="1"/>
  <c r="D791" i="3"/>
  <c r="D1882" i="3" s="1"/>
  <c r="C791" i="3"/>
  <c r="C1882" i="3" s="1"/>
  <c r="B791" i="3"/>
  <c r="B1882" i="3" s="1"/>
  <c r="A791" i="3"/>
  <c r="A1882" i="3" s="1"/>
  <c r="O790" i="3"/>
  <c r="N790" i="3"/>
  <c r="M790" i="3"/>
  <c r="L790" i="3"/>
  <c r="K790" i="3"/>
  <c r="E790" i="3"/>
  <c r="E1881" i="3" s="1"/>
  <c r="D790" i="3"/>
  <c r="D1881" i="3" s="1"/>
  <c r="C790" i="3"/>
  <c r="C1881" i="3" s="1"/>
  <c r="B790" i="3"/>
  <c r="B1881" i="3" s="1"/>
  <c r="A790" i="3"/>
  <c r="A1881" i="3" s="1"/>
  <c r="O789" i="3"/>
  <c r="N789" i="3"/>
  <c r="M789" i="3"/>
  <c r="L789" i="3"/>
  <c r="K789" i="3"/>
  <c r="E789" i="3"/>
  <c r="E1880" i="3" s="1"/>
  <c r="D789" i="3"/>
  <c r="D1880" i="3" s="1"/>
  <c r="C789" i="3"/>
  <c r="C1880" i="3" s="1"/>
  <c r="B789" i="3"/>
  <c r="B1880" i="3" s="1"/>
  <c r="A789" i="3"/>
  <c r="A1880" i="3" s="1"/>
  <c r="O788" i="3"/>
  <c r="N788" i="3"/>
  <c r="M788" i="3"/>
  <c r="L788" i="3"/>
  <c r="K788" i="3"/>
  <c r="E788" i="3"/>
  <c r="E1879" i="3" s="1"/>
  <c r="D788" i="3"/>
  <c r="D1879" i="3" s="1"/>
  <c r="C788" i="3"/>
  <c r="C1879" i="3" s="1"/>
  <c r="B788" i="3"/>
  <c r="B1879" i="3" s="1"/>
  <c r="A788" i="3"/>
  <c r="A1879" i="3" s="1"/>
  <c r="O787" i="3"/>
  <c r="N787" i="3"/>
  <c r="M787" i="3"/>
  <c r="L787" i="3"/>
  <c r="K787" i="3"/>
  <c r="E787" i="3"/>
  <c r="E1878" i="3" s="1"/>
  <c r="D787" i="3"/>
  <c r="D1878" i="3" s="1"/>
  <c r="C787" i="3"/>
  <c r="C1878" i="3" s="1"/>
  <c r="B787" i="3"/>
  <c r="B1878" i="3" s="1"/>
  <c r="A787" i="3"/>
  <c r="A1878" i="3" s="1"/>
  <c r="O786" i="3"/>
  <c r="N786" i="3"/>
  <c r="M786" i="3"/>
  <c r="L786" i="3"/>
  <c r="K786" i="3"/>
  <c r="E786" i="3"/>
  <c r="E1877" i="3" s="1"/>
  <c r="D786" i="3"/>
  <c r="D1877" i="3" s="1"/>
  <c r="C786" i="3"/>
  <c r="C1877" i="3" s="1"/>
  <c r="B786" i="3"/>
  <c r="B1877" i="3" s="1"/>
  <c r="A786" i="3"/>
  <c r="A1877" i="3" s="1"/>
  <c r="O785" i="3"/>
  <c r="N785" i="3"/>
  <c r="M785" i="3"/>
  <c r="L785" i="3"/>
  <c r="K785" i="3"/>
  <c r="E785" i="3"/>
  <c r="E1876" i="3" s="1"/>
  <c r="D785" i="3"/>
  <c r="D1876" i="3" s="1"/>
  <c r="C785" i="3"/>
  <c r="C1876" i="3" s="1"/>
  <c r="B785" i="3"/>
  <c r="B1876" i="3" s="1"/>
  <c r="A785" i="3"/>
  <c r="A1876" i="3" s="1"/>
  <c r="O784" i="3"/>
  <c r="N784" i="3"/>
  <c r="M784" i="3"/>
  <c r="L784" i="3"/>
  <c r="K784" i="3"/>
  <c r="E784" i="3"/>
  <c r="E1875" i="3" s="1"/>
  <c r="D784" i="3"/>
  <c r="D1875" i="3" s="1"/>
  <c r="C784" i="3"/>
  <c r="C1875" i="3" s="1"/>
  <c r="B784" i="3"/>
  <c r="B1875" i="3" s="1"/>
  <c r="A784" i="3"/>
  <c r="A1875" i="3" s="1"/>
  <c r="O783" i="3"/>
  <c r="N783" i="3"/>
  <c r="M783" i="3"/>
  <c r="L783" i="3"/>
  <c r="K783" i="3"/>
  <c r="E783" i="3"/>
  <c r="E1874" i="3" s="1"/>
  <c r="D783" i="3"/>
  <c r="D1874" i="3" s="1"/>
  <c r="C783" i="3"/>
  <c r="C1874" i="3" s="1"/>
  <c r="B783" i="3"/>
  <c r="B1874" i="3" s="1"/>
  <c r="A783" i="3"/>
  <c r="A1874" i="3" s="1"/>
  <c r="O782" i="3"/>
  <c r="N782" i="3"/>
  <c r="M782" i="3"/>
  <c r="L782" i="3"/>
  <c r="K782" i="3"/>
  <c r="E782" i="3"/>
  <c r="E1873" i="3" s="1"/>
  <c r="D782" i="3"/>
  <c r="D1873" i="3" s="1"/>
  <c r="C782" i="3"/>
  <c r="C1873" i="3" s="1"/>
  <c r="B782" i="3"/>
  <c r="B1873" i="3" s="1"/>
  <c r="A782" i="3"/>
  <c r="A1873" i="3" s="1"/>
  <c r="O781" i="3"/>
  <c r="N781" i="3"/>
  <c r="M781" i="3"/>
  <c r="L781" i="3"/>
  <c r="K781" i="3"/>
  <c r="E781" i="3"/>
  <c r="E1872" i="3" s="1"/>
  <c r="D781" i="3"/>
  <c r="D1872" i="3" s="1"/>
  <c r="C781" i="3"/>
  <c r="C1872" i="3" s="1"/>
  <c r="B781" i="3"/>
  <c r="B1872" i="3" s="1"/>
  <c r="A781" i="3"/>
  <c r="A1872" i="3" s="1"/>
  <c r="O780" i="3"/>
  <c r="N780" i="3"/>
  <c r="M780" i="3"/>
  <c r="L780" i="3"/>
  <c r="K780" i="3"/>
  <c r="E780" i="3"/>
  <c r="E1871" i="3" s="1"/>
  <c r="D780" i="3"/>
  <c r="D1871" i="3" s="1"/>
  <c r="C780" i="3"/>
  <c r="C1871" i="3" s="1"/>
  <c r="B780" i="3"/>
  <c r="B1871" i="3" s="1"/>
  <c r="A780" i="3"/>
  <c r="A1871" i="3" s="1"/>
  <c r="O779" i="3"/>
  <c r="N779" i="3"/>
  <c r="M779" i="3"/>
  <c r="L779" i="3"/>
  <c r="K779" i="3"/>
  <c r="E779" i="3"/>
  <c r="E1870" i="3" s="1"/>
  <c r="D779" i="3"/>
  <c r="D1870" i="3" s="1"/>
  <c r="C779" i="3"/>
  <c r="C1870" i="3" s="1"/>
  <c r="B779" i="3"/>
  <c r="B1870" i="3" s="1"/>
  <c r="A779" i="3"/>
  <c r="A1870" i="3" s="1"/>
  <c r="O778" i="3"/>
  <c r="N778" i="3"/>
  <c r="M778" i="3"/>
  <c r="L778" i="3"/>
  <c r="K778" i="3"/>
  <c r="E778" i="3"/>
  <c r="E1869" i="3" s="1"/>
  <c r="D778" i="3"/>
  <c r="D1869" i="3" s="1"/>
  <c r="C778" i="3"/>
  <c r="C1869" i="3" s="1"/>
  <c r="B778" i="3"/>
  <c r="B1869" i="3" s="1"/>
  <c r="A778" i="3"/>
  <c r="A1869" i="3" s="1"/>
  <c r="O777" i="3"/>
  <c r="N777" i="3"/>
  <c r="M777" i="3"/>
  <c r="L777" i="3"/>
  <c r="K777" i="3"/>
  <c r="E777" i="3"/>
  <c r="E1868" i="3" s="1"/>
  <c r="D777" i="3"/>
  <c r="D1868" i="3" s="1"/>
  <c r="C777" i="3"/>
  <c r="C1868" i="3" s="1"/>
  <c r="B777" i="3"/>
  <c r="B1868" i="3" s="1"/>
  <c r="A777" i="3"/>
  <c r="A1868" i="3" s="1"/>
  <c r="O776" i="3"/>
  <c r="N776" i="3"/>
  <c r="M776" i="3"/>
  <c r="L776" i="3"/>
  <c r="K776" i="3"/>
  <c r="E776" i="3"/>
  <c r="E1867" i="3" s="1"/>
  <c r="D776" i="3"/>
  <c r="D1867" i="3" s="1"/>
  <c r="C776" i="3"/>
  <c r="C1867" i="3" s="1"/>
  <c r="B776" i="3"/>
  <c r="B1867" i="3" s="1"/>
  <c r="A776" i="3"/>
  <c r="A1867" i="3" s="1"/>
  <c r="O775" i="3"/>
  <c r="N775" i="3"/>
  <c r="M775" i="3"/>
  <c r="L775" i="3"/>
  <c r="K775" i="3"/>
  <c r="E775" i="3"/>
  <c r="E1866" i="3" s="1"/>
  <c r="D775" i="3"/>
  <c r="D1866" i="3" s="1"/>
  <c r="C775" i="3"/>
  <c r="C1866" i="3" s="1"/>
  <c r="B775" i="3"/>
  <c r="B1866" i="3" s="1"/>
  <c r="A775" i="3"/>
  <c r="A1866" i="3" s="1"/>
  <c r="O774" i="3"/>
  <c r="N774" i="3"/>
  <c r="M774" i="3"/>
  <c r="L774" i="3"/>
  <c r="K774" i="3"/>
  <c r="E774" i="3"/>
  <c r="E1865" i="3" s="1"/>
  <c r="D774" i="3"/>
  <c r="D1865" i="3" s="1"/>
  <c r="C774" i="3"/>
  <c r="C1865" i="3" s="1"/>
  <c r="B774" i="3"/>
  <c r="B1865" i="3" s="1"/>
  <c r="A774" i="3"/>
  <c r="A1865" i="3" s="1"/>
  <c r="O773" i="3"/>
  <c r="N773" i="3"/>
  <c r="M773" i="3"/>
  <c r="L773" i="3"/>
  <c r="K773" i="3"/>
  <c r="E773" i="3"/>
  <c r="E1864" i="3" s="1"/>
  <c r="D773" i="3"/>
  <c r="D1864" i="3" s="1"/>
  <c r="C773" i="3"/>
  <c r="C1864" i="3" s="1"/>
  <c r="B773" i="3"/>
  <c r="B1864" i="3" s="1"/>
  <c r="A773" i="3"/>
  <c r="A1864" i="3" s="1"/>
  <c r="O772" i="3"/>
  <c r="N772" i="3"/>
  <c r="M772" i="3"/>
  <c r="L772" i="3"/>
  <c r="K772" i="3"/>
  <c r="E772" i="3"/>
  <c r="E1863" i="3" s="1"/>
  <c r="D772" i="3"/>
  <c r="D1863" i="3" s="1"/>
  <c r="C772" i="3"/>
  <c r="C1863" i="3" s="1"/>
  <c r="B772" i="3"/>
  <c r="B1863" i="3" s="1"/>
  <c r="A772" i="3"/>
  <c r="A1863" i="3" s="1"/>
  <c r="O771" i="3"/>
  <c r="N771" i="3"/>
  <c r="M771" i="3"/>
  <c r="L771" i="3"/>
  <c r="K771" i="3"/>
  <c r="E771" i="3"/>
  <c r="E1862" i="3" s="1"/>
  <c r="D771" i="3"/>
  <c r="D1862" i="3" s="1"/>
  <c r="C771" i="3"/>
  <c r="C1862" i="3" s="1"/>
  <c r="B771" i="3"/>
  <c r="B1862" i="3" s="1"/>
  <c r="A771" i="3"/>
  <c r="A1862" i="3" s="1"/>
  <c r="O770" i="3"/>
  <c r="N770" i="3"/>
  <c r="M770" i="3"/>
  <c r="L770" i="3"/>
  <c r="K770" i="3"/>
  <c r="E770" i="3"/>
  <c r="E1861" i="3" s="1"/>
  <c r="D770" i="3"/>
  <c r="D1861" i="3" s="1"/>
  <c r="C770" i="3"/>
  <c r="C1861" i="3" s="1"/>
  <c r="B770" i="3"/>
  <c r="B1861" i="3" s="1"/>
  <c r="A770" i="3"/>
  <c r="A1861" i="3" s="1"/>
  <c r="O769" i="3"/>
  <c r="N769" i="3"/>
  <c r="M769" i="3"/>
  <c r="L769" i="3"/>
  <c r="K769" i="3"/>
  <c r="E769" i="3"/>
  <c r="E1860" i="3" s="1"/>
  <c r="D769" i="3"/>
  <c r="D1860" i="3" s="1"/>
  <c r="C769" i="3"/>
  <c r="C1860" i="3" s="1"/>
  <c r="B769" i="3"/>
  <c r="B1860" i="3" s="1"/>
  <c r="A769" i="3"/>
  <c r="A1860" i="3" s="1"/>
  <c r="O768" i="3"/>
  <c r="N768" i="3"/>
  <c r="M768" i="3"/>
  <c r="L768" i="3"/>
  <c r="K768" i="3"/>
  <c r="E768" i="3"/>
  <c r="E1859" i="3" s="1"/>
  <c r="D768" i="3"/>
  <c r="D1859" i="3" s="1"/>
  <c r="C768" i="3"/>
  <c r="C1859" i="3" s="1"/>
  <c r="B768" i="3"/>
  <c r="B1859" i="3" s="1"/>
  <c r="A768" i="3"/>
  <c r="A1859" i="3" s="1"/>
  <c r="O767" i="3"/>
  <c r="N767" i="3"/>
  <c r="M767" i="3"/>
  <c r="L767" i="3"/>
  <c r="K767" i="3"/>
  <c r="E767" i="3"/>
  <c r="E1858" i="3" s="1"/>
  <c r="D767" i="3"/>
  <c r="D1858" i="3" s="1"/>
  <c r="C767" i="3"/>
  <c r="C1858" i="3" s="1"/>
  <c r="B767" i="3"/>
  <c r="B1858" i="3" s="1"/>
  <c r="A767" i="3"/>
  <c r="A1858" i="3" s="1"/>
  <c r="O766" i="3"/>
  <c r="N766" i="3"/>
  <c r="M766" i="3"/>
  <c r="L766" i="3"/>
  <c r="K766" i="3"/>
  <c r="E766" i="3"/>
  <c r="E1857" i="3" s="1"/>
  <c r="D766" i="3"/>
  <c r="D1857" i="3" s="1"/>
  <c r="C766" i="3"/>
  <c r="C1857" i="3" s="1"/>
  <c r="B766" i="3"/>
  <c r="B1857" i="3" s="1"/>
  <c r="A766" i="3"/>
  <c r="A1857" i="3" s="1"/>
  <c r="O765" i="3"/>
  <c r="N765" i="3"/>
  <c r="M765" i="3"/>
  <c r="L765" i="3"/>
  <c r="K765" i="3"/>
  <c r="E765" i="3"/>
  <c r="E1856" i="3" s="1"/>
  <c r="D765" i="3"/>
  <c r="D1856" i="3" s="1"/>
  <c r="C765" i="3"/>
  <c r="C1856" i="3" s="1"/>
  <c r="B765" i="3"/>
  <c r="B1856" i="3" s="1"/>
  <c r="A765" i="3"/>
  <c r="A1856" i="3" s="1"/>
  <c r="O764" i="3"/>
  <c r="N764" i="3"/>
  <c r="M764" i="3"/>
  <c r="L764" i="3"/>
  <c r="K764" i="3"/>
  <c r="E764" i="3"/>
  <c r="E1855" i="3" s="1"/>
  <c r="D764" i="3"/>
  <c r="D1855" i="3" s="1"/>
  <c r="C764" i="3"/>
  <c r="C1855" i="3" s="1"/>
  <c r="B764" i="3"/>
  <c r="B1855" i="3" s="1"/>
  <c r="A764" i="3"/>
  <c r="A1855" i="3" s="1"/>
  <c r="O763" i="3"/>
  <c r="N763" i="3"/>
  <c r="M763" i="3"/>
  <c r="L763" i="3"/>
  <c r="K763" i="3"/>
  <c r="E763" i="3"/>
  <c r="E1854" i="3" s="1"/>
  <c r="D763" i="3"/>
  <c r="D1854" i="3" s="1"/>
  <c r="C763" i="3"/>
  <c r="C1854" i="3" s="1"/>
  <c r="B763" i="3"/>
  <c r="B1854" i="3" s="1"/>
  <c r="A763" i="3"/>
  <c r="A1854" i="3" s="1"/>
  <c r="O762" i="3"/>
  <c r="N762" i="3"/>
  <c r="M762" i="3"/>
  <c r="L762" i="3"/>
  <c r="K762" i="3"/>
  <c r="E762" i="3"/>
  <c r="E1853" i="3" s="1"/>
  <c r="D762" i="3"/>
  <c r="D1853" i="3" s="1"/>
  <c r="C762" i="3"/>
  <c r="C1853" i="3" s="1"/>
  <c r="B762" i="3"/>
  <c r="B1853" i="3" s="1"/>
  <c r="A762" i="3"/>
  <c r="A1853" i="3" s="1"/>
  <c r="O761" i="3"/>
  <c r="N761" i="3"/>
  <c r="M761" i="3"/>
  <c r="L761" i="3"/>
  <c r="K761" i="3"/>
  <c r="E761" i="3"/>
  <c r="E1852" i="3" s="1"/>
  <c r="D761" i="3"/>
  <c r="D1852" i="3" s="1"/>
  <c r="C761" i="3"/>
  <c r="C1852" i="3" s="1"/>
  <c r="B761" i="3"/>
  <c r="B1852" i="3" s="1"/>
  <c r="A761" i="3"/>
  <c r="A1852" i="3" s="1"/>
  <c r="O760" i="3"/>
  <c r="N760" i="3"/>
  <c r="M760" i="3"/>
  <c r="L760" i="3"/>
  <c r="K760" i="3"/>
  <c r="E760" i="3"/>
  <c r="E1851" i="3" s="1"/>
  <c r="D760" i="3"/>
  <c r="D1851" i="3" s="1"/>
  <c r="C760" i="3"/>
  <c r="C1851" i="3" s="1"/>
  <c r="B760" i="3"/>
  <c r="B1851" i="3" s="1"/>
  <c r="A760" i="3"/>
  <c r="A1851" i="3" s="1"/>
  <c r="O759" i="3"/>
  <c r="N759" i="3"/>
  <c r="M759" i="3"/>
  <c r="L759" i="3"/>
  <c r="K759" i="3"/>
  <c r="E759" i="3"/>
  <c r="E1850" i="3" s="1"/>
  <c r="D759" i="3"/>
  <c r="D1850" i="3" s="1"/>
  <c r="C759" i="3"/>
  <c r="C1850" i="3" s="1"/>
  <c r="B759" i="3"/>
  <c r="B1850" i="3" s="1"/>
  <c r="A759" i="3"/>
  <c r="A1850" i="3" s="1"/>
  <c r="O758" i="3"/>
  <c r="N758" i="3"/>
  <c r="M758" i="3"/>
  <c r="L758" i="3"/>
  <c r="K758" i="3"/>
  <c r="E758" i="3"/>
  <c r="E1849" i="3" s="1"/>
  <c r="D758" i="3"/>
  <c r="D1849" i="3" s="1"/>
  <c r="C758" i="3"/>
  <c r="C1849" i="3" s="1"/>
  <c r="B758" i="3"/>
  <c r="B1849" i="3" s="1"/>
  <c r="A758" i="3"/>
  <c r="A1849" i="3" s="1"/>
  <c r="O757" i="3"/>
  <c r="N757" i="3"/>
  <c r="M757" i="3"/>
  <c r="L757" i="3"/>
  <c r="K757" i="3"/>
  <c r="E757" i="3"/>
  <c r="E1848" i="3" s="1"/>
  <c r="D757" i="3"/>
  <c r="D1848" i="3" s="1"/>
  <c r="C757" i="3"/>
  <c r="C1848" i="3" s="1"/>
  <c r="B757" i="3"/>
  <c r="B1848" i="3" s="1"/>
  <c r="A757" i="3"/>
  <c r="A1848" i="3" s="1"/>
  <c r="O756" i="3"/>
  <c r="N756" i="3"/>
  <c r="M756" i="3"/>
  <c r="L756" i="3"/>
  <c r="K756" i="3"/>
  <c r="E756" i="3"/>
  <c r="E1847" i="3" s="1"/>
  <c r="D756" i="3"/>
  <c r="D1847" i="3" s="1"/>
  <c r="C756" i="3"/>
  <c r="C1847" i="3" s="1"/>
  <c r="B756" i="3"/>
  <c r="B1847" i="3" s="1"/>
  <c r="A756" i="3"/>
  <c r="A1847" i="3" s="1"/>
  <c r="O755" i="3"/>
  <c r="N755" i="3"/>
  <c r="M755" i="3"/>
  <c r="L755" i="3"/>
  <c r="K755" i="3"/>
  <c r="E755" i="3"/>
  <c r="E1846" i="3" s="1"/>
  <c r="D755" i="3"/>
  <c r="D1846" i="3" s="1"/>
  <c r="C755" i="3"/>
  <c r="C1846" i="3" s="1"/>
  <c r="B755" i="3"/>
  <c r="B1846" i="3" s="1"/>
  <c r="A755" i="3"/>
  <c r="A1846" i="3" s="1"/>
  <c r="O754" i="3"/>
  <c r="N754" i="3"/>
  <c r="M754" i="3"/>
  <c r="L754" i="3"/>
  <c r="K754" i="3"/>
  <c r="E754" i="3"/>
  <c r="E1845" i="3" s="1"/>
  <c r="D754" i="3"/>
  <c r="D1845" i="3" s="1"/>
  <c r="C754" i="3"/>
  <c r="C1845" i="3" s="1"/>
  <c r="B754" i="3"/>
  <c r="B1845" i="3" s="1"/>
  <c r="A754" i="3"/>
  <c r="A1845" i="3" s="1"/>
  <c r="O753" i="3"/>
  <c r="N753" i="3"/>
  <c r="M753" i="3"/>
  <c r="L753" i="3"/>
  <c r="K753" i="3"/>
  <c r="E753" i="3"/>
  <c r="E1844" i="3" s="1"/>
  <c r="D753" i="3"/>
  <c r="D1844" i="3" s="1"/>
  <c r="C753" i="3"/>
  <c r="C1844" i="3" s="1"/>
  <c r="B753" i="3"/>
  <c r="B1844" i="3" s="1"/>
  <c r="A753" i="3"/>
  <c r="A1844" i="3" s="1"/>
  <c r="O752" i="3"/>
  <c r="N752" i="3"/>
  <c r="M752" i="3"/>
  <c r="L752" i="3"/>
  <c r="K752" i="3"/>
  <c r="E752" i="3"/>
  <c r="E1843" i="3" s="1"/>
  <c r="D752" i="3"/>
  <c r="D1843" i="3" s="1"/>
  <c r="C752" i="3"/>
  <c r="C1843" i="3" s="1"/>
  <c r="B752" i="3"/>
  <c r="B1843" i="3" s="1"/>
  <c r="A752" i="3"/>
  <c r="A1843" i="3" s="1"/>
  <c r="O751" i="3"/>
  <c r="N751" i="3"/>
  <c r="M751" i="3"/>
  <c r="L751" i="3"/>
  <c r="K751" i="3"/>
  <c r="E751" i="3"/>
  <c r="E1842" i="3" s="1"/>
  <c r="D751" i="3"/>
  <c r="D1842" i="3" s="1"/>
  <c r="C751" i="3"/>
  <c r="C1842" i="3" s="1"/>
  <c r="B751" i="3"/>
  <c r="B1842" i="3" s="1"/>
  <c r="A751" i="3"/>
  <c r="A1842" i="3" s="1"/>
  <c r="O750" i="3"/>
  <c r="N750" i="3"/>
  <c r="M750" i="3"/>
  <c r="L750" i="3"/>
  <c r="K750" i="3"/>
  <c r="E750" i="3"/>
  <c r="E1841" i="3" s="1"/>
  <c r="D750" i="3"/>
  <c r="D1841" i="3" s="1"/>
  <c r="C750" i="3"/>
  <c r="C1841" i="3" s="1"/>
  <c r="B750" i="3"/>
  <c r="B1841" i="3" s="1"/>
  <c r="A750" i="3"/>
  <c r="A1841" i="3" s="1"/>
  <c r="O749" i="3"/>
  <c r="N749" i="3"/>
  <c r="M749" i="3"/>
  <c r="L749" i="3"/>
  <c r="K749" i="3"/>
  <c r="E749" i="3"/>
  <c r="E1840" i="3" s="1"/>
  <c r="D749" i="3"/>
  <c r="D1840" i="3" s="1"/>
  <c r="C749" i="3"/>
  <c r="C1840" i="3" s="1"/>
  <c r="B749" i="3"/>
  <c r="B1840" i="3" s="1"/>
  <c r="A749" i="3"/>
  <c r="A1840" i="3" s="1"/>
  <c r="O748" i="3"/>
  <c r="N748" i="3"/>
  <c r="M748" i="3"/>
  <c r="L748" i="3"/>
  <c r="K748" i="3"/>
  <c r="E748" i="3"/>
  <c r="E1839" i="3" s="1"/>
  <c r="D748" i="3"/>
  <c r="D1839" i="3" s="1"/>
  <c r="C748" i="3"/>
  <c r="C1839" i="3" s="1"/>
  <c r="B748" i="3"/>
  <c r="B1839" i="3" s="1"/>
  <c r="A748" i="3"/>
  <c r="A1839" i="3" s="1"/>
  <c r="O747" i="3"/>
  <c r="N747" i="3"/>
  <c r="M747" i="3"/>
  <c r="L747" i="3"/>
  <c r="K747" i="3"/>
  <c r="E747" i="3"/>
  <c r="E1838" i="3" s="1"/>
  <c r="D747" i="3"/>
  <c r="D1838" i="3" s="1"/>
  <c r="C747" i="3"/>
  <c r="C1838" i="3" s="1"/>
  <c r="B747" i="3"/>
  <c r="B1838" i="3" s="1"/>
  <c r="A747" i="3"/>
  <c r="A1838" i="3" s="1"/>
  <c r="O746" i="3"/>
  <c r="N746" i="3"/>
  <c r="M746" i="3"/>
  <c r="L746" i="3"/>
  <c r="K746" i="3"/>
  <c r="E746" i="3"/>
  <c r="E1837" i="3" s="1"/>
  <c r="D746" i="3"/>
  <c r="D1837" i="3" s="1"/>
  <c r="C746" i="3"/>
  <c r="C1837" i="3" s="1"/>
  <c r="B746" i="3"/>
  <c r="B1837" i="3" s="1"/>
  <c r="A746" i="3"/>
  <c r="A1837" i="3" s="1"/>
  <c r="O745" i="3"/>
  <c r="N745" i="3"/>
  <c r="M745" i="3"/>
  <c r="L745" i="3"/>
  <c r="K745" i="3"/>
  <c r="E745" i="3"/>
  <c r="E1836" i="3" s="1"/>
  <c r="D745" i="3"/>
  <c r="D1836" i="3" s="1"/>
  <c r="C745" i="3"/>
  <c r="C1836" i="3" s="1"/>
  <c r="B745" i="3"/>
  <c r="B1836" i="3" s="1"/>
  <c r="A745" i="3"/>
  <c r="A1836" i="3" s="1"/>
  <c r="O744" i="3"/>
  <c r="N744" i="3"/>
  <c r="M744" i="3"/>
  <c r="L744" i="3"/>
  <c r="K744" i="3"/>
  <c r="E744" i="3"/>
  <c r="E1835" i="3" s="1"/>
  <c r="D744" i="3"/>
  <c r="D1835" i="3" s="1"/>
  <c r="C744" i="3"/>
  <c r="C1835" i="3" s="1"/>
  <c r="B744" i="3"/>
  <c r="B1835" i="3" s="1"/>
  <c r="A744" i="3"/>
  <c r="A1835" i="3" s="1"/>
  <c r="O743" i="3"/>
  <c r="N743" i="3"/>
  <c r="M743" i="3"/>
  <c r="L743" i="3"/>
  <c r="K743" i="3"/>
  <c r="E743" i="3"/>
  <c r="E1834" i="3" s="1"/>
  <c r="D743" i="3"/>
  <c r="D1834" i="3" s="1"/>
  <c r="C743" i="3"/>
  <c r="C1834" i="3" s="1"/>
  <c r="B743" i="3"/>
  <c r="B1834" i="3" s="1"/>
  <c r="A743" i="3"/>
  <c r="A1834" i="3" s="1"/>
  <c r="O742" i="3"/>
  <c r="N742" i="3"/>
  <c r="M742" i="3"/>
  <c r="L742" i="3"/>
  <c r="K742" i="3"/>
  <c r="E742" i="3"/>
  <c r="E1833" i="3" s="1"/>
  <c r="D742" i="3"/>
  <c r="D1833" i="3" s="1"/>
  <c r="C742" i="3"/>
  <c r="C1833" i="3" s="1"/>
  <c r="B742" i="3"/>
  <c r="B1833" i="3" s="1"/>
  <c r="A742" i="3"/>
  <c r="A1833" i="3" s="1"/>
  <c r="O741" i="3"/>
  <c r="N741" i="3"/>
  <c r="M741" i="3"/>
  <c r="L741" i="3"/>
  <c r="K741" i="3"/>
  <c r="E741" i="3"/>
  <c r="E1832" i="3" s="1"/>
  <c r="D741" i="3"/>
  <c r="D1832" i="3" s="1"/>
  <c r="C741" i="3"/>
  <c r="C1832" i="3" s="1"/>
  <c r="B741" i="3"/>
  <c r="B1832" i="3" s="1"/>
  <c r="A741" i="3"/>
  <c r="A1832" i="3" s="1"/>
  <c r="O740" i="3"/>
  <c r="N740" i="3"/>
  <c r="M740" i="3"/>
  <c r="L740" i="3"/>
  <c r="K740" i="3"/>
  <c r="E740" i="3"/>
  <c r="E1831" i="3" s="1"/>
  <c r="D740" i="3"/>
  <c r="D1831" i="3" s="1"/>
  <c r="C740" i="3"/>
  <c r="C1831" i="3" s="1"/>
  <c r="B740" i="3"/>
  <c r="B1831" i="3" s="1"/>
  <c r="A740" i="3"/>
  <c r="A1831" i="3" s="1"/>
  <c r="O739" i="3"/>
  <c r="N739" i="3"/>
  <c r="M739" i="3"/>
  <c r="L739" i="3"/>
  <c r="K739" i="3"/>
  <c r="E739" i="3"/>
  <c r="E1830" i="3" s="1"/>
  <c r="D739" i="3"/>
  <c r="D1830" i="3" s="1"/>
  <c r="C739" i="3"/>
  <c r="C1830" i="3" s="1"/>
  <c r="B739" i="3"/>
  <c r="B1830" i="3" s="1"/>
  <c r="A739" i="3"/>
  <c r="A1830" i="3" s="1"/>
  <c r="O738" i="3"/>
  <c r="N738" i="3"/>
  <c r="M738" i="3"/>
  <c r="L738" i="3"/>
  <c r="K738" i="3"/>
  <c r="E738" i="3"/>
  <c r="E1829" i="3" s="1"/>
  <c r="D738" i="3"/>
  <c r="D1829" i="3" s="1"/>
  <c r="C738" i="3"/>
  <c r="C1829" i="3" s="1"/>
  <c r="B738" i="3"/>
  <c r="B1829" i="3" s="1"/>
  <c r="A738" i="3"/>
  <c r="A1829" i="3" s="1"/>
  <c r="O737" i="3"/>
  <c r="N737" i="3"/>
  <c r="M737" i="3"/>
  <c r="L737" i="3"/>
  <c r="K737" i="3"/>
  <c r="E737" i="3"/>
  <c r="E1828" i="3" s="1"/>
  <c r="D737" i="3"/>
  <c r="D1828" i="3" s="1"/>
  <c r="C737" i="3"/>
  <c r="C1828" i="3" s="1"/>
  <c r="B737" i="3"/>
  <c r="B1828" i="3" s="1"/>
  <c r="A737" i="3"/>
  <c r="A1828" i="3" s="1"/>
  <c r="O736" i="3"/>
  <c r="N736" i="3"/>
  <c r="M736" i="3"/>
  <c r="L736" i="3"/>
  <c r="K736" i="3"/>
  <c r="E736" i="3"/>
  <c r="E1827" i="3" s="1"/>
  <c r="D736" i="3"/>
  <c r="D1827" i="3" s="1"/>
  <c r="C736" i="3"/>
  <c r="C1827" i="3" s="1"/>
  <c r="B736" i="3"/>
  <c r="B1827" i="3" s="1"/>
  <c r="A736" i="3"/>
  <c r="A1827" i="3" s="1"/>
  <c r="O735" i="3"/>
  <c r="N735" i="3"/>
  <c r="M735" i="3"/>
  <c r="L735" i="3"/>
  <c r="K735" i="3"/>
  <c r="E735" i="3"/>
  <c r="E1826" i="3" s="1"/>
  <c r="D735" i="3"/>
  <c r="D1826" i="3" s="1"/>
  <c r="C735" i="3"/>
  <c r="C1826" i="3" s="1"/>
  <c r="B735" i="3"/>
  <c r="B1826" i="3" s="1"/>
  <c r="A735" i="3"/>
  <c r="A1826" i="3" s="1"/>
  <c r="O734" i="3"/>
  <c r="N734" i="3"/>
  <c r="M734" i="3"/>
  <c r="L734" i="3"/>
  <c r="K734" i="3"/>
  <c r="E734" i="3"/>
  <c r="E1825" i="3" s="1"/>
  <c r="D734" i="3"/>
  <c r="D1825" i="3" s="1"/>
  <c r="C734" i="3"/>
  <c r="C1825" i="3" s="1"/>
  <c r="B734" i="3"/>
  <c r="B1825" i="3" s="1"/>
  <c r="A734" i="3"/>
  <c r="A1825" i="3" s="1"/>
  <c r="O733" i="3"/>
  <c r="N733" i="3"/>
  <c r="M733" i="3"/>
  <c r="L733" i="3"/>
  <c r="K733" i="3"/>
  <c r="E733" i="3"/>
  <c r="B733" i="3"/>
  <c r="A733" i="3"/>
  <c r="O732" i="3"/>
  <c r="N732" i="3"/>
  <c r="M732" i="3"/>
  <c r="L732" i="3"/>
  <c r="K732" i="3"/>
  <c r="E732" i="3"/>
  <c r="E1824" i="3" s="1"/>
  <c r="D732" i="3"/>
  <c r="D1824" i="3" s="1"/>
  <c r="C732" i="3"/>
  <c r="C1824" i="3" s="1"/>
  <c r="B732" i="3"/>
  <c r="B1824" i="3" s="1"/>
  <c r="A732" i="3"/>
  <c r="A1824" i="3" s="1"/>
  <c r="O731" i="3"/>
  <c r="N731" i="3"/>
  <c r="M731" i="3"/>
  <c r="L731" i="3"/>
  <c r="K731" i="3"/>
  <c r="E731" i="3"/>
  <c r="E1823" i="3" s="1"/>
  <c r="D731" i="3"/>
  <c r="D1823" i="3" s="1"/>
  <c r="C731" i="3"/>
  <c r="C1823" i="3" s="1"/>
  <c r="B731" i="3"/>
  <c r="B1823" i="3" s="1"/>
  <c r="A731" i="3"/>
  <c r="A1823" i="3" s="1"/>
  <c r="O730" i="3"/>
  <c r="N730" i="3"/>
  <c r="M730" i="3"/>
  <c r="L730" i="3"/>
  <c r="K730" i="3"/>
  <c r="E730" i="3"/>
  <c r="E1822" i="3" s="1"/>
  <c r="D730" i="3"/>
  <c r="D1822" i="3" s="1"/>
  <c r="C730" i="3"/>
  <c r="C1822" i="3" s="1"/>
  <c r="B730" i="3"/>
  <c r="B1822" i="3" s="1"/>
  <c r="A730" i="3"/>
  <c r="A1822" i="3" s="1"/>
  <c r="O729" i="3"/>
  <c r="N729" i="3"/>
  <c r="M729" i="3"/>
  <c r="L729" i="3"/>
  <c r="K729" i="3"/>
  <c r="E729" i="3"/>
  <c r="E1821" i="3" s="1"/>
  <c r="D729" i="3"/>
  <c r="D1821" i="3" s="1"/>
  <c r="C729" i="3"/>
  <c r="C1821" i="3" s="1"/>
  <c r="B729" i="3"/>
  <c r="B1821" i="3" s="1"/>
  <c r="A729" i="3"/>
  <c r="A1821" i="3" s="1"/>
  <c r="O728" i="3"/>
  <c r="N728" i="3"/>
  <c r="M728" i="3"/>
  <c r="L728" i="3"/>
  <c r="K728" i="3"/>
  <c r="E728" i="3"/>
  <c r="E1820" i="3" s="1"/>
  <c r="D728" i="3"/>
  <c r="D1820" i="3" s="1"/>
  <c r="C728" i="3"/>
  <c r="C1820" i="3" s="1"/>
  <c r="B728" i="3"/>
  <c r="B1820" i="3" s="1"/>
  <c r="A728" i="3"/>
  <c r="A1820" i="3" s="1"/>
  <c r="O727" i="3"/>
  <c r="N727" i="3"/>
  <c r="M727" i="3"/>
  <c r="L727" i="3"/>
  <c r="K727" i="3"/>
  <c r="E727" i="3"/>
  <c r="E1819" i="3" s="1"/>
  <c r="D727" i="3"/>
  <c r="D1819" i="3" s="1"/>
  <c r="C727" i="3"/>
  <c r="C1819" i="3" s="1"/>
  <c r="B727" i="3"/>
  <c r="B1819" i="3" s="1"/>
  <c r="A727" i="3"/>
  <c r="A1819" i="3" s="1"/>
  <c r="O726" i="3"/>
  <c r="N726" i="3"/>
  <c r="M726" i="3"/>
  <c r="L726" i="3"/>
  <c r="K726" i="3"/>
  <c r="E726" i="3"/>
  <c r="E1818" i="3" s="1"/>
  <c r="D726" i="3"/>
  <c r="D1818" i="3" s="1"/>
  <c r="C726" i="3"/>
  <c r="C1818" i="3" s="1"/>
  <c r="B726" i="3"/>
  <c r="B1818" i="3" s="1"/>
  <c r="A726" i="3"/>
  <c r="A1818" i="3" s="1"/>
  <c r="O725" i="3"/>
  <c r="N725" i="3"/>
  <c r="M725" i="3"/>
  <c r="L725" i="3"/>
  <c r="K725" i="3"/>
  <c r="E725" i="3"/>
  <c r="E1817" i="3" s="1"/>
  <c r="D725" i="3"/>
  <c r="D1817" i="3" s="1"/>
  <c r="C725" i="3"/>
  <c r="C1817" i="3" s="1"/>
  <c r="B725" i="3"/>
  <c r="B1817" i="3" s="1"/>
  <c r="A725" i="3"/>
  <c r="A1817" i="3" s="1"/>
  <c r="O724" i="3"/>
  <c r="N724" i="3"/>
  <c r="M724" i="3"/>
  <c r="L724" i="3"/>
  <c r="K724" i="3"/>
  <c r="E724" i="3"/>
  <c r="E1816" i="3" s="1"/>
  <c r="D724" i="3"/>
  <c r="D1816" i="3" s="1"/>
  <c r="C724" i="3"/>
  <c r="C1816" i="3" s="1"/>
  <c r="B724" i="3"/>
  <c r="B1816" i="3" s="1"/>
  <c r="A724" i="3"/>
  <c r="A1816" i="3" s="1"/>
  <c r="O723" i="3"/>
  <c r="N723" i="3"/>
  <c r="M723" i="3"/>
  <c r="L723" i="3"/>
  <c r="K723" i="3"/>
  <c r="E723" i="3"/>
  <c r="E1815" i="3" s="1"/>
  <c r="D723" i="3"/>
  <c r="D1815" i="3" s="1"/>
  <c r="C723" i="3"/>
  <c r="C1815" i="3" s="1"/>
  <c r="B723" i="3"/>
  <c r="B1815" i="3" s="1"/>
  <c r="A723" i="3"/>
  <c r="A1815" i="3" s="1"/>
  <c r="O722" i="3"/>
  <c r="N722" i="3"/>
  <c r="M722" i="3"/>
  <c r="L722" i="3"/>
  <c r="K722" i="3"/>
  <c r="E722" i="3"/>
  <c r="E1814" i="3" s="1"/>
  <c r="D722" i="3"/>
  <c r="D1814" i="3" s="1"/>
  <c r="C722" i="3"/>
  <c r="C1814" i="3" s="1"/>
  <c r="B722" i="3"/>
  <c r="B1814" i="3" s="1"/>
  <c r="A722" i="3"/>
  <c r="A1814" i="3" s="1"/>
  <c r="O721" i="3"/>
  <c r="N721" i="3"/>
  <c r="M721" i="3"/>
  <c r="L721" i="3"/>
  <c r="K721" i="3"/>
  <c r="E721" i="3"/>
  <c r="E1813" i="3" s="1"/>
  <c r="D721" i="3"/>
  <c r="D1813" i="3" s="1"/>
  <c r="C721" i="3"/>
  <c r="C1813" i="3" s="1"/>
  <c r="B721" i="3"/>
  <c r="B1813" i="3" s="1"/>
  <c r="A721" i="3"/>
  <c r="A1813" i="3" s="1"/>
  <c r="O720" i="3"/>
  <c r="N720" i="3"/>
  <c r="M720" i="3"/>
  <c r="L720" i="3"/>
  <c r="K720" i="3"/>
  <c r="E720" i="3"/>
  <c r="E1812" i="3" s="1"/>
  <c r="D720" i="3"/>
  <c r="D1812" i="3" s="1"/>
  <c r="C720" i="3"/>
  <c r="C1812" i="3" s="1"/>
  <c r="B720" i="3"/>
  <c r="B1812" i="3" s="1"/>
  <c r="A720" i="3"/>
  <c r="A1812" i="3" s="1"/>
  <c r="O719" i="3"/>
  <c r="N719" i="3"/>
  <c r="M719" i="3"/>
  <c r="L719" i="3"/>
  <c r="K719" i="3"/>
  <c r="E719" i="3"/>
  <c r="E1811" i="3" s="1"/>
  <c r="D719" i="3"/>
  <c r="D1811" i="3" s="1"/>
  <c r="C719" i="3"/>
  <c r="C1811" i="3" s="1"/>
  <c r="B719" i="3"/>
  <c r="B1811" i="3" s="1"/>
  <c r="A719" i="3"/>
  <c r="A1811" i="3" s="1"/>
  <c r="O718" i="3"/>
  <c r="N718" i="3"/>
  <c r="M718" i="3"/>
  <c r="L718" i="3"/>
  <c r="K718" i="3"/>
  <c r="E718" i="3"/>
  <c r="E1810" i="3" s="1"/>
  <c r="D718" i="3"/>
  <c r="D1810" i="3" s="1"/>
  <c r="C718" i="3"/>
  <c r="C1810" i="3" s="1"/>
  <c r="B718" i="3"/>
  <c r="B1810" i="3" s="1"/>
  <c r="A718" i="3"/>
  <c r="A1810" i="3" s="1"/>
  <c r="O717" i="3"/>
  <c r="N717" i="3"/>
  <c r="M717" i="3"/>
  <c r="L717" i="3"/>
  <c r="K717" i="3"/>
  <c r="E717" i="3"/>
  <c r="E1809" i="3" s="1"/>
  <c r="D717" i="3"/>
  <c r="D1809" i="3" s="1"/>
  <c r="C717" i="3"/>
  <c r="C1809" i="3" s="1"/>
  <c r="B717" i="3"/>
  <c r="B1809" i="3" s="1"/>
  <c r="A717" i="3"/>
  <c r="A1809" i="3" s="1"/>
  <c r="O716" i="3"/>
  <c r="N716" i="3"/>
  <c r="M716" i="3"/>
  <c r="L716" i="3"/>
  <c r="K716" i="3"/>
  <c r="E716" i="3"/>
  <c r="E1808" i="3" s="1"/>
  <c r="D716" i="3"/>
  <c r="D1808" i="3" s="1"/>
  <c r="C716" i="3"/>
  <c r="C1808" i="3" s="1"/>
  <c r="B716" i="3"/>
  <c r="B1808" i="3" s="1"/>
  <c r="A716" i="3"/>
  <c r="A1808" i="3" s="1"/>
  <c r="O715" i="3"/>
  <c r="N715" i="3"/>
  <c r="M715" i="3"/>
  <c r="L715" i="3"/>
  <c r="K715" i="3"/>
  <c r="E715" i="3"/>
  <c r="E1807" i="3" s="1"/>
  <c r="D715" i="3"/>
  <c r="D1807" i="3" s="1"/>
  <c r="C715" i="3"/>
  <c r="C1807" i="3" s="1"/>
  <c r="B715" i="3"/>
  <c r="B1807" i="3" s="1"/>
  <c r="A715" i="3"/>
  <c r="A1807" i="3" s="1"/>
  <c r="O714" i="3"/>
  <c r="N714" i="3"/>
  <c r="M714" i="3"/>
  <c r="L714" i="3"/>
  <c r="K714" i="3"/>
  <c r="E714" i="3"/>
  <c r="E1806" i="3" s="1"/>
  <c r="D714" i="3"/>
  <c r="D1806" i="3" s="1"/>
  <c r="C714" i="3"/>
  <c r="C1806" i="3" s="1"/>
  <c r="B714" i="3"/>
  <c r="B1806" i="3" s="1"/>
  <c r="A714" i="3"/>
  <c r="A1806" i="3" s="1"/>
  <c r="O713" i="3"/>
  <c r="N713" i="3"/>
  <c r="M713" i="3"/>
  <c r="L713" i="3"/>
  <c r="K713" i="3"/>
  <c r="E713" i="3"/>
  <c r="E1805" i="3" s="1"/>
  <c r="D713" i="3"/>
  <c r="D1805" i="3" s="1"/>
  <c r="C713" i="3"/>
  <c r="C1805" i="3" s="1"/>
  <c r="B713" i="3"/>
  <c r="B1805" i="3" s="1"/>
  <c r="A713" i="3"/>
  <c r="A1805" i="3" s="1"/>
  <c r="O712" i="3"/>
  <c r="N712" i="3"/>
  <c r="M712" i="3"/>
  <c r="L712" i="3"/>
  <c r="K712" i="3"/>
  <c r="E712" i="3"/>
  <c r="E1804" i="3" s="1"/>
  <c r="D712" i="3"/>
  <c r="D1804" i="3" s="1"/>
  <c r="C712" i="3"/>
  <c r="C1804" i="3" s="1"/>
  <c r="B712" i="3"/>
  <c r="B1804" i="3" s="1"/>
  <c r="A712" i="3"/>
  <c r="A1804" i="3" s="1"/>
  <c r="O711" i="3"/>
  <c r="N711" i="3"/>
  <c r="M711" i="3"/>
  <c r="L711" i="3"/>
  <c r="K711" i="3"/>
  <c r="E711" i="3"/>
  <c r="E1803" i="3" s="1"/>
  <c r="D711" i="3"/>
  <c r="D1803" i="3" s="1"/>
  <c r="C711" i="3"/>
  <c r="C1803" i="3" s="1"/>
  <c r="B711" i="3"/>
  <c r="B1803" i="3" s="1"/>
  <c r="A711" i="3"/>
  <c r="A1803" i="3" s="1"/>
  <c r="O710" i="3"/>
  <c r="N710" i="3"/>
  <c r="M710" i="3"/>
  <c r="L710" i="3"/>
  <c r="K710" i="3"/>
  <c r="E710" i="3"/>
  <c r="E1802" i="3" s="1"/>
  <c r="D710" i="3"/>
  <c r="D1802" i="3" s="1"/>
  <c r="C710" i="3"/>
  <c r="C1802" i="3" s="1"/>
  <c r="B710" i="3"/>
  <c r="B1802" i="3" s="1"/>
  <c r="A710" i="3"/>
  <c r="A1802" i="3" s="1"/>
  <c r="O709" i="3"/>
  <c r="N709" i="3"/>
  <c r="M709" i="3"/>
  <c r="L709" i="3"/>
  <c r="K709" i="3"/>
  <c r="E709" i="3"/>
  <c r="E1801" i="3" s="1"/>
  <c r="D709" i="3"/>
  <c r="D1801" i="3" s="1"/>
  <c r="C709" i="3"/>
  <c r="C1801" i="3" s="1"/>
  <c r="B709" i="3"/>
  <c r="B1801" i="3" s="1"/>
  <c r="A709" i="3"/>
  <c r="A1801" i="3" s="1"/>
  <c r="O708" i="3"/>
  <c r="N708" i="3"/>
  <c r="M708" i="3"/>
  <c r="L708" i="3"/>
  <c r="K708" i="3"/>
  <c r="E708" i="3"/>
  <c r="E1800" i="3" s="1"/>
  <c r="D708" i="3"/>
  <c r="D1800" i="3" s="1"/>
  <c r="C708" i="3"/>
  <c r="C1800" i="3" s="1"/>
  <c r="B708" i="3"/>
  <c r="B1800" i="3" s="1"/>
  <c r="A708" i="3"/>
  <c r="A1800" i="3" s="1"/>
  <c r="O707" i="3"/>
  <c r="N707" i="3"/>
  <c r="M707" i="3"/>
  <c r="L707" i="3"/>
  <c r="K707" i="3"/>
  <c r="E707" i="3"/>
  <c r="E1799" i="3" s="1"/>
  <c r="D707" i="3"/>
  <c r="D1799" i="3" s="1"/>
  <c r="C707" i="3"/>
  <c r="C1799" i="3" s="1"/>
  <c r="B707" i="3"/>
  <c r="B1799" i="3" s="1"/>
  <c r="A707" i="3"/>
  <c r="A1799" i="3" s="1"/>
  <c r="O706" i="3"/>
  <c r="N706" i="3"/>
  <c r="M706" i="3"/>
  <c r="L706" i="3"/>
  <c r="K706" i="3"/>
  <c r="E706" i="3"/>
  <c r="E1798" i="3" s="1"/>
  <c r="D706" i="3"/>
  <c r="D1798" i="3" s="1"/>
  <c r="C706" i="3"/>
  <c r="C1798" i="3" s="1"/>
  <c r="B706" i="3"/>
  <c r="B1798" i="3" s="1"/>
  <c r="A706" i="3"/>
  <c r="A1798" i="3" s="1"/>
  <c r="O705" i="3"/>
  <c r="N705" i="3"/>
  <c r="M705" i="3"/>
  <c r="L705" i="3"/>
  <c r="K705" i="3"/>
  <c r="E705" i="3"/>
  <c r="E1797" i="3" s="1"/>
  <c r="D705" i="3"/>
  <c r="D1797" i="3" s="1"/>
  <c r="C705" i="3"/>
  <c r="C1797" i="3" s="1"/>
  <c r="B705" i="3"/>
  <c r="B1797" i="3" s="1"/>
  <c r="A705" i="3"/>
  <c r="A1797" i="3" s="1"/>
  <c r="O704" i="3"/>
  <c r="N704" i="3"/>
  <c r="M704" i="3"/>
  <c r="L704" i="3"/>
  <c r="K704" i="3"/>
  <c r="E704" i="3"/>
  <c r="E1796" i="3" s="1"/>
  <c r="D704" i="3"/>
  <c r="D1796" i="3" s="1"/>
  <c r="C704" i="3"/>
  <c r="C1796" i="3" s="1"/>
  <c r="B704" i="3"/>
  <c r="B1796" i="3" s="1"/>
  <c r="A704" i="3"/>
  <c r="A1796" i="3" s="1"/>
  <c r="O703" i="3"/>
  <c r="N703" i="3"/>
  <c r="M703" i="3"/>
  <c r="L703" i="3"/>
  <c r="K703" i="3"/>
  <c r="E703" i="3"/>
  <c r="E1795" i="3" s="1"/>
  <c r="D703" i="3"/>
  <c r="D1795" i="3" s="1"/>
  <c r="C703" i="3"/>
  <c r="C1795" i="3" s="1"/>
  <c r="B703" i="3"/>
  <c r="B1795" i="3" s="1"/>
  <c r="A703" i="3"/>
  <c r="A1795" i="3" s="1"/>
  <c r="O702" i="3"/>
  <c r="N702" i="3"/>
  <c r="M702" i="3"/>
  <c r="L702" i="3"/>
  <c r="K702" i="3"/>
  <c r="E702" i="3"/>
  <c r="E1794" i="3" s="1"/>
  <c r="D702" i="3"/>
  <c r="D1794" i="3" s="1"/>
  <c r="C702" i="3"/>
  <c r="C1794" i="3" s="1"/>
  <c r="B702" i="3"/>
  <c r="B1794" i="3" s="1"/>
  <c r="A702" i="3"/>
  <c r="A1794" i="3" s="1"/>
  <c r="O701" i="3"/>
  <c r="N701" i="3"/>
  <c r="M701" i="3"/>
  <c r="L701" i="3"/>
  <c r="K701" i="3"/>
  <c r="E701" i="3"/>
  <c r="E1793" i="3" s="1"/>
  <c r="D701" i="3"/>
  <c r="D1793" i="3" s="1"/>
  <c r="C701" i="3"/>
  <c r="C1793" i="3" s="1"/>
  <c r="B701" i="3"/>
  <c r="B1793" i="3" s="1"/>
  <c r="A701" i="3"/>
  <c r="A1793" i="3" s="1"/>
  <c r="O700" i="3"/>
  <c r="N700" i="3"/>
  <c r="M700" i="3"/>
  <c r="L700" i="3"/>
  <c r="K700" i="3"/>
  <c r="E700" i="3"/>
  <c r="E1792" i="3" s="1"/>
  <c r="D700" i="3"/>
  <c r="D1792" i="3" s="1"/>
  <c r="C700" i="3"/>
  <c r="C1792" i="3" s="1"/>
  <c r="B700" i="3"/>
  <c r="B1792" i="3" s="1"/>
  <c r="A700" i="3"/>
  <c r="A1792" i="3" s="1"/>
  <c r="O699" i="3"/>
  <c r="N699" i="3"/>
  <c r="M699" i="3"/>
  <c r="L699" i="3"/>
  <c r="K699" i="3"/>
  <c r="E699" i="3"/>
  <c r="E1791" i="3" s="1"/>
  <c r="D699" i="3"/>
  <c r="D1791" i="3" s="1"/>
  <c r="C699" i="3"/>
  <c r="C1791" i="3" s="1"/>
  <c r="B699" i="3"/>
  <c r="B1791" i="3" s="1"/>
  <c r="A699" i="3"/>
  <c r="A1791" i="3" s="1"/>
  <c r="O698" i="3"/>
  <c r="N698" i="3"/>
  <c r="M698" i="3"/>
  <c r="L698" i="3"/>
  <c r="K698" i="3"/>
  <c r="E698" i="3"/>
  <c r="E1790" i="3" s="1"/>
  <c r="D698" i="3"/>
  <c r="D1790" i="3" s="1"/>
  <c r="C698" i="3"/>
  <c r="C1790" i="3" s="1"/>
  <c r="B698" i="3"/>
  <c r="B1790" i="3" s="1"/>
  <c r="A698" i="3"/>
  <c r="A1790" i="3" s="1"/>
  <c r="O697" i="3"/>
  <c r="N697" i="3"/>
  <c r="M697" i="3"/>
  <c r="L697" i="3"/>
  <c r="K697" i="3"/>
  <c r="E697" i="3"/>
  <c r="E1789" i="3" s="1"/>
  <c r="D697" i="3"/>
  <c r="D1789" i="3" s="1"/>
  <c r="C697" i="3"/>
  <c r="C1789" i="3" s="1"/>
  <c r="B697" i="3"/>
  <c r="B1789" i="3" s="1"/>
  <c r="A697" i="3"/>
  <c r="A1789" i="3" s="1"/>
  <c r="O696" i="3"/>
  <c r="N696" i="3"/>
  <c r="M696" i="3"/>
  <c r="L696" i="3"/>
  <c r="K696" i="3"/>
  <c r="E696" i="3"/>
  <c r="E1788" i="3" s="1"/>
  <c r="D696" i="3"/>
  <c r="D1788" i="3" s="1"/>
  <c r="C696" i="3"/>
  <c r="C1788" i="3" s="1"/>
  <c r="B696" i="3"/>
  <c r="B1788" i="3" s="1"/>
  <c r="A696" i="3"/>
  <c r="A1788" i="3" s="1"/>
  <c r="O695" i="3"/>
  <c r="N695" i="3"/>
  <c r="M695" i="3"/>
  <c r="L695" i="3"/>
  <c r="K695" i="3"/>
  <c r="E695" i="3"/>
  <c r="E1787" i="3" s="1"/>
  <c r="D695" i="3"/>
  <c r="D1787" i="3" s="1"/>
  <c r="C695" i="3"/>
  <c r="C1787" i="3" s="1"/>
  <c r="B695" i="3"/>
  <c r="B1787" i="3" s="1"/>
  <c r="A695" i="3"/>
  <c r="A1787" i="3" s="1"/>
  <c r="O694" i="3"/>
  <c r="N694" i="3"/>
  <c r="M694" i="3"/>
  <c r="L694" i="3"/>
  <c r="K694" i="3"/>
  <c r="E694" i="3"/>
  <c r="E1786" i="3" s="1"/>
  <c r="D694" i="3"/>
  <c r="D1786" i="3" s="1"/>
  <c r="C694" i="3"/>
  <c r="C1786" i="3" s="1"/>
  <c r="B694" i="3"/>
  <c r="B1786" i="3" s="1"/>
  <c r="A694" i="3"/>
  <c r="A1786" i="3" s="1"/>
  <c r="O693" i="3"/>
  <c r="N693" i="3"/>
  <c r="M693" i="3"/>
  <c r="L693" i="3"/>
  <c r="K693" i="3"/>
  <c r="E693" i="3"/>
  <c r="E1785" i="3" s="1"/>
  <c r="D693" i="3"/>
  <c r="D1785" i="3" s="1"/>
  <c r="C693" i="3"/>
  <c r="C1785" i="3" s="1"/>
  <c r="B693" i="3"/>
  <c r="B1785" i="3" s="1"/>
  <c r="A693" i="3"/>
  <c r="A1785" i="3" s="1"/>
  <c r="O692" i="3"/>
  <c r="N692" i="3"/>
  <c r="M692" i="3"/>
  <c r="L692" i="3"/>
  <c r="K692" i="3"/>
  <c r="E692" i="3"/>
  <c r="E1784" i="3" s="1"/>
  <c r="D692" i="3"/>
  <c r="D1784" i="3" s="1"/>
  <c r="C692" i="3"/>
  <c r="C1784" i="3" s="1"/>
  <c r="B692" i="3"/>
  <c r="B1784" i="3" s="1"/>
  <c r="A692" i="3"/>
  <c r="A1784" i="3" s="1"/>
  <c r="O691" i="3"/>
  <c r="N691" i="3"/>
  <c r="M691" i="3"/>
  <c r="L691" i="3"/>
  <c r="K691" i="3"/>
  <c r="E691" i="3"/>
  <c r="B691" i="3"/>
  <c r="A691" i="3"/>
  <c r="O690" i="3"/>
  <c r="N690" i="3"/>
  <c r="M690" i="3"/>
  <c r="L690" i="3"/>
  <c r="K690" i="3"/>
  <c r="E690" i="3"/>
  <c r="B690" i="3"/>
  <c r="A690" i="3"/>
  <c r="O689" i="3"/>
  <c r="N689" i="3"/>
  <c r="M689" i="3"/>
  <c r="L689" i="3"/>
  <c r="K689" i="3"/>
  <c r="E689" i="3"/>
  <c r="B689" i="3"/>
  <c r="A689" i="3"/>
  <c r="O688" i="3"/>
  <c r="N688" i="3"/>
  <c r="M688" i="3"/>
  <c r="L688" i="3"/>
  <c r="K688" i="3"/>
  <c r="E688" i="3"/>
  <c r="E1783" i="3" s="1"/>
  <c r="D688" i="3"/>
  <c r="D1783" i="3" s="1"/>
  <c r="C688" i="3"/>
  <c r="C1783" i="3" s="1"/>
  <c r="B688" i="3"/>
  <c r="B1783" i="3" s="1"/>
  <c r="A688" i="3"/>
  <c r="A1783" i="3" s="1"/>
  <c r="O687" i="3"/>
  <c r="N687" i="3"/>
  <c r="M687" i="3"/>
  <c r="L687" i="3"/>
  <c r="K687" i="3"/>
  <c r="E687" i="3"/>
  <c r="E1782" i="3" s="1"/>
  <c r="D687" i="3"/>
  <c r="D1782" i="3" s="1"/>
  <c r="C687" i="3"/>
  <c r="C1782" i="3" s="1"/>
  <c r="B687" i="3"/>
  <c r="B1782" i="3" s="1"/>
  <c r="A687" i="3"/>
  <c r="A1782" i="3" s="1"/>
  <c r="O686" i="3"/>
  <c r="N686" i="3"/>
  <c r="M686" i="3"/>
  <c r="L686" i="3"/>
  <c r="K686" i="3"/>
  <c r="E686" i="3"/>
  <c r="E1781" i="3" s="1"/>
  <c r="D686" i="3"/>
  <c r="D1781" i="3" s="1"/>
  <c r="C686" i="3"/>
  <c r="C1781" i="3" s="1"/>
  <c r="B686" i="3"/>
  <c r="B1781" i="3" s="1"/>
  <c r="A686" i="3"/>
  <c r="A1781" i="3" s="1"/>
  <c r="O685" i="3"/>
  <c r="N685" i="3"/>
  <c r="M685" i="3"/>
  <c r="L685" i="3"/>
  <c r="K685" i="3"/>
  <c r="E685" i="3"/>
  <c r="E1780" i="3" s="1"/>
  <c r="D685" i="3"/>
  <c r="D1780" i="3" s="1"/>
  <c r="C685" i="3"/>
  <c r="C1780" i="3" s="1"/>
  <c r="B685" i="3"/>
  <c r="B1780" i="3" s="1"/>
  <c r="A685" i="3"/>
  <c r="A1780" i="3" s="1"/>
  <c r="O684" i="3"/>
  <c r="N684" i="3"/>
  <c r="M684" i="3"/>
  <c r="L684" i="3"/>
  <c r="K684" i="3"/>
  <c r="E684" i="3"/>
  <c r="E1779" i="3" s="1"/>
  <c r="D684" i="3"/>
  <c r="D1779" i="3" s="1"/>
  <c r="C684" i="3"/>
  <c r="C1779" i="3" s="1"/>
  <c r="B684" i="3"/>
  <c r="B1779" i="3" s="1"/>
  <c r="A684" i="3"/>
  <c r="A1779" i="3" s="1"/>
  <c r="O683" i="3"/>
  <c r="N683" i="3"/>
  <c r="M683" i="3"/>
  <c r="L683" i="3"/>
  <c r="K683" i="3"/>
  <c r="E683" i="3"/>
  <c r="E1778" i="3" s="1"/>
  <c r="D683" i="3"/>
  <c r="D1778" i="3" s="1"/>
  <c r="C683" i="3"/>
  <c r="C1778" i="3" s="1"/>
  <c r="B683" i="3"/>
  <c r="B1778" i="3" s="1"/>
  <c r="A683" i="3"/>
  <c r="A1778" i="3" s="1"/>
  <c r="O682" i="3"/>
  <c r="N682" i="3"/>
  <c r="M682" i="3"/>
  <c r="L682" i="3"/>
  <c r="K682" i="3"/>
  <c r="E682" i="3"/>
  <c r="E1777" i="3" s="1"/>
  <c r="D682" i="3"/>
  <c r="D1777" i="3" s="1"/>
  <c r="C682" i="3"/>
  <c r="C1777" i="3" s="1"/>
  <c r="B682" i="3"/>
  <c r="B1777" i="3" s="1"/>
  <c r="A682" i="3"/>
  <c r="A1777" i="3" s="1"/>
  <c r="O681" i="3"/>
  <c r="N681" i="3"/>
  <c r="M681" i="3"/>
  <c r="L681" i="3"/>
  <c r="K681" i="3"/>
  <c r="E681" i="3"/>
  <c r="E1776" i="3" s="1"/>
  <c r="D681" i="3"/>
  <c r="D1776" i="3" s="1"/>
  <c r="C681" i="3"/>
  <c r="C1776" i="3" s="1"/>
  <c r="B681" i="3"/>
  <c r="B1776" i="3" s="1"/>
  <c r="A681" i="3"/>
  <c r="A1776" i="3" s="1"/>
  <c r="O680" i="3"/>
  <c r="N680" i="3"/>
  <c r="M680" i="3"/>
  <c r="L680" i="3"/>
  <c r="K680" i="3"/>
  <c r="E680" i="3"/>
  <c r="E1775" i="3" s="1"/>
  <c r="D680" i="3"/>
  <c r="D1775" i="3" s="1"/>
  <c r="C680" i="3"/>
  <c r="C1775" i="3" s="1"/>
  <c r="B680" i="3"/>
  <c r="B1775" i="3" s="1"/>
  <c r="A680" i="3"/>
  <c r="A1775" i="3" s="1"/>
  <c r="O679" i="3"/>
  <c r="N679" i="3"/>
  <c r="M679" i="3"/>
  <c r="L679" i="3"/>
  <c r="K679" i="3"/>
  <c r="E679" i="3"/>
  <c r="E1774" i="3" s="1"/>
  <c r="D679" i="3"/>
  <c r="D1774" i="3" s="1"/>
  <c r="C679" i="3"/>
  <c r="C1774" i="3" s="1"/>
  <c r="B679" i="3"/>
  <c r="B1774" i="3" s="1"/>
  <c r="A679" i="3"/>
  <c r="A1774" i="3" s="1"/>
  <c r="O678" i="3"/>
  <c r="N678" i="3"/>
  <c r="M678" i="3"/>
  <c r="L678" i="3"/>
  <c r="K678" i="3"/>
  <c r="E678" i="3"/>
  <c r="E1773" i="3" s="1"/>
  <c r="D678" i="3"/>
  <c r="D1773" i="3" s="1"/>
  <c r="C678" i="3"/>
  <c r="C1773" i="3" s="1"/>
  <c r="B678" i="3"/>
  <c r="B1773" i="3" s="1"/>
  <c r="A678" i="3"/>
  <c r="A1773" i="3" s="1"/>
  <c r="O677" i="3"/>
  <c r="N677" i="3"/>
  <c r="M677" i="3"/>
  <c r="L677" i="3"/>
  <c r="K677" i="3"/>
  <c r="E677" i="3"/>
  <c r="E1772" i="3" s="1"/>
  <c r="D677" i="3"/>
  <c r="D1772" i="3" s="1"/>
  <c r="C677" i="3"/>
  <c r="C1772" i="3" s="1"/>
  <c r="B677" i="3"/>
  <c r="B1772" i="3" s="1"/>
  <c r="A677" i="3"/>
  <c r="A1772" i="3" s="1"/>
  <c r="O676" i="3"/>
  <c r="N676" i="3"/>
  <c r="M676" i="3"/>
  <c r="L676" i="3"/>
  <c r="K676" i="3"/>
  <c r="E676" i="3"/>
  <c r="E1771" i="3" s="1"/>
  <c r="D676" i="3"/>
  <c r="D1771" i="3" s="1"/>
  <c r="C676" i="3"/>
  <c r="C1771" i="3" s="1"/>
  <c r="B676" i="3"/>
  <c r="B1771" i="3" s="1"/>
  <c r="A676" i="3"/>
  <c r="A1771" i="3" s="1"/>
  <c r="O675" i="3"/>
  <c r="N675" i="3"/>
  <c r="M675" i="3"/>
  <c r="L675" i="3"/>
  <c r="K675" i="3"/>
  <c r="E675" i="3"/>
  <c r="E1770" i="3" s="1"/>
  <c r="D675" i="3"/>
  <c r="D1770" i="3" s="1"/>
  <c r="C675" i="3"/>
  <c r="C1770" i="3" s="1"/>
  <c r="B675" i="3"/>
  <c r="B1770" i="3" s="1"/>
  <c r="A675" i="3"/>
  <c r="A1770" i="3" s="1"/>
  <c r="O674" i="3"/>
  <c r="N674" i="3"/>
  <c r="M674" i="3"/>
  <c r="L674" i="3"/>
  <c r="K674" i="3"/>
  <c r="E674" i="3"/>
  <c r="E1769" i="3" s="1"/>
  <c r="D674" i="3"/>
  <c r="D1769" i="3" s="1"/>
  <c r="C674" i="3"/>
  <c r="C1769" i="3" s="1"/>
  <c r="B674" i="3"/>
  <c r="B1769" i="3" s="1"/>
  <c r="A674" i="3"/>
  <c r="A1769" i="3" s="1"/>
  <c r="O673" i="3"/>
  <c r="N673" i="3"/>
  <c r="M673" i="3"/>
  <c r="L673" i="3"/>
  <c r="K673" i="3"/>
  <c r="E673" i="3"/>
  <c r="E1768" i="3" s="1"/>
  <c r="D673" i="3"/>
  <c r="D1768" i="3" s="1"/>
  <c r="C673" i="3"/>
  <c r="C1768" i="3" s="1"/>
  <c r="B673" i="3"/>
  <c r="B1768" i="3" s="1"/>
  <c r="A673" i="3"/>
  <c r="A1768" i="3" s="1"/>
  <c r="O672" i="3"/>
  <c r="N672" i="3"/>
  <c r="M672" i="3"/>
  <c r="L672" i="3"/>
  <c r="K672" i="3"/>
  <c r="E672" i="3"/>
  <c r="E1767" i="3" s="1"/>
  <c r="D672" i="3"/>
  <c r="D1767" i="3" s="1"/>
  <c r="C672" i="3"/>
  <c r="C1767" i="3" s="1"/>
  <c r="B672" i="3"/>
  <c r="B1767" i="3" s="1"/>
  <c r="A672" i="3"/>
  <c r="A1767" i="3" s="1"/>
  <c r="O671" i="3"/>
  <c r="N671" i="3"/>
  <c r="M671" i="3"/>
  <c r="L671" i="3"/>
  <c r="K671" i="3"/>
  <c r="E671" i="3"/>
  <c r="E1766" i="3" s="1"/>
  <c r="D671" i="3"/>
  <c r="D1766" i="3" s="1"/>
  <c r="C671" i="3"/>
  <c r="C1766" i="3" s="1"/>
  <c r="B671" i="3"/>
  <c r="B1766" i="3" s="1"/>
  <c r="A671" i="3"/>
  <c r="A1766" i="3" s="1"/>
  <c r="O670" i="3"/>
  <c r="N670" i="3"/>
  <c r="M670" i="3"/>
  <c r="L670" i="3"/>
  <c r="K670" i="3"/>
  <c r="E670" i="3"/>
  <c r="E1765" i="3" s="1"/>
  <c r="D670" i="3"/>
  <c r="D1765" i="3" s="1"/>
  <c r="C670" i="3"/>
  <c r="C1765" i="3" s="1"/>
  <c r="B670" i="3"/>
  <c r="B1765" i="3" s="1"/>
  <c r="A670" i="3"/>
  <c r="A1765" i="3" s="1"/>
  <c r="O669" i="3"/>
  <c r="N669" i="3"/>
  <c r="M669" i="3"/>
  <c r="L669" i="3"/>
  <c r="K669" i="3"/>
  <c r="E669" i="3"/>
  <c r="E1764" i="3" s="1"/>
  <c r="D669" i="3"/>
  <c r="D1764" i="3" s="1"/>
  <c r="C669" i="3"/>
  <c r="C1764" i="3" s="1"/>
  <c r="B669" i="3"/>
  <c r="B1764" i="3" s="1"/>
  <c r="A669" i="3"/>
  <c r="A1764" i="3" s="1"/>
  <c r="O668" i="3"/>
  <c r="N668" i="3"/>
  <c r="M668" i="3"/>
  <c r="L668" i="3"/>
  <c r="K668" i="3"/>
  <c r="E668" i="3"/>
  <c r="E1763" i="3" s="1"/>
  <c r="D668" i="3"/>
  <c r="D1763" i="3" s="1"/>
  <c r="C668" i="3"/>
  <c r="C1763" i="3" s="1"/>
  <c r="B668" i="3"/>
  <c r="B1763" i="3" s="1"/>
  <c r="A668" i="3"/>
  <c r="A1763" i="3" s="1"/>
  <c r="O667" i="3"/>
  <c r="N667" i="3"/>
  <c r="M667" i="3"/>
  <c r="L667" i="3"/>
  <c r="K667" i="3"/>
  <c r="E667" i="3"/>
  <c r="E1762" i="3" s="1"/>
  <c r="D667" i="3"/>
  <c r="D1762" i="3" s="1"/>
  <c r="C667" i="3"/>
  <c r="C1762" i="3" s="1"/>
  <c r="B667" i="3"/>
  <c r="B1762" i="3" s="1"/>
  <c r="A667" i="3"/>
  <c r="A1762" i="3" s="1"/>
  <c r="O666" i="3"/>
  <c r="N666" i="3"/>
  <c r="M666" i="3"/>
  <c r="L666" i="3"/>
  <c r="K666" i="3"/>
  <c r="E666" i="3"/>
  <c r="E1761" i="3" s="1"/>
  <c r="D666" i="3"/>
  <c r="D1761" i="3" s="1"/>
  <c r="C666" i="3"/>
  <c r="C1761" i="3" s="1"/>
  <c r="B666" i="3"/>
  <c r="B1761" i="3" s="1"/>
  <c r="A666" i="3"/>
  <c r="A1761" i="3" s="1"/>
  <c r="O665" i="3"/>
  <c r="N665" i="3"/>
  <c r="M665" i="3"/>
  <c r="L665" i="3"/>
  <c r="K665" i="3"/>
  <c r="E665" i="3"/>
  <c r="E1760" i="3" s="1"/>
  <c r="D665" i="3"/>
  <c r="D1760" i="3" s="1"/>
  <c r="C665" i="3"/>
  <c r="C1760" i="3" s="1"/>
  <c r="B665" i="3"/>
  <c r="B1760" i="3" s="1"/>
  <c r="A665" i="3"/>
  <c r="A1760" i="3" s="1"/>
  <c r="O664" i="3"/>
  <c r="N664" i="3"/>
  <c r="M664" i="3"/>
  <c r="L664" i="3"/>
  <c r="K664" i="3"/>
  <c r="E664" i="3"/>
  <c r="E1759" i="3" s="1"/>
  <c r="D664" i="3"/>
  <c r="D1759" i="3" s="1"/>
  <c r="C664" i="3"/>
  <c r="C1759" i="3" s="1"/>
  <c r="B664" i="3"/>
  <c r="B1759" i="3" s="1"/>
  <c r="A664" i="3"/>
  <c r="A1759" i="3" s="1"/>
  <c r="O663" i="3"/>
  <c r="N663" i="3"/>
  <c r="M663" i="3"/>
  <c r="L663" i="3"/>
  <c r="K663" i="3"/>
  <c r="E663" i="3"/>
  <c r="B663" i="3"/>
  <c r="A663" i="3"/>
  <c r="O662" i="3"/>
  <c r="N662" i="3"/>
  <c r="M662" i="3"/>
  <c r="L662" i="3"/>
  <c r="K662" i="3"/>
  <c r="E662" i="3"/>
  <c r="B662" i="3"/>
  <c r="A662" i="3"/>
  <c r="O661" i="3"/>
  <c r="N661" i="3"/>
  <c r="M661" i="3"/>
  <c r="L661" i="3"/>
  <c r="K661" i="3"/>
  <c r="E661" i="3"/>
  <c r="E1758" i="3" s="1"/>
  <c r="D661" i="3"/>
  <c r="D1758" i="3" s="1"/>
  <c r="C661" i="3"/>
  <c r="C1758" i="3" s="1"/>
  <c r="B661" i="3"/>
  <c r="B1758" i="3" s="1"/>
  <c r="A661" i="3"/>
  <c r="A1758" i="3" s="1"/>
  <c r="O660" i="3"/>
  <c r="N660" i="3"/>
  <c r="M660" i="3"/>
  <c r="L660" i="3"/>
  <c r="K660" i="3"/>
  <c r="E660" i="3"/>
  <c r="E1757" i="3" s="1"/>
  <c r="D660" i="3"/>
  <c r="D1757" i="3" s="1"/>
  <c r="C660" i="3"/>
  <c r="C1757" i="3" s="1"/>
  <c r="B660" i="3"/>
  <c r="B1757" i="3" s="1"/>
  <c r="A660" i="3"/>
  <c r="A1757" i="3" s="1"/>
  <c r="O659" i="3"/>
  <c r="N659" i="3"/>
  <c r="M659" i="3"/>
  <c r="L659" i="3"/>
  <c r="K659" i="3"/>
  <c r="E659" i="3"/>
  <c r="E1756" i="3" s="1"/>
  <c r="D659" i="3"/>
  <c r="D1756" i="3" s="1"/>
  <c r="C659" i="3"/>
  <c r="C1756" i="3" s="1"/>
  <c r="B659" i="3"/>
  <c r="B1756" i="3" s="1"/>
  <c r="A659" i="3"/>
  <c r="A1756" i="3" s="1"/>
  <c r="O658" i="3"/>
  <c r="N658" i="3"/>
  <c r="M658" i="3"/>
  <c r="L658" i="3"/>
  <c r="K658" i="3"/>
  <c r="E658" i="3"/>
  <c r="E1755" i="3" s="1"/>
  <c r="D658" i="3"/>
  <c r="D1755" i="3" s="1"/>
  <c r="C658" i="3"/>
  <c r="C1755" i="3" s="1"/>
  <c r="B658" i="3"/>
  <c r="B1755" i="3" s="1"/>
  <c r="A658" i="3"/>
  <c r="A1755" i="3" s="1"/>
  <c r="O657" i="3"/>
  <c r="N657" i="3"/>
  <c r="M657" i="3"/>
  <c r="L657" i="3"/>
  <c r="K657" i="3"/>
  <c r="E657" i="3"/>
  <c r="E1754" i="3" s="1"/>
  <c r="D657" i="3"/>
  <c r="D1754" i="3" s="1"/>
  <c r="C657" i="3"/>
  <c r="C1754" i="3" s="1"/>
  <c r="B657" i="3"/>
  <c r="B1754" i="3" s="1"/>
  <c r="A657" i="3"/>
  <c r="A1754" i="3" s="1"/>
  <c r="O656" i="3"/>
  <c r="N656" i="3"/>
  <c r="M656" i="3"/>
  <c r="L656" i="3"/>
  <c r="K656" i="3"/>
  <c r="E656" i="3"/>
  <c r="B656" i="3"/>
  <c r="A656" i="3"/>
  <c r="O655" i="3"/>
  <c r="N655" i="3"/>
  <c r="M655" i="3"/>
  <c r="L655" i="3"/>
  <c r="K655" i="3"/>
  <c r="E655" i="3"/>
  <c r="E1753" i="3" s="1"/>
  <c r="D655" i="3"/>
  <c r="D1753" i="3" s="1"/>
  <c r="C655" i="3"/>
  <c r="C1753" i="3" s="1"/>
  <c r="B655" i="3"/>
  <c r="B1753" i="3" s="1"/>
  <c r="A655" i="3"/>
  <c r="A1753" i="3" s="1"/>
  <c r="O654" i="3"/>
  <c r="N654" i="3"/>
  <c r="M654" i="3"/>
  <c r="L654" i="3"/>
  <c r="K654" i="3"/>
  <c r="E654" i="3"/>
  <c r="E1752" i="3" s="1"/>
  <c r="D654" i="3"/>
  <c r="D1752" i="3" s="1"/>
  <c r="C654" i="3"/>
  <c r="C1752" i="3" s="1"/>
  <c r="B654" i="3"/>
  <c r="B1752" i="3" s="1"/>
  <c r="A654" i="3"/>
  <c r="A1752" i="3" s="1"/>
  <c r="O653" i="3"/>
  <c r="N653" i="3"/>
  <c r="M653" i="3"/>
  <c r="L653" i="3"/>
  <c r="K653" i="3"/>
  <c r="E653" i="3"/>
  <c r="E1751" i="3" s="1"/>
  <c r="D653" i="3"/>
  <c r="D1751" i="3" s="1"/>
  <c r="C653" i="3"/>
  <c r="C1751" i="3" s="1"/>
  <c r="B653" i="3"/>
  <c r="B1751" i="3" s="1"/>
  <c r="A653" i="3"/>
  <c r="A1751" i="3" s="1"/>
  <c r="O652" i="3"/>
  <c r="N652" i="3"/>
  <c r="M652" i="3"/>
  <c r="L652" i="3"/>
  <c r="K652" i="3"/>
  <c r="E652" i="3"/>
  <c r="E1750" i="3" s="1"/>
  <c r="D652" i="3"/>
  <c r="D1750" i="3" s="1"/>
  <c r="C652" i="3"/>
  <c r="C1750" i="3" s="1"/>
  <c r="B652" i="3"/>
  <c r="B1750" i="3" s="1"/>
  <c r="A652" i="3"/>
  <c r="A1750" i="3" s="1"/>
  <c r="O651" i="3"/>
  <c r="N651" i="3"/>
  <c r="M651" i="3"/>
  <c r="L651" i="3"/>
  <c r="K651" i="3"/>
  <c r="E651" i="3"/>
  <c r="E1749" i="3" s="1"/>
  <c r="D651" i="3"/>
  <c r="D1749" i="3" s="1"/>
  <c r="C651" i="3"/>
  <c r="C1749" i="3" s="1"/>
  <c r="B651" i="3"/>
  <c r="B1749" i="3" s="1"/>
  <c r="A651" i="3"/>
  <c r="A1749" i="3" s="1"/>
  <c r="O650" i="3"/>
  <c r="N650" i="3"/>
  <c r="M650" i="3"/>
  <c r="L650" i="3"/>
  <c r="K650" i="3"/>
  <c r="E650" i="3"/>
  <c r="E1748" i="3" s="1"/>
  <c r="D650" i="3"/>
  <c r="D1748" i="3" s="1"/>
  <c r="C650" i="3"/>
  <c r="C1748" i="3" s="1"/>
  <c r="B650" i="3"/>
  <c r="B1748" i="3" s="1"/>
  <c r="A650" i="3"/>
  <c r="A1748" i="3" s="1"/>
  <c r="O649" i="3"/>
  <c r="N649" i="3"/>
  <c r="M649" i="3"/>
  <c r="L649" i="3"/>
  <c r="K649" i="3"/>
  <c r="E649" i="3"/>
  <c r="E1747" i="3" s="1"/>
  <c r="D649" i="3"/>
  <c r="D1747" i="3" s="1"/>
  <c r="C649" i="3"/>
  <c r="C1747" i="3" s="1"/>
  <c r="B649" i="3"/>
  <c r="B1747" i="3" s="1"/>
  <c r="A649" i="3"/>
  <c r="A1747" i="3" s="1"/>
  <c r="O648" i="3"/>
  <c r="N648" i="3"/>
  <c r="M648" i="3"/>
  <c r="L648" i="3"/>
  <c r="K648" i="3"/>
  <c r="E648" i="3"/>
  <c r="E1746" i="3" s="1"/>
  <c r="D648" i="3"/>
  <c r="D1746" i="3" s="1"/>
  <c r="C648" i="3"/>
  <c r="C1746" i="3" s="1"/>
  <c r="B648" i="3"/>
  <c r="B1746" i="3" s="1"/>
  <c r="A648" i="3"/>
  <c r="A1746" i="3" s="1"/>
  <c r="O647" i="3"/>
  <c r="N647" i="3"/>
  <c r="M647" i="3"/>
  <c r="L647" i="3"/>
  <c r="K647" i="3"/>
  <c r="E647" i="3"/>
  <c r="E1745" i="3" s="1"/>
  <c r="D647" i="3"/>
  <c r="D1745" i="3" s="1"/>
  <c r="C647" i="3"/>
  <c r="C1745" i="3" s="1"/>
  <c r="B647" i="3"/>
  <c r="B1745" i="3" s="1"/>
  <c r="A647" i="3"/>
  <c r="A1745" i="3" s="1"/>
  <c r="O646" i="3"/>
  <c r="N646" i="3"/>
  <c r="M646" i="3"/>
  <c r="L646" i="3"/>
  <c r="K646" i="3"/>
  <c r="E646" i="3"/>
  <c r="E1744" i="3" s="1"/>
  <c r="D646" i="3"/>
  <c r="D1744" i="3" s="1"/>
  <c r="C646" i="3"/>
  <c r="C1744" i="3" s="1"/>
  <c r="B646" i="3"/>
  <c r="B1744" i="3" s="1"/>
  <c r="A646" i="3"/>
  <c r="A1744" i="3" s="1"/>
  <c r="O645" i="3"/>
  <c r="N645" i="3"/>
  <c r="M645" i="3"/>
  <c r="L645" i="3"/>
  <c r="K645" i="3"/>
  <c r="E645" i="3"/>
  <c r="E1743" i="3" s="1"/>
  <c r="D645" i="3"/>
  <c r="D1743" i="3" s="1"/>
  <c r="C645" i="3"/>
  <c r="C1743" i="3" s="1"/>
  <c r="B645" i="3"/>
  <c r="B1743" i="3" s="1"/>
  <c r="A645" i="3"/>
  <c r="A1743" i="3" s="1"/>
  <c r="O644" i="3"/>
  <c r="N644" i="3"/>
  <c r="M644" i="3"/>
  <c r="L644" i="3"/>
  <c r="K644" i="3"/>
  <c r="E644" i="3"/>
  <c r="E1742" i="3" s="1"/>
  <c r="D644" i="3"/>
  <c r="D1742" i="3" s="1"/>
  <c r="C644" i="3"/>
  <c r="C1742" i="3" s="1"/>
  <c r="B644" i="3"/>
  <c r="B1742" i="3" s="1"/>
  <c r="A644" i="3"/>
  <c r="A1742" i="3" s="1"/>
  <c r="O643" i="3"/>
  <c r="N643" i="3"/>
  <c r="M643" i="3"/>
  <c r="L643" i="3"/>
  <c r="K643" i="3"/>
  <c r="E643" i="3"/>
  <c r="E1741" i="3" s="1"/>
  <c r="D643" i="3"/>
  <c r="D1741" i="3" s="1"/>
  <c r="C643" i="3"/>
  <c r="C1741" i="3" s="1"/>
  <c r="B643" i="3"/>
  <c r="B1741" i="3" s="1"/>
  <c r="A643" i="3"/>
  <c r="A1741" i="3" s="1"/>
  <c r="O642" i="3"/>
  <c r="N642" i="3"/>
  <c r="M642" i="3"/>
  <c r="L642" i="3"/>
  <c r="K642" i="3"/>
  <c r="E642" i="3"/>
  <c r="E1740" i="3" s="1"/>
  <c r="D642" i="3"/>
  <c r="D1740" i="3" s="1"/>
  <c r="C642" i="3"/>
  <c r="C1740" i="3" s="1"/>
  <c r="B642" i="3"/>
  <c r="B1740" i="3" s="1"/>
  <c r="A642" i="3"/>
  <c r="A1740" i="3" s="1"/>
  <c r="O641" i="3"/>
  <c r="N641" i="3"/>
  <c r="M641" i="3"/>
  <c r="L641" i="3"/>
  <c r="K641" i="3"/>
  <c r="E641" i="3"/>
  <c r="E1739" i="3" s="1"/>
  <c r="D641" i="3"/>
  <c r="D1739" i="3" s="1"/>
  <c r="C641" i="3"/>
  <c r="C1739" i="3" s="1"/>
  <c r="B641" i="3"/>
  <c r="B1739" i="3" s="1"/>
  <c r="A641" i="3"/>
  <c r="A1739" i="3" s="1"/>
  <c r="O640" i="3"/>
  <c r="N640" i="3"/>
  <c r="M640" i="3"/>
  <c r="L640" i="3"/>
  <c r="K640" i="3"/>
  <c r="E640" i="3"/>
  <c r="B640" i="3"/>
  <c r="A640" i="3"/>
  <c r="O639" i="3"/>
  <c r="N639" i="3"/>
  <c r="M639" i="3"/>
  <c r="L639" i="3"/>
  <c r="K639" i="3"/>
  <c r="E639" i="3"/>
  <c r="B639" i="3"/>
  <c r="A639" i="3"/>
  <c r="O638" i="3"/>
  <c r="N638" i="3"/>
  <c r="M638" i="3"/>
  <c r="L638" i="3"/>
  <c r="K638" i="3"/>
  <c r="E638" i="3"/>
  <c r="B638" i="3"/>
  <c r="A638" i="3"/>
  <c r="O637" i="3"/>
  <c r="N637" i="3"/>
  <c r="M637" i="3"/>
  <c r="L637" i="3"/>
  <c r="K637" i="3"/>
  <c r="E637" i="3"/>
  <c r="E1738" i="3" s="1"/>
  <c r="D637" i="3"/>
  <c r="D1738" i="3" s="1"/>
  <c r="C637" i="3"/>
  <c r="C1738" i="3" s="1"/>
  <c r="B637" i="3"/>
  <c r="B1738" i="3" s="1"/>
  <c r="A637" i="3"/>
  <c r="A1738" i="3" s="1"/>
  <c r="O636" i="3"/>
  <c r="N636" i="3"/>
  <c r="M636" i="3"/>
  <c r="L636" i="3"/>
  <c r="K636" i="3"/>
  <c r="E636" i="3"/>
  <c r="E1737" i="3" s="1"/>
  <c r="D636" i="3"/>
  <c r="D1737" i="3" s="1"/>
  <c r="C636" i="3"/>
  <c r="C1737" i="3" s="1"/>
  <c r="B636" i="3"/>
  <c r="B1737" i="3" s="1"/>
  <c r="A636" i="3"/>
  <c r="A1737" i="3" s="1"/>
  <c r="O635" i="3"/>
  <c r="N635" i="3"/>
  <c r="M635" i="3"/>
  <c r="L635" i="3"/>
  <c r="K635" i="3"/>
  <c r="E635" i="3"/>
  <c r="E1736" i="3" s="1"/>
  <c r="D635" i="3"/>
  <c r="D1736" i="3" s="1"/>
  <c r="C635" i="3"/>
  <c r="C1736" i="3" s="1"/>
  <c r="B635" i="3"/>
  <c r="B1736" i="3" s="1"/>
  <c r="A635" i="3"/>
  <c r="A1736" i="3" s="1"/>
  <c r="O634" i="3"/>
  <c r="N634" i="3"/>
  <c r="M634" i="3"/>
  <c r="L634" i="3"/>
  <c r="K634" i="3"/>
  <c r="E634" i="3"/>
  <c r="E1735" i="3" s="1"/>
  <c r="D634" i="3"/>
  <c r="D1735" i="3" s="1"/>
  <c r="C634" i="3"/>
  <c r="C1735" i="3" s="1"/>
  <c r="B634" i="3"/>
  <c r="B1735" i="3" s="1"/>
  <c r="A634" i="3"/>
  <c r="A1735" i="3" s="1"/>
  <c r="O633" i="3"/>
  <c r="N633" i="3"/>
  <c r="M633" i="3"/>
  <c r="L633" i="3"/>
  <c r="K633" i="3"/>
  <c r="E633" i="3"/>
  <c r="E1734" i="3" s="1"/>
  <c r="D633" i="3"/>
  <c r="D1734" i="3" s="1"/>
  <c r="C633" i="3"/>
  <c r="C1734" i="3" s="1"/>
  <c r="B633" i="3"/>
  <c r="B1734" i="3" s="1"/>
  <c r="A633" i="3"/>
  <c r="A1734" i="3" s="1"/>
  <c r="O632" i="3"/>
  <c r="N632" i="3"/>
  <c r="M632" i="3"/>
  <c r="L632" i="3"/>
  <c r="K632" i="3"/>
  <c r="E632" i="3"/>
  <c r="E1733" i="3" s="1"/>
  <c r="D632" i="3"/>
  <c r="D1733" i="3" s="1"/>
  <c r="C632" i="3"/>
  <c r="C1733" i="3" s="1"/>
  <c r="B632" i="3"/>
  <c r="B1733" i="3" s="1"/>
  <c r="A632" i="3"/>
  <c r="A1733" i="3" s="1"/>
  <c r="O631" i="3"/>
  <c r="N631" i="3"/>
  <c r="M631" i="3"/>
  <c r="L631" i="3"/>
  <c r="K631" i="3"/>
  <c r="E631" i="3"/>
  <c r="E1732" i="3" s="1"/>
  <c r="D631" i="3"/>
  <c r="D1732" i="3" s="1"/>
  <c r="C631" i="3"/>
  <c r="C1732" i="3" s="1"/>
  <c r="B631" i="3"/>
  <c r="B1732" i="3" s="1"/>
  <c r="A631" i="3"/>
  <c r="A1732" i="3" s="1"/>
  <c r="O630" i="3"/>
  <c r="N630" i="3"/>
  <c r="M630" i="3"/>
  <c r="L630" i="3"/>
  <c r="K630" i="3"/>
  <c r="E630" i="3"/>
  <c r="E1731" i="3" s="1"/>
  <c r="D630" i="3"/>
  <c r="D1731" i="3" s="1"/>
  <c r="C630" i="3"/>
  <c r="C1731" i="3" s="1"/>
  <c r="B630" i="3"/>
  <c r="B1731" i="3" s="1"/>
  <c r="A630" i="3"/>
  <c r="A1731" i="3" s="1"/>
  <c r="O629" i="3"/>
  <c r="N629" i="3"/>
  <c r="M629" i="3"/>
  <c r="L629" i="3"/>
  <c r="K629" i="3"/>
  <c r="E629" i="3"/>
  <c r="E1730" i="3" s="1"/>
  <c r="D629" i="3"/>
  <c r="D1730" i="3" s="1"/>
  <c r="C629" i="3"/>
  <c r="C1730" i="3" s="1"/>
  <c r="B629" i="3"/>
  <c r="B1730" i="3" s="1"/>
  <c r="A629" i="3"/>
  <c r="A1730" i="3" s="1"/>
  <c r="O628" i="3"/>
  <c r="N628" i="3"/>
  <c r="M628" i="3"/>
  <c r="L628" i="3"/>
  <c r="K628" i="3"/>
  <c r="E628" i="3"/>
  <c r="E1729" i="3" s="1"/>
  <c r="D628" i="3"/>
  <c r="D1729" i="3" s="1"/>
  <c r="C628" i="3"/>
  <c r="C1729" i="3" s="1"/>
  <c r="B628" i="3"/>
  <c r="B1729" i="3" s="1"/>
  <c r="A628" i="3"/>
  <c r="A1729" i="3" s="1"/>
  <c r="O627" i="3"/>
  <c r="N627" i="3"/>
  <c r="M627" i="3"/>
  <c r="L627" i="3"/>
  <c r="K627" i="3"/>
  <c r="E627" i="3"/>
  <c r="E1728" i="3" s="1"/>
  <c r="D627" i="3"/>
  <c r="D1728" i="3" s="1"/>
  <c r="C627" i="3"/>
  <c r="C1728" i="3" s="1"/>
  <c r="B627" i="3"/>
  <c r="B1728" i="3" s="1"/>
  <c r="A627" i="3"/>
  <c r="A1728" i="3" s="1"/>
  <c r="O626" i="3"/>
  <c r="N626" i="3"/>
  <c r="M626" i="3"/>
  <c r="L626" i="3"/>
  <c r="K626" i="3"/>
  <c r="E626" i="3"/>
  <c r="E1727" i="3" s="1"/>
  <c r="D626" i="3"/>
  <c r="D1727" i="3" s="1"/>
  <c r="C626" i="3"/>
  <c r="C1727" i="3" s="1"/>
  <c r="B626" i="3"/>
  <c r="B1727" i="3" s="1"/>
  <c r="A626" i="3"/>
  <c r="A1727" i="3" s="1"/>
  <c r="O625" i="3"/>
  <c r="N625" i="3"/>
  <c r="M625" i="3"/>
  <c r="L625" i="3"/>
  <c r="K625" i="3"/>
  <c r="E625" i="3"/>
  <c r="E1726" i="3" s="1"/>
  <c r="D625" i="3"/>
  <c r="D1726" i="3" s="1"/>
  <c r="C625" i="3"/>
  <c r="C1726" i="3" s="1"/>
  <c r="B625" i="3"/>
  <c r="B1726" i="3" s="1"/>
  <c r="A625" i="3"/>
  <c r="A1726" i="3" s="1"/>
  <c r="O624" i="3"/>
  <c r="N624" i="3"/>
  <c r="M624" i="3"/>
  <c r="L624" i="3"/>
  <c r="K624" i="3"/>
  <c r="E624" i="3"/>
  <c r="E1725" i="3" s="1"/>
  <c r="D624" i="3"/>
  <c r="D1725" i="3" s="1"/>
  <c r="C624" i="3"/>
  <c r="C1725" i="3" s="1"/>
  <c r="B624" i="3"/>
  <c r="B1725" i="3" s="1"/>
  <c r="A624" i="3"/>
  <c r="A1725" i="3" s="1"/>
  <c r="O623" i="3"/>
  <c r="N623" i="3"/>
  <c r="M623" i="3"/>
  <c r="L623" i="3"/>
  <c r="K623" i="3"/>
  <c r="E623" i="3"/>
  <c r="E1724" i="3" s="1"/>
  <c r="D623" i="3"/>
  <c r="D1724" i="3" s="1"/>
  <c r="C623" i="3"/>
  <c r="C1724" i="3" s="1"/>
  <c r="B623" i="3"/>
  <c r="B1724" i="3" s="1"/>
  <c r="A623" i="3"/>
  <c r="A1724" i="3" s="1"/>
  <c r="O622" i="3"/>
  <c r="N622" i="3"/>
  <c r="M622" i="3"/>
  <c r="L622" i="3"/>
  <c r="K622" i="3"/>
  <c r="E622" i="3"/>
  <c r="E1723" i="3" s="1"/>
  <c r="D622" i="3"/>
  <c r="D1723" i="3" s="1"/>
  <c r="C622" i="3"/>
  <c r="C1723" i="3" s="1"/>
  <c r="B622" i="3"/>
  <c r="B1723" i="3" s="1"/>
  <c r="A622" i="3"/>
  <c r="A1723" i="3" s="1"/>
  <c r="O621" i="3"/>
  <c r="N621" i="3"/>
  <c r="M621" i="3"/>
  <c r="L621" i="3"/>
  <c r="K621" i="3"/>
  <c r="E621" i="3"/>
  <c r="E1722" i="3" s="1"/>
  <c r="D621" i="3"/>
  <c r="D1722" i="3" s="1"/>
  <c r="C621" i="3"/>
  <c r="C1722" i="3" s="1"/>
  <c r="B621" i="3"/>
  <c r="B1722" i="3" s="1"/>
  <c r="A621" i="3"/>
  <c r="A1722" i="3" s="1"/>
  <c r="O620" i="3"/>
  <c r="N620" i="3"/>
  <c r="M620" i="3"/>
  <c r="L620" i="3"/>
  <c r="K620" i="3"/>
  <c r="E620" i="3"/>
  <c r="E1721" i="3" s="1"/>
  <c r="D620" i="3"/>
  <c r="D1721" i="3" s="1"/>
  <c r="C620" i="3"/>
  <c r="C1721" i="3" s="1"/>
  <c r="B620" i="3"/>
  <c r="B1721" i="3" s="1"/>
  <c r="A620" i="3"/>
  <c r="A1721" i="3" s="1"/>
  <c r="O619" i="3"/>
  <c r="N619" i="3"/>
  <c r="M619" i="3"/>
  <c r="L619" i="3"/>
  <c r="K619" i="3"/>
  <c r="E619" i="3"/>
  <c r="E1720" i="3" s="1"/>
  <c r="D619" i="3"/>
  <c r="D1720" i="3" s="1"/>
  <c r="C619" i="3"/>
  <c r="C1720" i="3" s="1"/>
  <c r="B619" i="3"/>
  <c r="B1720" i="3" s="1"/>
  <c r="A619" i="3"/>
  <c r="A1720" i="3" s="1"/>
  <c r="O618" i="3"/>
  <c r="N618" i="3"/>
  <c r="M618" i="3"/>
  <c r="L618" i="3"/>
  <c r="K618" i="3"/>
  <c r="E618" i="3"/>
  <c r="E1719" i="3" s="1"/>
  <c r="D618" i="3"/>
  <c r="D1719" i="3" s="1"/>
  <c r="C618" i="3"/>
  <c r="C1719" i="3" s="1"/>
  <c r="B618" i="3"/>
  <c r="B1719" i="3" s="1"/>
  <c r="A618" i="3"/>
  <c r="A1719" i="3" s="1"/>
  <c r="O617" i="3"/>
  <c r="N617" i="3"/>
  <c r="M617" i="3"/>
  <c r="L617" i="3"/>
  <c r="K617" i="3"/>
  <c r="E617" i="3"/>
  <c r="E1718" i="3" s="1"/>
  <c r="D617" i="3"/>
  <c r="D1718" i="3" s="1"/>
  <c r="C617" i="3"/>
  <c r="C1718" i="3" s="1"/>
  <c r="B617" i="3"/>
  <c r="B1718" i="3" s="1"/>
  <c r="A617" i="3"/>
  <c r="A1718" i="3" s="1"/>
  <c r="O616" i="3"/>
  <c r="N616" i="3"/>
  <c r="M616" i="3"/>
  <c r="L616" i="3"/>
  <c r="K616" i="3"/>
  <c r="E616" i="3"/>
  <c r="E1717" i="3" s="1"/>
  <c r="D616" i="3"/>
  <c r="D1717" i="3" s="1"/>
  <c r="C616" i="3"/>
  <c r="C1717" i="3" s="1"/>
  <c r="B616" i="3"/>
  <c r="B1717" i="3" s="1"/>
  <c r="A616" i="3"/>
  <c r="A1717" i="3" s="1"/>
  <c r="O615" i="3"/>
  <c r="N615" i="3"/>
  <c r="M615" i="3"/>
  <c r="L615" i="3"/>
  <c r="K615" i="3"/>
  <c r="E615" i="3"/>
  <c r="E1716" i="3" s="1"/>
  <c r="D615" i="3"/>
  <c r="D1716" i="3" s="1"/>
  <c r="C615" i="3"/>
  <c r="C1716" i="3" s="1"/>
  <c r="B615" i="3"/>
  <c r="B1716" i="3" s="1"/>
  <c r="A615" i="3"/>
  <c r="A1716" i="3" s="1"/>
  <c r="O614" i="3"/>
  <c r="N614" i="3"/>
  <c r="M614" i="3"/>
  <c r="L614" i="3"/>
  <c r="K614" i="3"/>
  <c r="E614" i="3"/>
  <c r="E1715" i="3" s="1"/>
  <c r="D614" i="3"/>
  <c r="D1715" i="3" s="1"/>
  <c r="C614" i="3"/>
  <c r="C1715" i="3" s="1"/>
  <c r="B614" i="3"/>
  <c r="B1715" i="3" s="1"/>
  <c r="A614" i="3"/>
  <c r="A1715" i="3" s="1"/>
  <c r="O613" i="3"/>
  <c r="N613" i="3"/>
  <c r="M613" i="3"/>
  <c r="L613" i="3"/>
  <c r="K613" i="3"/>
  <c r="E613" i="3"/>
  <c r="E1714" i="3" s="1"/>
  <c r="D613" i="3"/>
  <c r="D1714" i="3" s="1"/>
  <c r="C613" i="3"/>
  <c r="C1714" i="3" s="1"/>
  <c r="B613" i="3"/>
  <c r="B1714" i="3" s="1"/>
  <c r="A613" i="3"/>
  <c r="A1714" i="3" s="1"/>
  <c r="O612" i="3"/>
  <c r="N612" i="3"/>
  <c r="M612" i="3"/>
  <c r="L612" i="3"/>
  <c r="K612" i="3"/>
  <c r="E612" i="3"/>
  <c r="E1713" i="3" s="1"/>
  <c r="D612" i="3"/>
  <c r="D1713" i="3" s="1"/>
  <c r="C612" i="3"/>
  <c r="C1713" i="3" s="1"/>
  <c r="B612" i="3"/>
  <c r="B1713" i="3" s="1"/>
  <c r="A612" i="3"/>
  <c r="A1713" i="3" s="1"/>
  <c r="O611" i="3"/>
  <c r="N611" i="3"/>
  <c r="M611" i="3"/>
  <c r="L611" i="3"/>
  <c r="K611" i="3"/>
  <c r="E611" i="3"/>
  <c r="E1712" i="3" s="1"/>
  <c r="D611" i="3"/>
  <c r="D1712" i="3" s="1"/>
  <c r="C611" i="3"/>
  <c r="C1712" i="3" s="1"/>
  <c r="B611" i="3"/>
  <c r="B1712" i="3" s="1"/>
  <c r="A611" i="3"/>
  <c r="A1712" i="3" s="1"/>
  <c r="O610" i="3"/>
  <c r="N610" i="3"/>
  <c r="M610" i="3"/>
  <c r="L610" i="3"/>
  <c r="K610" i="3"/>
  <c r="E610" i="3"/>
  <c r="E1711" i="3" s="1"/>
  <c r="D610" i="3"/>
  <c r="D1711" i="3" s="1"/>
  <c r="C610" i="3"/>
  <c r="C1711" i="3" s="1"/>
  <c r="B610" i="3"/>
  <c r="B1711" i="3" s="1"/>
  <c r="A610" i="3"/>
  <c r="A1711" i="3" s="1"/>
  <c r="O609" i="3"/>
  <c r="N609" i="3"/>
  <c r="M609" i="3"/>
  <c r="L609" i="3"/>
  <c r="K609" i="3"/>
  <c r="E609" i="3"/>
  <c r="E1710" i="3" s="1"/>
  <c r="D609" i="3"/>
  <c r="D1710" i="3" s="1"/>
  <c r="C609" i="3"/>
  <c r="C1710" i="3" s="1"/>
  <c r="B609" i="3"/>
  <c r="B1710" i="3" s="1"/>
  <c r="A609" i="3"/>
  <c r="A1710" i="3" s="1"/>
  <c r="O608" i="3"/>
  <c r="N608" i="3"/>
  <c r="M608" i="3"/>
  <c r="L608" i="3"/>
  <c r="K608" i="3"/>
  <c r="E608" i="3"/>
  <c r="E1709" i="3" s="1"/>
  <c r="D608" i="3"/>
  <c r="D1709" i="3" s="1"/>
  <c r="C608" i="3"/>
  <c r="C1709" i="3" s="1"/>
  <c r="B608" i="3"/>
  <c r="B1709" i="3" s="1"/>
  <c r="A608" i="3"/>
  <c r="A1709" i="3" s="1"/>
  <c r="O607" i="3"/>
  <c r="N607" i="3"/>
  <c r="M607" i="3"/>
  <c r="L607" i="3"/>
  <c r="K607" i="3"/>
  <c r="E607" i="3"/>
  <c r="E1708" i="3" s="1"/>
  <c r="D607" i="3"/>
  <c r="D1708" i="3" s="1"/>
  <c r="C607" i="3"/>
  <c r="C1708" i="3" s="1"/>
  <c r="B607" i="3"/>
  <c r="B1708" i="3" s="1"/>
  <c r="A607" i="3"/>
  <c r="A1708" i="3" s="1"/>
  <c r="O606" i="3"/>
  <c r="N606" i="3"/>
  <c r="M606" i="3"/>
  <c r="L606" i="3"/>
  <c r="K606" i="3"/>
  <c r="E606" i="3"/>
  <c r="E1707" i="3" s="1"/>
  <c r="D606" i="3"/>
  <c r="D1707" i="3" s="1"/>
  <c r="C606" i="3"/>
  <c r="C1707" i="3" s="1"/>
  <c r="B606" i="3"/>
  <c r="B1707" i="3" s="1"/>
  <c r="A606" i="3"/>
  <c r="A1707" i="3" s="1"/>
  <c r="O605" i="3"/>
  <c r="N605" i="3"/>
  <c r="M605" i="3"/>
  <c r="L605" i="3"/>
  <c r="K605" i="3"/>
  <c r="E605" i="3"/>
  <c r="E1706" i="3" s="1"/>
  <c r="D605" i="3"/>
  <c r="D1706" i="3" s="1"/>
  <c r="C605" i="3"/>
  <c r="C1706" i="3" s="1"/>
  <c r="B605" i="3"/>
  <c r="B1706" i="3" s="1"/>
  <c r="A605" i="3"/>
  <c r="A1706" i="3" s="1"/>
  <c r="O604" i="3"/>
  <c r="N604" i="3"/>
  <c r="M604" i="3"/>
  <c r="L604" i="3"/>
  <c r="K604" i="3"/>
  <c r="E604" i="3"/>
  <c r="E1705" i="3" s="1"/>
  <c r="D604" i="3"/>
  <c r="D1705" i="3" s="1"/>
  <c r="C604" i="3"/>
  <c r="C1705" i="3" s="1"/>
  <c r="B604" i="3"/>
  <c r="B1705" i="3" s="1"/>
  <c r="A604" i="3"/>
  <c r="A1705" i="3" s="1"/>
  <c r="O603" i="3"/>
  <c r="N603" i="3"/>
  <c r="M603" i="3"/>
  <c r="L603" i="3"/>
  <c r="K603" i="3"/>
  <c r="E603" i="3"/>
  <c r="E1704" i="3" s="1"/>
  <c r="D603" i="3"/>
  <c r="D1704" i="3" s="1"/>
  <c r="C603" i="3"/>
  <c r="C1704" i="3" s="1"/>
  <c r="B603" i="3"/>
  <c r="B1704" i="3" s="1"/>
  <c r="A603" i="3"/>
  <c r="A1704" i="3" s="1"/>
  <c r="O602" i="3"/>
  <c r="N602" i="3"/>
  <c r="M602" i="3"/>
  <c r="L602" i="3"/>
  <c r="K602" i="3"/>
  <c r="E602" i="3"/>
  <c r="E1703" i="3" s="1"/>
  <c r="D602" i="3"/>
  <c r="D1703" i="3" s="1"/>
  <c r="C602" i="3"/>
  <c r="C1703" i="3" s="1"/>
  <c r="B602" i="3"/>
  <c r="B1703" i="3" s="1"/>
  <c r="A602" i="3"/>
  <c r="A1703" i="3" s="1"/>
  <c r="O601" i="3"/>
  <c r="N601" i="3"/>
  <c r="M601" i="3"/>
  <c r="L601" i="3"/>
  <c r="K601" i="3"/>
  <c r="E601" i="3"/>
  <c r="E1702" i="3" s="1"/>
  <c r="D601" i="3"/>
  <c r="D1702" i="3" s="1"/>
  <c r="C601" i="3"/>
  <c r="C1702" i="3" s="1"/>
  <c r="B601" i="3"/>
  <c r="B1702" i="3" s="1"/>
  <c r="A601" i="3"/>
  <c r="A1702" i="3" s="1"/>
  <c r="O600" i="3"/>
  <c r="N600" i="3"/>
  <c r="M600" i="3"/>
  <c r="L600" i="3"/>
  <c r="K600" i="3"/>
  <c r="E600" i="3"/>
  <c r="E1701" i="3" s="1"/>
  <c r="D600" i="3"/>
  <c r="D1701" i="3" s="1"/>
  <c r="C600" i="3"/>
  <c r="C1701" i="3" s="1"/>
  <c r="B600" i="3"/>
  <c r="B1701" i="3" s="1"/>
  <c r="A600" i="3"/>
  <c r="A1701" i="3" s="1"/>
  <c r="O599" i="3"/>
  <c r="N599" i="3"/>
  <c r="M599" i="3"/>
  <c r="L599" i="3"/>
  <c r="K599" i="3"/>
  <c r="E599" i="3"/>
  <c r="E1700" i="3" s="1"/>
  <c r="D599" i="3"/>
  <c r="D1700" i="3" s="1"/>
  <c r="C599" i="3"/>
  <c r="C1700" i="3" s="1"/>
  <c r="B599" i="3"/>
  <c r="B1700" i="3" s="1"/>
  <c r="A599" i="3"/>
  <c r="A1700" i="3" s="1"/>
  <c r="O598" i="3"/>
  <c r="N598" i="3"/>
  <c r="M598" i="3"/>
  <c r="L598" i="3"/>
  <c r="K598" i="3"/>
  <c r="E598" i="3"/>
  <c r="E1699" i="3" s="1"/>
  <c r="D598" i="3"/>
  <c r="D1699" i="3" s="1"/>
  <c r="C598" i="3"/>
  <c r="C1699" i="3" s="1"/>
  <c r="B598" i="3"/>
  <c r="B1699" i="3" s="1"/>
  <c r="A598" i="3"/>
  <c r="A1699" i="3" s="1"/>
  <c r="O597" i="3"/>
  <c r="N597" i="3"/>
  <c r="M597" i="3"/>
  <c r="L597" i="3"/>
  <c r="K597" i="3"/>
  <c r="E597" i="3"/>
  <c r="E1698" i="3" s="1"/>
  <c r="D597" i="3"/>
  <c r="D1698" i="3" s="1"/>
  <c r="C597" i="3"/>
  <c r="C1698" i="3" s="1"/>
  <c r="B597" i="3"/>
  <c r="B1698" i="3" s="1"/>
  <c r="A597" i="3"/>
  <c r="A1698" i="3" s="1"/>
  <c r="O596" i="3"/>
  <c r="N596" i="3"/>
  <c r="M596" i="3"/>
  <c r="L596" i="3"/>
  <c r="K596" i="3"/>
  <c r="E596" i="3"/>
  <c r="E1697" i="3" s="1"/>
  <c r="D596" i="3"/>
  <c r="D1697" i="3" s="1"/>
  <c r="C596" i="3"/>
  <c r="C1697" i="3" s="1"/>
  <c r="B596" i="3"/>
  <c r="B1697" i="3" s="1"/>
  <c r="A596" i="3"/>
  <c r="A1697" i="3" s="1"/>
  <c r="O595" i="3"/>
  <c r="N595" i="3"/>
  <c r="M595" i="3"/>
  <c r="L595" i="3"/>
  <c r="K595" i="3"/>
  <c r="E595" i="3"/>
  <c r="E1696" i="3" s="1"/>
  <c r="D595" i="3"/>
  <c r="D1696" i="3" s="1"/>
  <c r="C595" i="3"/>
  <c r="C1696" i="3" s="1"/>
  <c r="B595" i="3"/>
  <c r="B1696" i="3" s="1"/>
  <c r="A595" i="3"/>
  <c r="A1696" i="3" s="1"/>
  <c r="O594" i="3"/>
  <c r="N594" i="3"/>
  <c r="M594" i="3"/>
  <c r="L594" i="3"/>
  <c r="K594" i="3"/>
  <c r="E594" i="3"/>
  <c r="E1695" i="3" s="1"/>
  <c r="D594" i="3"/>
  <c r="D1695" i="3" s="1"/>
  <c r="C594" i="3"/>
  <c r="C1695" i="3" s="1"/>
  <c r="B594" i="3"/>
  <c r="B1695" i="3" s="1"/>
  <c r="A594" i="3"/>
  <c r="A1695" i="3" s="1"/>
  <c r="O593" i="3"/>
  <c r="N593" i="3"/>
  <c r="M593" i="3"/>
  <c r="L593" i="3"/>
  <c r="K593" i="3"/>
  <c r="E593" i="3"/>
  <c r="E1694" i="3" s="1"/>
  <c r="D593" i="3"/>
  <c r="D1694" i="3" s="1"/>
  <c r="C593" i="3"/>
  <c r="C1694" i="3" s="1"/>
  <c r="B593" i="3"/>
  <c r="B1694" i="3" s="1"/>
  <c r="A593" i="3"/>
  <c r="A1694" i="3" s="1"/>
  <c r="O592" i="3"/>
  <c r="N592" i="3"/>
  <c r="M592" i="3"/>
  <c r="L592" i="3"/>
  <c r="K592" i="3"/>
  <c r="E592" i="3"/>
  <c r="E1693" i="3" s="1"/>
  <c r="D592" i="3"/>
  <c r="D1693" i="3" s="1"/>
  <c r="C592" i="3"/>
  <c r="C1693" i="3" s="1"/>
  <c r="B592" i="3"/>
  <c r="B1693" i="3" s="1"/>
  <c r="A592" i="3"/>
  <c r="A1693" i="3" s="1"/>
  <c r="O591" i="3"/>
  <c r="N591" i="3"/>
  <c r="M591" i="3"/>
  <c r="L591" i="3"/>
  <c r="K591" i="3"/>
  <c r="E591" i="3"/>
  <c r="E1692" i="3" s="1"/>
  <c r="D591" i="3"/>
  <c r="D1692" i="3" s="1"/>
  <c r="C591" i="3"/>
  <c r="C1692" i="3" s="1"/>
  <c r="B591" i="3"/>
  <c r="B1692" i="3" s="1"/>
  <c r="A591" i="3"/>
  <c r="A1692" i="3" s="1"/>
  <c r="O590" i="3"/>
  <c r="N590" i="3"/>
  <c r="M590" i="3"/>
  <c r="L590" i="3"/>
  <c r="K590" i="3"/>
  <c r="E590" i="3"/>
  <c r="E1691" i="3" s="1"/>
  <c r="D590" i="3"/>
  <c r="D1691" i="3" s="1"/>
  <c r="C590" i="3"/>
  <c r="C1691" i="3" s="1"/>
  <c r="B590" i="3"/>
  <c r="B1691" i="3" s="1"/>
  <c r="A590" i="3"/>
  <c r="A1691" i="3" s="1"/>
  <c r="O589" i="3"/>
  <c r="N589" i="3"/>
  <c r="M589" i="3"/>
  <c r="L589" i="3"/>
  <c r="K589" i="3"/>
  <c r="E589" i="3"/>
  <c r="E1690" i="3" s="1"/>
  <c r="D589" i="3"/>
  <c r="D1690" i="3" s="1"/>
  <c r="C589" i="3"/>
  <c r="C1690" i="3" s="1"/>
  <c r="B589" i="3"/>
  <c r="B1690" i="3" s="1"/>
  <c r="A589" i="3"/>
  <c r="A1690" i="3" s="1"/>
  <c r="O588" i="3"/>
  <c r="N588" i="3"/>
  <c r="M588" i="3"/>
  <c r="L588" i="3"/>
  <c r="K588" i="3"/>
  <c r="E588" i="3"/>
  <c r="E1689" i="3" s="1"/>
  <c r="D588" i="3"/>
  <c r="D1689" i="3" s="1"/>
  <c r="C588" i="3"/>
  <c r="C1689" i="3" s="1"/>
  <c r="B588" i="3"/>
  <c r="B1689" i="3" s="1"/>
  <c r="A588" i="3"/>
  <c r="A1689" i="3" s="1"/>
  <c r="O587" i="3"/>
  <c r="N587" i="3"/>
  <c r="M587" i="3"/>
  <c r="L587" i="3"/>
  <c r="K587" i="3"/>
  <c r="E587" i="3"/>
  <c r="E1688" i="3" s="1"/>
  <c r="D587" i="3"/>
  <c r="D1688" i="3" s="1"/>
  <c r="C587" i="3"/>
  <c r="C1688" i="3" s="1"/>
  <c r="B587" i="3"/>
  <c r="B1688" i="3" s="1"/>
  <c r="A587" i="3"/>
  <c r="A1688" i="3" s="1"/>
  <c r="O586" i="3"/>
  <c r="N586" i="3"/>
  <c r="M586" i="3"/>
  <c r="L586" i="3"/>
  <c r="K586" i="3"/>
  <c r="E586" i="3"/>
  <c r="E1687" i="3" s="1"/>
  <c r="D586" i="3"/>
  <c r="D1687" i="3" s="1"/>
  <c r="C586" i="3"/>
  <c r="C1687" i="3" s="1"/>
  <c r="B586" i="3"/>
  <c r="B1687" i="3" s="1"/>
  <c r="A586" i="3"/>
  <c r="A1687" i="3" s="1"/>
  <c r="O585" i="3"/>
  <c r="N585" i="3"/>
  <c r="M585" i="3"/>
  <c r="L585" i="3"/>
  <c r="K585" i="3"/>
  <c r="E585" i="3"/>
  <c r="E1686" i="3" s="1"/>
  <c r="D585" i="3"/>
  <c r="D1686" i="3" s="1"/>
  <c r="C585" i="3"/>
  <c r="C1686" i="3" s="1"/>
  <c r="B585" i="3"/>
  <c r="B1686" i="3" s="1"/>
  <c r="A585" i="3"/>
  <c r="A1686" i="3" s="1"/>
  <c r="O584" i="3"/>
  <c r="N584" i="3"/>
  <c r="M584" i="3"/>
  <c r="L584" i="3"/>
  <c r="K584" i="3"/>
  <c r="E584" i="3"/>
  <c r="E1685" i="3" s="1"/>
  <c r="D584" i="3"/>
  <c r="D1685" i="3" s="1"/>
  <c r="C584" i="3"/>
  <c r="C1685" i="3" s="1"/>
  <c r="B584" i="3"/>
  <c r="B1685" i="3" s="1"/>
  <c r="A584" i="3"/>
  <c r="A1685" i="3" s="1"/>
  <c r="O583" i="3"/>
  <c r="N583" i="3"/>
  <c r="M583" i="3"/>
  <c r="L583" i="3"/>
  <c r="K583" i="3"/>
  <c r="E583" i="3"/>
  <c r="E1684" i="3" s="1"/>
  <c r="D583" i="3"/>
  <c r="D1684" i="3" s="1"/>
  <c r="C583" i="3"/>
  <c r="C1684" i="3" s="1"/>
  <c r="B583" i="3"/>
  <c r="B1684" i="3" s="1"/>
  <c r="A583" i="3"/>
  <c r="A1684" i="3" s="1"/>
  <c r="O582" i="3"/>
  <c r="N582" i="3"/>
  <c r="M582" i="3"/>
  <c r="L582" i="3"/>
  <c r="K582" i="3"/>
  <c r="E582" i="3"/>
  <c r="E1683" i="3" s="1"/>
  <c r="D582" i="3"/>
  <c r="D1683" i="3" s="1"/>
  <c r="C582" i="3"/>
  <c r="C1683" i="3" s="1"/>
  <c r="B582" i="3"/>
  <c r="B1683" i="3" s="1"/>
  <c r="A582" i="3"/>
  <c r="A1683" i="3" s="1"/>
  <c r="O581" i="3"/>
  <c r="N581" i="3"/>
  <c r="M581" i="3"/>
  <c r="L581" i="3"/>
  <c r="K581" i="3"/>
  <c r="E581" i="3"/>
  <c r="E1682" i="3" s="1"/>
  <c r="D581" i="3"/>
  <c r="D1682" i="3" s="1"/>
  <c r="C581" i="3"/>
  <c r="C1682" i="3" s="1"/>
  <c r="B581" i="3"/>
  <c r="B1682" i="3" s="1"/>
  <c r="A581" i="3"/>
  <c r="A1682" i="3" s="1"/>
  <c r="O580" i="3"/>
  <c r="N580" i="3"/>
  <c r="M580" i="3"/>
  <c r="L580" i="3"/>
  <c r="K580" i="3"/>
  <c r="E580" i="3"/>
  <c r="E1681" i="3" s="1"/>
  <c r="D580" i="3"/>
  <c r="D1681" i="3" s="1"/>
  <c r="C580" i="3"/>
  <c r="C1681" i="3" s="1"/>
  <c r="B580" i="3"/>
  <c r="B1681" i="3" s="1"/>
  <c r="A580" i="3"/>
  <c r="A1681" i="3" s="1"/>
  <c r="O579" i="3"/>
  <c r="N579" i="3"/>
  <c r="M579" i="3"/>
  <c r="L579" i="3"/>
  <c r="K579" i="3"/>
  <c r="E579" i="3"/>
  <c r="E1680" i="3" s="1"/>
  <c r="D579" i="3"/>
  <c r="D1680" i="3" s="1"/>
  <c r="C579" i="3"/>
  <c r="C1680" i="3" s="1"/>
  <c r="B579" i="3"/>
  <c r="B1680" i="3" s="1"/>
  <c r="A579" i="3"/>
  <c r="A1680" i="3" s="1"/>
  <c r="O578" i="3"/>
  <c r="N578" i="3"/>
  <c r="M578" i="3"/>
  <c r="L578" i="3"/>
  <c r="K578" i="3"/>
  <c r="E578" i="3"/>
  <c r="E1679" i="3" s="1"/>
  <c r="D578" i="3"/>
  <c r="D1679" i="3" s="1"/>
  <c r="C578" i="3"/>
  <c r="C1679" i="3" s="1"/>
  <c r="B578" i="3"/>
  <c r="B1679" i="3" s="1"/>
  <c r="A578" i="3"/>
  <c r="A1679" i="3" s="1"/>
  <c r="O577" i="3"/>
  <c r="N577" i="3"/>
  <c r="M577" i="3"/>
  <c r="L577" i="3"/>
  <c r="K577" i="3"/>
  <c r="E577" i="3"/>
  <c r="E1678" i="3" s="1"/>
  <c r="D577" i="3"/>
  <c r="D1678" i="3" s="1"/>
  <c r="C577" i="3"/>
  <c r="C1678" i="3" s="1"/>
  <c r="B577" i="3"/>
  <c r="B1678" i="3" s="1"/>
  <c r="A577" i="3"/>
  <c r="A1678" i="3" s="1"/>
  <c r="O576" i="3"/>
  <c r="N576" i="3"/>
  <c r="M576" i="3"/>
  <c r="L576" i="3"/>
  <c r="K576" i="3"/>
  <c r="E576" i="3"/>
  <c r="E1677" i="3" s="1"/>
  <c r="D576" i="3"/>
  <c r="D1677" i="3" s="1"/>
  <c r="C576" i="3"/>
  <c r="C1677" i="3" s="1"/>
  <c r="B576" i="3"/>
  <c r="B1677" i="3" s="1"/>
  <c r="A576" i="3"/>
  <c r="A1677" i="3" s="1"/>
  <c r="O575" i="3"/>
  <c r="N575" i="3"/>
  <c r="M575" i="3"/>
  <c r="L575" i="3"/>
  <c r="K575" i="3"/>
  <c r="E575" i="3"/>
  <c r="E1676" i="3" s="1"/>
  <c r="D575" i="3"/>
  <c r="D1676" i="3" s="1"/>
  <c r="C575" i="3"/>
  <c r="C1676" i="3" s="1"/>
  <c r="B575" i="3"/>
  <c r="B1676" i="3" s="1"/>
  <c r="A575" i="3"/>
  <c r="A1676" i="3" s="1"/>
  <c r="O574" i="3"/>
  <c r="N574" i="3"/>
  <c r="M574" i="3"/>
  <c r="L574" i="3"/>
  <c r="K574" i="3"/>
  <c r="E574" i="3"/>
  <c r="E1675" i="3" s="1"/>
  <c r="D574" i="3"/>
  <c r="D1675" i="3" s="1"/>
  <c r="C574" i="3"/>
  <c r="C1675" i="3" s="1"/>
  <c r="B574" i="3"/>
  <c r="B1675" i="3" s="1"/>
  <c r="A574" i="3"/>
  <c r="A1675" i="3" s="1"/>
  <c r="O573" i="3"/>
  <c r="N573" i="3"/>
  <c r="M573" i="3"/>
  <c r="L573" i="3"/>
  <c r="K573" i="3"/>
  <c r="E573" i="3"/>
  <c r="E1674" i="3" s="1"/>
  <c r="D573" i="3"/>
  <c r="D1674" i="3" s="1"/>
  <c r="C573" i="3"/>
  <c r="C1674" i="3" s="1"/>
  <c r="B573" i="3"/>
  <c r="B1674" i="3" s="1"/>
  <c r="A573" i="3"/>
  <c r="A1674" i="3" s="1"/>
  <c r="O572" i="3"/>
  <c r="N572" i="3"/>
  <c r="M572" i="3"/>
  <c r="L572" i="3"/>
  <c r="K572" i="3"/>
  <c r="E572" i="3"/>
  <c r="E1673" i="3" s="1"/>
  <c r="D572" i="3"/>
  <c r="D1673" i="3" s="1"/>
  <c r="C572" i="3"/>
  <c r="C1673" i="3" s="1"/>
  <c r="B572" i="3"/>
  <c r="B1673" i="3" s="1"/>
  <c r="A572" i="3"/>
  <c r="A1673" i="3" s="1"/>
  <c r="O571" i="3"/>
  <c r="N571" i="3"/>
  <c r="M571" i="3"/>
  <c r="L571" i="3"/>
  <c r="K571" i="3"/>
  <c r="E571" i="3"/>
  <c r="E1672" i="3" s="1"/>
  <c r="D571" i="3"/>
  <c r="D1672" i="3" s="1"/>
  <c r="C571" i="3"/>
  <c r="C1672" i="3" s="1"/>
  <c r="B571" i="3"/>
  <c r="B1672" i="3" s="1"/>
  <c r="A571" i="3"/>
  <c r="A1672" i="3" s="1"/>
  <c r="O570" i="3"/>
  <c r="N570" i="3"/>
  <c r="M570" i="3"/>
  <c r="L570" i="3"/>
  <c r="K570" i="3"/>
  <c r="E570" i="3"/>
  <c r="E1671" i="3" s="1"/>
  <c r="D570" i="3"/>
  <c r="D1671" i="3" s="1"/>
  <c r="C570" i="3"/>
  <c r="C1671" i="3" s="1"/>
  <c r="B570" i="3"/>
  <c r="B1671" i="3" s="1"/>
  <c r="A570" i="3"/>
  <c r="A1671" i="3" s="1"/>
  <c r="O569" i="3"/>
  <c r="N569" i="3"/>
  <c r="M569" i="3"/>
  <c r="L569" i="3"/>
  <c r="K569" i="3"/>
  <c r="E569" i="3"/>
  <c r="E1670" i="3" s="1"/>
  <c r="D569" i="3"/>
  <c r="D1670" i="3" s="1"/>
  <c r="C569" i="3"/>
  <c r="C1670" i="3" s="1"/>
  <c r="B569" i="3"/>
  <c r="B1670" i="3" s="1"/>
  <c r="A569" i="3"/>
  <c r="A1670" i="3" s="1"/>
  <c r="O568" i="3"/>
  <c r="N568" i="3"/>
  <c r="M568" i="3"/>
  <c r="L568" i="3"/>
  <c r="K568" i="3"/>
  <c r="E568" i="3"/>
  <c r="E1669" i="3" s="1"/>
  <c r="D568" i="3"/>
  <c r="D1669" i="3" s="1"/>
  <c r="C568" i="3"/>
  <c r="C1669" i="3" s="1"/>
  <c r="B568" i="3"/>
  <c r="B1669" i="3" s="1"/>
  <c r="A568" i="3"/>
  <c r="A1669" i="3" s="1"/>
  <c r="O567" i="3"/>
  <c r="N567" i="3"/>
  <c r="M567" i="3"/>
  <c r="L567" i="3"/>
  <c r="K567" i="3"/>
  <c r="E567" i="3"/>
  <c r="E1668" i="3" s="1"/>
  <c r="D567" i="3"/>
  <c r="D1668" i="3" s="1"/>
  <c r="C567" i="3"/>
  <c r="C1668" i="3" s="1"/>
  <c r="B567" i="3"/>
  <c r="B1668" i="3" s="1"/>
  <c r="A567" i="3"/>
  <c r="A1668" i="3" s="1"/>
  <c r="O566" i="3"/>
  <c r="N566" i="3"/>
  <c r="M566" i="3"/>
  <c r="L566" i="3"/>
  <c r="K566" i="3"/>
  <c r="E566" i="3"/>
  <c r="E1667" i="3" s="1"/>
  <c r="D566" i="3"/>
  <c r="D1667" i="3" s="1"/>
  <c r="C566" i="3"/>
  <c r="C1667" i="3" s="1"/>
  <c r="B566" i="3"/>
  <c r="B1667" i="3" s="1"/>
  <c r="A566" i="3"/>
  <c r="A1667" i="3" s="1"/>
  <c r="O565" i="3"/>
  <c r="N565" i="3"/>
  <c r="M565" i="3"/>
  <c r="L565" i="3"/>
  <c r="K565" i="3"/>
  <c r="E565" i="3"/>
  <c r="E1666" i="3" s="1"/>
  <c r="D565" i="3"/>
  <c r="D1666" i="3" s="1"/>
  <c r="C565" i="3"/>
  <c r="C1666" i="3" s="1"/>
  <c r="B565" i="3"/>
  <c r="B1666" i="3" s="1"/>
  <c r="A565" i="3"/>
  <c r="A1666" i="3" s="1"/>
  <c r="O564" i="3"/>
  <c r="N564" i="3"/>
  <c r="M564" i="3"/>
  <c r="L564" i="3"/>
  <c r="K564" i="3"/>
  <c r="E564" i="3"/>
  <c r="E1665" i="3" s="1"/>
  <c r="D564" i="3"/>
  <c r="D1665" i="3" s="1"/>
  <c r="C564" i="3"/>
  <c r="C1665" i="3" s="1"/>
  <c r="B564" i="3"/>
  <c r="B1665" i="3" s="1"/>
  <c r="A564" i="3"/>
  <c r="A1665" i="3" s="1"/>
  <c r="O563" i="3"/>
  <c r="N563" i="3"/>
  <c r="M563" i="3"/>
  <c r="L563" i="3"/>
  <c r="K563" i="3"/>
  <c r="E563" i="3"/>
  <c r="E1664" i="3" s="1"/>
  <c r="D563" i="3"/>
  <c r="D1664" i="3" s="1"/>
  <c r="C563" i="3"/>
  <c r="C1664" i="3" s="1"/>
  <c r="B563" i="3"/>
  <c r="B1664" i="3" s="1"/>
  <c r="A563" i="3"/>
  <c r="A1664" i="3" s="1"/>
  <c r="O562" i="3"/>
  <c r="N562" i="3"/>
  <c r="M562" i="3"/>
  <c r="L562" i="3"/>
  <c r="K562" i="3"/>
  <c r="E562" i="3"/>
  <c r="E1663" i="3" s="1"/>
  <c r="D562" i="3"/>
  <c r="D1663" i="3" s="1"/>
  <c r="C562" i="3"/>
  <c r="C1663" i="3" s="1"/>
  <c r="B562" i="3"/>
  <c r="B1663" i="3" s="1"/>
  <c r="A562" i="3"/>
  <c r="A1663" i="3" s="1"/>
  <c r="O561" i="3"/>
  <c r="N561" i="3"/>
  <c r="M561" i="3"/>
  <c r="L561" i="3"/>
  <c r="K561" i="3"/>
  <c r="E561" i="3"/>
  <c r="E1662" i="3" s="1"/>
  <c r="D561" i="3"/>
  <c r="D1662" i="3" s="1"/>
  <c r="C561" i="3"/>
  <c r="C1662" i="3" s="1"/>
  <c r="B561" i="3"/>
  <c r="B1662" i="3" s="1"/>
  <c r="A561" i="3"/>
  <c r="A1662" i="3" s="1"/>
  <c r="O560" i="3"/>
  <c r="N560" i="3"/>
  <c r="M560" i="3"/>
  <c r="L560" i="3"/>
  <c r="K560" i="3"/>
  <c r="E560" i="3"/>
  <c r="E1661" i="3" s="1"/>
  <c r="D560" i="3"/>
  <c r="D1661" i="3" s="1"/>
  <c r="C560" i="3"/>
  <c r="C1661" i="3" s="1"/>
  <c r="B560" i="3"/>
  <c r="B1661" i="3" s="1"/>
  <c r="A560" i="3"/>
  <c r="A1661" i="3" s="1"/>
  <c r="O559" i="3"/>
  <c r="N559" i="3"/>
  <c r="M559" i="3"/>
  <c r="L559" i="3"/>
  <c r="K559" i="3"/>
  <c r="E559" i="3"/>
  <c r="E1660" i="3" s="1"/>
  <c r="D559" i="3"/>
  <c r="D1660" i="3" s="1"/>
  <c r="C559" i="3"/>
  <c r="C1660" i="3" s="1"/>
  <c r="B559" i="3"/>
  <c r="B1660" i="3" s="1"/>
  <c r="A559" i="3"/>
  <c r="A1660" i="3" s="1"/>
  <c r="O558" i="3"/>
  <c r="N558" i="3"/>
  <c r="M558" i="3"/>
  <c r="L558" i="3"/>
  <c r="K558" i="3"/>
  <c r="E558" i="3"/>
  <c r="E1659" i="3" s="1"/>
  <c r="D558" i="3"/>
  <c r="D1659" i="3" s="1"/>
  <c r="C558" i="3"/>
  <c r="C1659" i="3" s="1"/>
  <c r="B558" i="3"/>
  <c r="B1659" i="3" s="1"/>
  <c r="A558" i="3"/>
  <c r="A1659" i="3" s="1"/>
  <c r="O557" i="3"/>
  <c r="N557" i="3"/>
  <c r="M557" i="3"/>
  <c r="L557" i="3"/>
  <c r="K557" i="3"/>
  <c r="E557" i="3"/>
  <c r="E1658" i="3" s="1"/>
  <c r="D557" i="3"/>
  <c r="D1658" i="3" s="1"/>
  <c r="C557" i="3"/>
  <c r="C1658" i="3" s="1"/>
  <c r="B557" i="3"/>
  <c r="B1658" i="3" s="1"/>
  <c r="A557" i="3"/>
  <c r="A1658" i="3" s="1"/>
  <c r="O556" i="3"/>
  <c r="N556" i="3"/>
  <c r="M556" i="3"/>
  <c r="L556" i="3"/>
  <c r="K556" i="3"/>
  <c r="E556" i="3"/>
  <c r="E1657" i="3" s="1"/>
  <c r="D556" i="3"/>
  <c r="D1657" i="3" s="1"/>
  <c r="C556" i="3"/>
  <c r="C1657" i="3" s="1"/>
  <c r="B556" i="3"/>
  <c r="B1657" i="3" s="1"/>
  <c r="A556" i="3"/>
  <c r="A1657" i="3" s="1"/>
  <c r="O555" i="3"/>
  <c r="N555" i="3"/>
  <c r="M555" i="3"/>
  <c r="L555" i="3"/>
  <c r="K555" i="3"/>
  <c r="E555" i="3"/>
  <c r="E1656" i="3" s="1"/>
  <c r="D555" i="3"/>
  <c r="D1656" i="3" s="1"/>
  <c r="C555" i="3"/>
  <c r="C1656" i="3" s="1"/>
  <c r="B555" i="3"/>
  <c r="B1656" i="3" s="1"/>
  <c r="A555" i="3"/>
  <c r="A1656" i="3" s="1"/>
  <c r="O554" i="3"/>
  <c r="N554" i="3"/>
  <c r="M554" i="3"/>
  <c r="L554" i="3"/>
  <c r="K554" i="3"/>
  <c r="E554" i="3"/>
  <c r="E1655" i="3" s="1"/>
  <c r="D554" i="3"/>
  <c r="D1655" i="3" s="1"/>
  <c r="C554" i="3"/>
  <c r="C1655" i="3" s="1"/>
  <c r="B554" i="3"/>
  <c r="B1655" i="3" s="1"/>
  <c r="A554" i="3"/>
  <c r="A1655" i="3" s="1"/>
  <c r="O553" i="3"/>
  <c r="N553" i="3"/>
  <c r="M553" i="3"/>
  <c r="L553" i="3"/>
  <c r="K553" i="3"/>
  <c r="E553" i="3"/>
  <c r="E1654" i="3" s="1"/>
  <c r="D553" i="3"/>
  <c r="D1654" i="3" s="1"/>
  <c r="C553" i="3"/>
  <c r="C1654" i="3" s="1"/>
  <c r="B553" i="3"/>
  <c r="B1654" i="3" s="1"/>
  <c r="A553" i="3"/>
  <c r="A1654" i="3" s="1"/>
  <c r="O552" i="3"/>
  <c r="N552" i="3"/>
  <c r="M552" i="3"/>
  <c r="L552" i="3"/>
  <c r="K552" i="3"/>
  <c r="E552" i="3"/>
  <c r="E1653" i="3" s="1"/>
  <c r="D552" i="3"/>
  <c r="D1653" i="3" s="1"/>
  <c r="C552" i="3"/>
  <c r="C1653" i="3" s="1"/>
  <c r="B552" i="3"/>
  <c r="B1653" i="3" s="1"/>
  <c r="A552" i="3"/>
  <c r="A1653" i="3" s="1"/>
  <c r="O551" i="3"/>
  <c r="N551" i="3"/>
  <c r="M551" i="3"/>
  <c r="L551" i="3"/>
  <c r="K551" i="3"/>
  <c r="E551" i="3"/>
  <c r="E1652" i="3" s="1"/>
  <c r="D551" i="3"/>
  <c r="D1652" i="3" s="1"/>
  <c r="C551" i="3"/>
  <c r="C1652" i="3" s="1"/>
  <c r="B551" i="3"/>
  <c r="B1652" i="3" s="1"/>
  <c r="A551" i="3"/>
  <c r="A1652" i="3" s="1"/>
  <c r="O550" i="3"/>
  <c r="N550" i="3"/>
  <c r="M550" i="3"/>
  <c r="L550" i="3"/>
  <c r="K550" i="3"/>
  <c r="E550" i="3"/>
  <c r="E1651" i="3" s="1"/>
  <c r="D550" i="3"/>
  <c r="D1651" i="3" s="1"/>
  <c r="C550" i="3"/>
  <c r="C1651" i="3" s="1"/>
  <c r="B550" i="3"/>
  <c r="B1651" i="3" s="1"/>
  <c r="A550" i="3"/>
  <c r="A1651" i="3" s="1"/>
  <c r="O549" i="3"/>
  <c r="N549" i="3"/>
  <c r="M549" i="3"/>
  <c r="L549" i="3"/>
  <c r="K549" i="3"/>
  <c r="E549" i="3"/>
  <c r="E1650" i="3" s="1"/>
  <c r="D549" i="3"/>
  <c r="D1650" i="3" s="1"/>
  <c r="C549" i="3"/>
  <c r="C1650" i="3" s="1"/>
  <c r="B549" i="3"/>
  <c r="B1650" i="3" s="1"/>
  <c r="A549" i="3"/>
  <c r="A1650" i="3" s="1"/>
  <c r="O548" i="3"/>
  <c r="N548" i="3"/>
  <c r="M548" i="3"/>
  <c r="L548" i="3"/>
  <c r="K548" i="3"/>
  <c r="E548" i="3"/>
  <c r="E1649" i="3" s="1"/>
  <c r="D548" i="3"/>
  <c r="D1649" i="3" s="1"/>
  <c r="C548" i="3"/>
  <c r="C1649" i="3" s="1"/>
  <c r="B548" i="3"/>
  <c r="B1649" i="3" s="1"/>
  <c r="A548" i="3"/>
  <c r="A1649" i="3" s="1"/>
  <c r="O547" i="3"/>
  <c r="N547" i="3"/>
  <c r="M547" i="3"/>
  <c r="L547" i="3"/>
  <c r="K547" i="3"/>
  <c r="E547" i="3"/>
  <c r="E1648" i="3" s="1"/>
  <c r="D547" i="3"/>
  <c r="D1648" i="3" s="1"/>
  <c r="C547" i="3"/>
  <c r="C1648" i="3" s="1"/>
  <c r="B547" i="3"/>
  <c r="B1648" i="3" s="1"/>
  <c r="A547" i="3"/>
  <c r="A1648" i="3" s="1"/>
  <c r="O546" i="3"/>
  <c r="N546" i="3"/>
  <c r="M546" i="3"/>
  <c r="L546" i="3"/>
  <c r="K546" i="3"/>
  <c r="E546" i="3"/>
  <c r="B546" i="3"/>
  <c r="A546" i="3"/>
  <c r="O545" i="3"/>
  <c r="N545" i="3"/>
  <c r="M545" i="3"/>
  <c r="L545" i="3"/>
  <c r="K545" i="3"/>
  <c r="E545" i="3"/>
  <c r="E1647" i="3" s="1"/>
  <c r="D545" i="3"/>
  <c r="D1647" i="3" s="1"/>
  <c r="C545" i="3"/>
  <c r="C1647" i="3" s="1"/>
  <c r="B545" i="3"/>
  <c r="B1647" i="3" s="1"/>
  <c r="A545" i="3"/>
  <c r="A1647" i="3" s="1"/>
  <c r="O544" i="3"/>
  <c r="N544" i="3"/>
  <c r="M544" i="3"/>
  <c r="L544" i="3"/>
  <c r="K544" i="3"/>
  <c r="E544" i="3"/>
  <c r="E1646" i="3" s="1"/>
  <c r="D544" i="3"/>
  <c r="D1646" i="3" s="1"/>
  <c r="C544" i="3"/>
  <c r="C1646" i="3" s="1"/>
  <c r="B544" i="3"/>
  <c r="B1646" i="3" s="1"/>
  <c r="A544" i="3"/>
  <c r="A1646" i="3" s="1"/>
  <c r="O543" i="3"/>
  <c r="N543" i="3"/>
  <c r="M543" i="3"/>
  <c r="L543" i="3"/>
  <c r="K543" i="3"/>
  <c r="E543" i="3"/>
  <c r="E1645" i="3" s="1"/>
  <c r="D543" i="3"/>
  <c r="D1645" i="3" s="1"/>
  <c r="C543" i="3"/>
  <c r="C1645" i="3" s="1"/>
  <c r="B543" i="3"/>
  <c r="B1645" i="3" s="1"/>
  <c r="A543" i="3"/>
  <c r="A1645" i="3" s="1"/>
  <c r="O542" i="3"/>
  <c r="N542" i="3"/>
  <c r="M542" i="3"/>
  <c r="L542" i="3"/>
  <c r="K542" i="3"/>
  <c r="E542" i="3"/>
  <c r="E1644" i="3" s="1"/>
  <c r="D542" i="3"/>
  <c r="D1644" i="3" s="1"/>
  <c r="C542" i="3"/>
  <c r="C1644" i="3" s="1"/>
  <c r="B542" i="3"/>
  <c r="B1644" i="3" s="1"/>
  <c r="A542" i="3"/>
  <c r="A1644" i="3" s="1"/>
  <c r="O541" i="3"/>
  <c r="N541" i="3"/>
  <c r="M541" i="3"/>
  <c r="L541" i="3"/>
  <c r="K541" i="3"/>
  <c r="E541" i="3"/>
  <c r="E1643" i="3" s="1"/>
  <c r="D541" i="3"/>
  <c r="D1643" i="3" s="1"/>
  <c r="C541" i="3"/>
  <c r="C1643" i="3" s="1"/>
  <c r="B541" i="3"/>
  <c r="B1643" i="3" s="1"/>
  <c r="A541" i="3"/>
  <c r="A1643" i="3" s="1"/>
  <c r="O540" i="3"/>
  <c r="N540" i="3"/>
  <c r="M540" i="3"/>
  <c r="L540" i="3"/>
  <c r="K540" i="3"/>
  <c r="E540" i="3"/>
  <c r="E1642" i="3" s="1"/>
  <c r="D540" i="3"/>
  <c r="D1642" i="3" s="1"/>
  <c r="C540" i="3"/>
  <c r="C1642" i="3" s="1"/>
  <c r="B540" i="3"/>
  <c r="B1642" i="3" s="1"/>
  <c r="A540" i="3"/>
  <c r="A1642" i="3" s="1"/>
  <c r="O539" i="3"/>
  <c r="N539" i="3"/>
  <c r="M539" i="3"/>
  <c r="L539" i="3"/>
  <c r="K539" i="3"/>
  <c r="E539" i="3"/>
  <c r="E1641" i="3" s="1"/>
  <c r="D539" i="3"/>
  <c r="D1641" i="3" s="1"/>
  <c r="C539" i="3"/>
  <c r="C1641" i="3" s="1"/>
  <c r="B539" i="3"/>
  <c r="B1641" i="3" s="1"/>
  <c r="A539" i="3"/>
  <c r="A1641" i="3" s="1"/>
  <c r="O538" i="3"/>
  <c r="N538" i="3"/>
  <c r="M538" i="3"/>
  <c r="L538" i="3"/>
  <c r="K538" i="3"/>
  <c r="E538" i="3"/>
  <c r="E1640" i="3" s="1"/>
  <c r="D538" i="3"/>
  <c r="D1640" i="3" s="1"/>
  <c r="C538" i="3"/>
  <c r="C1640" i="3" s="1"/>
  <c r="B538" i="3"/>
  <c r="B1640" i="3" s="1"/>
  <c r="A538" i="3"/>
  <c r="A1640" i="3" s="1"/>
  <c r="O537" i="3"/>
  <c r="N537" i="3"/>
  <c r="M537" i="3"/>
  <c r="L537" i="3"/>
  <c r="K537" i="3"/>
  <c r="E537" i="3"/>
  <c r="E1639" i="3" s="1"/>
  <c r="D537" i="3"/>
  <c r="D1639" i="3" s="1"/>
  <c r="C537" i="3"/>
  <c r="C1639" i="3" s="1"/>
  <c r="B537" i="3"/>
  <c r="B1639" i="3" s="1"/>
  <c r="A537" i="3"/>
  <c r="A1639" i="3" s="1"/>
  <c r="O536" i="3"/>
  <c r="N536" i="3"/>
  <c r="M536" i="3"/>
  <c r="L536" i="3"/>
  <c r="K536" i="3"/>
  <c r="E536" i="3"/>
  <c r="E1638" i="3" s="1"/>
  <c r="D536" i="3"/>
  <c r="D1638" i="3" s="1"/>
  <c r="C536" i="3"/>
  <c r="C1638" i="3" s="1"/>
  <c r="B536" i="3"/>
  <c r="B1638" i="3" s="1"/>
  <c r="A536" i="3"/>
  <c r="A1638" i="3" s="1"/>
  <c r="O535" i="3"/>
  <c r="N535" i="3"/>
  <c r="M535" i="3"/>
  <c r="L535" i="3"/>
  <c r="K535" i="3"/>
  <c r="E535" i="3"/>
  <c r="E1637" i="3" s="1"/>
  <c r="D535" i="3"/>
  <c r="D1637" i="3" s="1"/>
  <c r="C535" i="3"/>
  <c r="C1637" i="3" s="1"/>
  <c r="B535" i="3"/>
  <c r="B1637" i="3" s="1"/>
  <c r="A535" i="3"/>
  <c r="A1637" i="3" s="1"/>
  <c r="O534" i="3"/>
  <c r="N534" i="3"/>
  <c r="M534" i="3"/>
  <c r="L534" i="3"/>
  <c r="K534" i="3"/>
  <c r="E534" i="3"/>
  <c r="E1636" i="3" s="1"/>
  <c r="D534" i="3"/>
  <c r="D1636" i="3" s="1"/>
  <c r="C534" i="3"/>
  <c r="C1636" i="3" s="1"/>
  <c r="B534" i="3"/>
  <c r="B1636" i="3" s="1"/>
  <c r="A534" i="3"/>
  <c r="A1636" i="3" s="1"/>
  <c r="O533" i="3"/>
  <c r="N533" i="3"/>
  <c r="M533" i="3"/>
  <c r="L533" i="3"/>
  <c r="K533" i="3"/>
  <c r="E533" i="3"/>
  <c r="E1635" i="3" s="1"/>
  <c r="D533" i="3"/>
  <c r="D1635" i="3" s="1"/>
  <c r="C533" i="3"/>
  <c r="C1635" i="3" s="1"/>
  <c r="B533" i="3"/>
  <c r="B1635" i="3" s="1"/>
  <c r="A533" i="3"/>
  <c r="A1635" i="3" s="1"/>
  <c r="O532" i="3"/>
  <c r="N532" i="3"/>
  <c r="M532" i="3"/>
  <c r="L532" i="3"/>
  <c r="K532" i="3"/>
  <c r="E532" i="3"/>
  <c r="E1634" i="3" s="1"/>
  <c r="D532" i="3"/>
  <c r="D1634" i="3" s="1"/>
  <c r="C532" i="3"/>
  <c r="C1634" i="3" s="1"/>
  <c r="B532" i="3"/>
  <c r="B1634" i="3" s="1"/>
  <c r="A532" i="3"/>
  <c r="A1634" i="3" s="1"/>
  <c r="O531" i="3"/>
  <c r="N531" i="3"/>
  <c r="M531" i="3"/>
  <c r="L531" i="3"/>
  <c r="K531" i="3"/>
  <c r="E531" i="3"/>
  <c r="E1633" i="3" s="1"/>
  <c r="D531" i="3"/>
  <c r="D1633" i="3" s="1"/>
  <c r="C531" i="3"/>
  <c r="C1633" i="3" s="1"/>
  <c r="B531" i="3"/>
  <c r="B1633" i="3" s="1"/>
  <c r="A531" i="3"/>
  <c r="A1633" i="3" s="1"/>
  <c r="O530" i="3"/>
  <c r="N530" i="3"/>
  <c r="M530" i="3"/>
  <c r="L530" i="3"/>
  <c r="K530" i="3"/>
  <c r="E530" i="3"/>
  <c r="E1632" i="3" s="1"/>
  <c r="D530" i="3"/>
  <c r="D1632" i="3" s="1"/>
  <c r="C530" i="3"/>
  <c r="C1632" i="3" s="1"/>
  <c r="B530" i="3"/>
  <c r="B1632" i="3" s="1"/>
  <c r="A530" i="3"/>
  <c r="A1632" i="3" s="1"/>
  <c r="O529" i="3"/>
  <c r="N529" i="3"/>
  <c r="M529" i="3"/>
  <c r="L529" i="3"/>
  <c r="K529" i="3"/>
  <c r="E529" i="3"/>
  <c r="E1631" i="3" s="1"/>
  <c r="D529" i="3"/>
  <c r="D1631" i="3" s="1"/>
  <c r="C529" i="3"/>
  <c r="C1631" i="3" s="1"/>
  <c r="B529" i="3"/>
  <c r="B1631" i="3" s="1"/>
  <c r="A529" i="3"/>
  <c r="A1631" i="3" s="1"/>
  <c r="O528" i="3"/>
  <c r="N528" i="3"/>
  <c r="M528" i="3"/>
  <c r="L528" i="3"/>
  <c r="K528" i="3"/>
  <c r="E528" i="3"/>
  <c r="E1630" i="3" s="1"/>
  <c r="D528" i="3"/>
  <c r="D1630" i="3" s="1"/>
  <c r="C528" i="3"/>
  <c r="C1630" i="3" s="1"/>
  <c r="B528" i="3"/>
  <c r="B1630" i="3" s="1"/>
  <c r="A528" i="3"/>
  <c r="A1630" i="3" s="1"/>
  <c r="O527" i="3"/>
  <c r="N527" i="3"/>
  <c r="M527" i="3"/>
  <c r="L527" i="3"/>
  <c r="K527" i="3"/>
  <c r="E527" i="3"/>
  <c r="E1629" i="3" s="1"/>
  <c r="D527" i="3"/>
  <c r="D1629" i="3" s="1"/>
  <c r="C527" i="3"/>
  <c r="C1629" i="3" s="1"/>
  <c r="B527" i="3"/>
  <c r="B1629" i="3" s="1"/>
  <c r="A527" i="3"/>
  <c r="A1629" i="3" s="1"/>
  <c r="O526" i="3"/>
  <c r="N526" i="3"/>
  <c r="M526" i="3"/>
  <c r="L526" i="3"/>
  <c r="K526" i="3"/>
  <c r="E526" i="3"/>
  <c r="B526" i="3"/>
  <c r="A526" i="3"/>
  <c r="O525" i="3"/>
  <c r="N525" i="3"/>
  <c r="M525" i="3"/>
  <c r="L525" i="3"/>
  <c r="K525" i="3"/>
  <c r="E525" i="3"/>
  <c r="E1628" i="3" s="1"/>
  <c r="D525" i="3"/>
  <c r="D1628" i="3" s="1"/>
  <c r="C525" i="3"/>
  <c r="C1628" i="3" s="1"/>
  <c r="B525" i="3"/>
  <c r="B1628" i="3" s="1"/>
  <c r="A525" i="3"/>
  <c r="A1628" i="3" s="1"/>
  <c r="O524" i="3"/>
  <c r="N524" i="3"/>
  <c r="M524" i="3"/>
  <c r="L524" i="3"/>
  <c r="K524" i="3"/>
  <c r="E524" i="3"/>
  <c r="E1627" i="3" s="1"/>
  <c r="D524" i="3"/>
  <c r="D1627" i="3" s="1"/>
  <c r="C524" i="3"/>
  <c r="C1627" i="3" s="1"/>
  <c r="B524" i="3"/>
  <c r="B1627" i="3" s="1"/>
  <c r="A524" i="3"/>
  <c r="A1627" i="3" s="1"/>
  <c r="O523" i="3"/>
  <c r="N523" i="3"/>
  <c r="M523" i="3"/>
  <c r="L523" i="3"/>
  <c r="K523" i="3"/>
  <c r="E523" i="3"/>
  <c r="E1626" i="3" s="1"/>
  <c r="D523" i="3"/>
  <c r="D1626" i="3" s="1"/>
  <c r="C523" i="3"/>
  <c r="C1626" i="3" s="1"/>
  <c r="B523" i="3"/>
  <c r="B1626" i="3" s="1"/>
  <c r="A523" i="3"/>
  <c r="A1626" i="3" s="1"/>
  <c r="O522" i="3"/>
  <c r="N522" i="3"/>
  <c r="M522" i="3"/>
  <c r="L522" i="3"/>
  <c r="K522" i="3"/>
  <c r="E522" i="3"/>
  <c r="E1625" i="3" s="1"/>
  <c r="D522" i="3"/>
  <c r="D1625" i="3" s="1"/>
  <c r="C522" i="3"/>
  <c r="C1625" i="3" s="1"/>
  <c r="B522" i="3"/>
  <c r="B1625" i="3" s="1"/>
  <c r="A522" i="3"/>
  <c r="A1625" i="3" s="1"/>
  <c r="O521" i="3"/>
  <c r="N521" i="3"/>
  <c r="M521" i="3"/>
  <c r="L521" i="3"/>
  <c r="K521" i="3"/>
  <c r="E521" i="3"/>
  <c r="E1624" i="3" s="1"/>
  <c r="D521" i="3"/>
  <c r="D1624" i="3" s="1"/>
  <c r="C521" i="3"/>
  <c r="C1624" i="3" s="1"/>
  <c r="B521" i="3"/>
  <c r="B1624" i="3" s="1"/>
  <c r="A521" i="3"/>
  <c r="A1624" i="3" s="1"/>
  <c r="O520" i="3"/>
  <c r="N520" i="3"/>
  <c r="M520" i="3"/>
  <c r="L520" i="3"/>
  <c r="K520" i="3"/>
  <c r="E520" i="3"/>
  <c r="B520" i="3"/>
  <c r="A520" i="3"/>
  <c r="O519" i="3"/>
  <c r="N519" i="3"/>
  <c r="M519" i="3"/>
  <c r="L519" i="3"/>
  <c r="K519" i="3"/>
  <c r="E519" i="3"/>
  <c r="B519" i="3"/>
  <c r="A519" i="3"/>
  <c r="O518" i="3"/>
  <c r="N518" i="3"/>
  <c r="M518" i="3"/>
  <c r="L518" i="3"/>
  <c r="K518" i="3"/>
  <c r="E518" i="3"/>
  <c r="E1623" i="3" s="1"/>
  <c r="D518" i="3"/>
  <c r="D1623" i="3" s="1"/>
  <c r="C518" i="3"/>
  <c r="C1623" i="3" s="1"/>
  <c r="B518" i="3"/>
  <c r="B1623" i="3" s="1"/>
  <c r="A518" i="3"/>
  <c r="A1623" i="3" s="1"/>
  <c r="O517" i="3"/>
  <c r="N517" i="3"/>
  <c r="M517" i="3"/>
  <c r="L517" i="3"/>
  <c r="K517" i="3"/>
  <c r="E517" i="3"/>
  <c r="E1622" i="3" s="1"/>
  <c r="D517" i="3"/>
  <c r="D1622" i="3" s="1"/>
  <c r="C517" i="3"/>
  <c r="C1622" i="3" s="1"/>
  <c r="B517" i="3"/>
  <c r="B1622" i="3" s="1"/>
  <c r="A517" i="3"/>
  <c r="A1622" i="3" s="1"/>
  <c r="O516" i="3"/>
  <c r="N516" i="3"/>
  <c r="M516" i="3"/>
  <c r="L516" i="3"/>
  <c r="K516" i="3"/>
  <c r="E516" i="3"/>
  <c r="E1621" i="3" s="1"/>
  <c r="D516" i="3"/>
  <c r="D1621" i="3" s="1"/>
  <c r="C516" i="3"/>
  <c r="C1621" i="3" s="1"/>
  <c r="B516" i="3"/>
  <c r="B1621" i="3" s="1"/>
  <c r="A516" i="3"/>
  <c r="A1621" i="3" s="1"/>
  <c r="O515" i="3"/>
  <c r="N515" i="3"/>
  <c r="M515" i="3"/>
  <c r="L515" i="3"/>
  <c r="K515" i="3"/>
  <c r="E515" i="3"/>
  <c r="E1620" i="3" s="1"/>
  <c r="D515" i="3"/>
  <c r="D1620" i="3" s="1"/>
  <c r="C515" i="3"/>
  <c r="C1620" i="3" s="1"/>
  <c r="B515" i="3"/>
  <c r="B1620" i="3" s="1"/>
  <c r="A515" i="3"/>
  <c r="A1620" i="3" s="1"/>
  <c r="O514" i="3"/>
  <c r="N514" i="3"/>
  <c r="M514" i="3"/>
  <c r="L514" i="3"/>
  <c r="K514" i="3"/>
  <c r="E514" i="3"/>
  <c r="E1619" i="3" s="1"/>
  <c r="D514" i="3"/>
  <c r="D1619" i="3" s="1"/>
  <c r="C514" i="3"/>
  <c r="C1619" i="3" s="1"/>
  <c r="B514" i="3"/>
  <c r="B1619" i="3" s="1"/>
  <c r="A514" i="3"/>
  <c r="A1619" i="3" s="1"/>
  <c r="O513" i="3"/>
  <c r="N513" i="3"/>
  <c r="M513" i="3"/>
  <c r="L513" i="3"/>
  <c r="K513" i="3"/>
  <c r="E513" i="3"/>
  <c r="E1618" i="3" s="1"/>
  <c r="D513" i="3"/>
  <c r="D1618" i="3" s="1"/>
  <c r="C513" i="3"/>
  <c r="C1618" i="3" s="1"/>
  <c r="B513" i="3"/>
  <c r="B1618" i="3" s="1"/>
  <c r="A513" i="3"/>
  <c r="A1618" i="3" s="1"/>
  <c r="O512" i="3"/>
  <c r="N512" i="3"/>
  <c r="M512" i="3"/>
  <c r="L512" i="3"/>
  <c r="K512" i="3"/>
  <c r="E512" i="3"/>
  <c r="E1617" i="3" s="1"/>
  <c r="D512" i="3"/>
  <c r="D1617" i="3" s="1"/>
  <c r="C512" i="3"/>
  <c r="C1617" i="3" s="1"/>
  <c r="B512" i="3"/>
  <c r="B1617" i="3" s="1"/>
  <c r="A512" i="3"/>
  <c r="A1617" i="3" s="1"/>
  <c r="O511" i="3"/>
  <c r="N511" i="3"/>
  <c r="M511" i="3"/>
  <c r="L511" i="3"/>
  <c r="K511" i="3"/>
  <c r="E511" i="3"/>
  <c r="E1616" i="3" s="1"/>
  <c r="D511" i="3"/>
  <c r="D1616" i="3" s="1"/>
  <c r="C511" i="3"/>
  <c r="C1616" i="3" s="1"/>
  <c r="B511" i="3"/>
  <c r="B1616" i="3" s="1"/>
  <c r="A511" i="3"/>
  <c r="A1616" i="3" s="1"/>
  <c r="O510" i="3"/>
  <c r="N510" i="3"/>
  <c r="M510" i="3"/>
  <c r="L510" i="3"/>
  <c r="K510" i="3"/>
  <c r="E510" i="3"/>
  <c r="E1615" i="3" s="1"/>
  <c r="D510" i="3"/>
  <c r="D1615" i="3" s="1"/>
  <c r="C510" i="3"/>
  <c r="C1615" i="3" s="1"/>
  <c r="B510" i="3"/>
  <c r="B1615" i="3" s="1"/>
  <c r="A510" i="3"/>
  <c r="A1615" i="3" s="1"/>
  <c r="O509" i="3"/>
  <c r="N509" i="3"/>
  <c r="M509" i="3"/>
  <c r="L509" i="3"/>
  <c r="K509" i="3"/>
  <c r="E509" i="3"/>
  <c r="E1614" i="3" s="1"/>
  <c r="D509" i="3"/>
  <c r="D1614" i="3" s="1"/>
  <c r="C509" i="3"/>
  <c r="C1614" i="3" s="1"/>
  <c r="B509" i="3"/>
  <c r="B1614" i="3" s="1"/>
  <c r="A509" i="3"/>
  <c r="A1614" i="3" s="1"/>
  <c r="O508" i="3"/>
  <c r="N508" i="3"/>
  <c r="M508" i="3"/>
  <c r="L508" i="3"/>
  <c r="K508" i="3"/>
  <c r="E508" i="3"/>
  <c r="E1613" i="3" s="1"/>
  <c r="D508" i="3"/>
  <c r="D1613" i="3" s="1"/>
  <c r="C508" i="3"/>
  <c r="C1613" i="3" s="1"/>
  <c r="B508" i="3"/>
  <c r="B1613" i="3" s="1"/>
  <c r="A508" i="3"/>
  <c r="A1613" i="3" s="1"/>
  <c r="O507" i="3"/>
  <c r="N507" i="3"/>
  <c r="M507" i="3"/>
  <c r="L507" i="3"/>
  <c r="K507" i="3"/>
  <c r="E507" i="3"/>
  <c r="B507" i="3"/>
  <c r="A507" i="3"/>
  <c r="O506" i="3"/>
  <c r="N506" i="3"/>
  <c r="M506" i="3"/>
  <c r="L506" i="3"/>
  <c r="K506" i="3"/>
  <c r="E506" i="3"/>
  <c r="B506" i="3"/>
  <c r="A506" i="3"/>
  <c r="O505" i="3"/>
  <c r="N505" i="3"/>
  <c r="M505" i="3"/>
  <c r="L505" i="3"/>
  <c r="K505" i="3"/>
  <c r="E505" i="3"/>
  <c r="B505" i="3"/>
  <c r="A505" i="3"/>
  <c r="O504" i="3"/>
  <c r="N504" i="3"/>
  <c r="M504" i="3"/>
  <c r="L504" i="3"/>
  <c r="K504" i="3"/>
  <c r="E504" i="3"/>
  <c r="E1612" i="3" s="1"/>
  <c r="D504" i="3"/>
  <c r="D1612" i="3" s="1"/>
  <c r="C504" i="3"/>
  <c r="C1612" i="3" s="1"/>
  <c r="B504" i="3"/>
  <c r="B1612" i="3" s="1"/>
  <c r="A504" i="3"/>
  <c r="A1612" i="3" s="1"/>
  <c r="O503" i="3"/>
  <c r="N503" i="3"/>
  <c r="M503" i="3"/>
  <c r="L503" i="3"/>
  <c r="K503" i="3"/>
  <c r="E503" i="3"/>
  <c r="E1611" i="3" s="1"/>
  <c r="D503" i="3"/>
  <c r="D1611" i="3" s="1"/>
  <c r="C503" i="3"/>
  <c r="C1611" i="3" s="1"/>
  <c r="B503" i="3"/>
  <c r="B1611" i="3" s="1"/>
  <c r="A503" i="3"/>
  <c r="A1611" i="3" s="1"/>
  <c r="O502" i="3"/>
  <c r="N502" i="3"/>
  <c r="M502" i="3"/>
  <c r="L502" i="3"/>
  <c r="K502" i="3"/>
  <c r="E502" i="3"/>
  <c r="E1610" i="3" s="1"/>
  <c r="D502" i="3"/>
  <c r="D1610" i="3" s="1"/>
  <c r="C502" i="3"/>
  <c r="C1610" i="3" s="1"/>
  <c r="B502" i="3"/>
  <c r="B1610" i="3" s="1"/>
  <c r="A502" i="3"/>
  <c r="A1610" i="3" s="1"/>
  <c r="O501" i="3"/>
  <c r="N501" i="3"/>
  <c r="M501" i="3"/>
  <c r="L501" i="3"/>
  <c r="K501" i="3"/>
  <c r="E501" i="3"/>
  <c r="E1609" i="3" s="1"/>
  <c r="D501" i="3"/>
  <c r="D1609" i="3" s="1"/>
  <c r="C501" i="3"/>
  <c r="C1609" i="3" s="1"/>
  <c r="B501" i="3"/>
  <c r="B1609" i="3" s="1"/>
  <c r="A501" i="3"/>
  <c r="A1609" i="3" s="1"/>
  <c r="O500" i="3"/>
  <c r="N500" i="3"/>
  <c r="M500" i="3"/>
  <c r="L500" i="3"/>
  <c r="K500" i="3"/>
  <c r="E500" i="3"/>
  <c r="E1608" i="3" s="1"/>
  <c r="D500" i="3"/>
  <c r="D1608" i="3" s="1"/>
  <c r="C500" i="3"/>
  <c r="C1608" i="3" s="1"/>
  <c r="B500" i="3"/>
  <c r="B1608" i="3" s="1"/>
  <c r="A500" i="3"/>
  <c r="A1608" i="3" s="1"/>
  <c r="O499" i="3"/>
  <c r="N499" i="3"/>
  <c r="M499" i="3"/>
  <c r="L499" i="3"/>
  <c r="K499" i="3"/>
  <c r="E499" i="3"/>
  <c r="E1607" i="3" s="1"/>
  <c r="D499" i="3"/>
  <c r="D1607" i="3" s="1"/>
  <c r="C499" i="3"/>
  <c r="C1607" i="3" s="1"/>
  <c r="B499" i="3"/>
  <c r="B1607" i="3" s="1"/>
  <c r="A499" i="3"/>
  <c r="A1607" i="3" s="1"/>
  <c r="O498" i="3"/>
  <c r="N498" i="3"/>
  <c r="M498" i="3"/>
  <c r="L498" i="3"/>
  <c r="K498" i="3"/>
  <c r="E498" i="3"/>
  <c r="E1606" i="3" s="1"/>
  <c r="D498" i="3"/>
  <c r="D1606" i="3" s="1"/>
  <c r="C498" i="3"/>
  <c r="C1606" i="3" s="1"/>
  <c r="B498" i="3"/>
  <c r="B1606" i="3" s="1"/>
  <c r="A498" i="3"/>
  <c r="A1606" i="3" s="1"/>
  <c r="O497" i="3"/>
  <c r="N497" i="3"/>
  <c r="M497" i="3"/>
  <c r="L497" i="3"/>
  <c r="K497" i="3"/>
  <c r="E497" i="3"/>
  <c r="E1605" i="3" s="1"/>
  <c r="D497" i="3"/>
  <c r="D1605" i="3" s="1"/>
  <c r="C497" i="3"/>
  <c r="C1605" i="3" s="1"/>
  <c r="B497" i="3"/>
  <c r="B1605" i="3" s="1"/>
  <c r="A497" i="3"/>
  <c r="A1605" i="3" s="1"/>
  <c r="O496" i="3"/>
  <c r="N496" i="3"/>
  <c r="M496" i="3"/>
  <c r="L496" i="3"/>
  <c r="K496" i="3"/>
  <c r="E496" i="3"/>
  <c r="E1604" i="3" s="1"/>
  <c r="D496" i="3"/>
  <c r="D1604" i="3" s="1"/>
  <c r="C496" i="3"/>
  <c r="C1604" i="3" s="1"/>
  <c r="B496" i="3"/>
  <c r="B1604" i="3" s="1"/>
  <c r="A496" i="3"/>
  <c r="A1604" i="3" s="1"/>
  <c r="O495" i="3"/>
  <c r="N495" i="3"/>
  <c r="M495" i="3"/>
  <c r="L495" i="3"/>
  <c r="K495" i="3"/>
  <c r="E495" i="3"/>
  <c r="E1603" i="3" s="1"/>
  <c r="D495" i="3"/>
  <c r="D1603" i="3" s="1"/>
  <c r="C495" i="3"/>
  <c r="C1603" i="3" s="1"/>
  <c r="B495" i="3"/>
  <c r="B1603" i="3" s="1"/>
  <c r="A495" i="3"/>
  <c r="A1603" i="3" s="1"/>
  <c r="O494" i="3"/>
  <c r="N494" i="3"/>
  <c r="M494" i="3"/>
  <c r="L494" i="3"/>
  <c r="K494" i="3"/>
  <c r="E494" i="3"/>
  <c r="E1602" i="3" s="1"/>
  <c r="D494" i="3"/>
  <c r="D1602" i="3" s="1"/>
  <c r="C494" i="3"/>
  <c r="C1602" i="3" s="1"/>
  <c r="B494" i="3"/>
  <c r="B1602" i="3" s="1"/>
  <c r="A494" i="3"/>
  <c r="A1602" i="3" s="1"/>
  <c r="O493" i="3"/>
  <c r="N493" i="3"/>
  <c r="M493" i="3"/>
  <c r="L493" i="3"/>
  <c r="K493" i="3"/>
  <c r="E493" i="3"/>
  <c r="E1601" i="3" s="1"/>
  <c r="D493" i="3"/>
  <c r="D1601" i="3" s="1"/>
  <c r="C493" i="3"/>
  <c r="C1601" i="3" s="1"/>
  <c r="B493" i="3"/>
  <c r="B1601" i="3" s="1"/>
  <c r="A493" i="3"/>
  <c r="A1601" i="3" s="1"/>
  <c r="O492" i="3"/>
  <c r="N492" i="3"/>
  <c r="M492" i="3"/>
  <c r="L492" i="3"/>
  <c r="K492" i="3"/>
  <c r="E492" i="3"/>
  <c r="E1600" i="3" s="1"/>
  <c r="D492" i="3"/>
  <c r="D1600" i="3" s="1"/>
  <c r="C492" i="3"/>
  <c r="C1600" i="3" s="1"/>
  <c r="B492" i="3"/>
  <c r="B1600" i="3" s="1"/>
  <c r="A492" i="3"/>
  <c r="A1600" i="3" s="1"/>
  <c r="O491" i="3"/>
  <c r="N491" i="3"/>
  <c r="M491" i="3"/>
  <c r="L491" i="3"/>
  <c r="K491" i="3"/>
  <c r="E491" i="3"/>
  <c r="E1599" i="3" s="1"/>
  <c r="D491" i="3"/>
  <c r="D1599" i="3" s="1"/>
  <c r="C491" i="3"/>
  <c r="C1599" i="3" s="1"/>
  <c r="B491" i="3"/>
  <c r="B1599" i="3" s="1"/>
  <c r="A491" i="3"/>
  <c r="A1599" i="3" s="1"/>
  <c r="O490" i="3"/>
  <c r="N490" i="3"/>
  <c r="M490" i="3"/>
  <c r="L490" i="3"/>
  <c r="K490" i="3"/>
  <c r="E490" i="3"/>
  <c r="E1598" i="3" s="1"/>
  <c r="D490" i="3"/>
  <c r="D1598" i="3" s="1"/>
  <c r="C490" i="3"/>
  <c r="C1598" i="3" s="1"/>
  <c r="B490" i="3"/>
  <c r="B1598" i="3" s="1"/>
  <c r="A490" i="3"/>
  <c r="A1598" i="3" s="1"/>
  <c r="O489" i="3"/>
  <c r="N489" i="3"/>
  <c r="M489" i="3"/>
  <c r="L489" i="3"/>
  <c r="K489" i="3"/>
  <c r="E489" i="3"/>
  <c r="E1597" i="3" s="1"/>
  <c r="D489" i="3"/>
  <c r="D1597" i="3" s="1"/>
  <c r="C489" i="3"/>
  <c r="C1597" i="3" s="1"/>
  <c r="B489" i="3"/>
  <c r="B1597" i="3" s="1"/>
  <c r="A489" i="3"/>
  <c r="A1597" i="3" s="1"/>
  <c r="O488" i="3"/>
  <c r="N488" i="3"/>
  <c r="M488" i="3"/>
  <c r="L488" i="3"/>
  <c r="K488" i="3"/>
  <c r="E488" i="3"/>
  <c r="E1596" i="3" s="1"/>
  <c r="D488" i="3"/>
  <c r="D1596" i="3" s="1"/>
  <c r="C488" i="3"/>
  <c r="C1596" i="3" s="1"/>
  <c r="B488" i="3"/>
  <c r="B1596" i="3" s="1"/>
  <c r="A488" i="3"/>
  <c r="A1596" i="3" s="1"/>
  <c r="O487" i="3"/>
  <c r="N487" i="3"/>
  <c r="M487" i="3"/>
  <c r="L487" i="3"/>
  <c r="K487" i="3"/>
  <c r="E487" i="3"/>
  <c r="E1595" i="3" s="1"/>
  <c r="D487" i="3"/>
  <c r="D1595" i="3" s="1"/>
  <c r="C487" i="3"/>
  <c r="C1595" i="3" s="1"/>
  <c r="B487" i="3"/>
  <c r="B1595" i="3" s="1"/>
  <c r="A487" i="3"/>
  <c r="A1595" i="3" s="1"/>
  <c r="O486" i="3"/>
  <c r="N486" i="3"/>
  <c r="M486" i="3"/>
  <c r="L486" i="3"/>
  <c r="K486" i="3"/>
  <c r="E486" i="3"/>
  <c r="E1594" i="3" s="1"/>
  <c r="D486" i="3"/>
  <c r="D1594" i="3" s="1"/>
  <c r="C486" i="3"/>
  <c r="C1594" i="3" s="1"/>
  <c r="B486" i="3"/>
  <c r="B1594" i="3" s="1"/>
  <c r="A486" i="3"/>
  <c r="A1594" i="3" s="1"/>
  <c r="O485" i="3"/>
  <c r="N485" i="3"/>
  <c r="M485" i="3"/>
  <c r="L485" i="3"/>
  <c r="K485" i="3"/>
  <c r="E485" i="3"/>
  <c r="E1593" i="3" s="1"/>
  <c r="D485" i="3"/>
  <c r="D1593" i="3" s="1"/>
  <c r="C485" i="3"/>
  <c r="C1593" i="3" s="1"/>
  <c r="B485" i="3"/>
  <c r="B1593" i="3" s="1"/>
  <c r="A485" i="3"/>
  <c r="A1593" i="3" s="1"/>
  <c r="O484" i="3"/>
  <c r="N484" i="3"/>
  <c r="M484" i="3"/>
  <c r="L484" i="3"/>
  <c r="K484" i="3"/>
  <c r="E484" i="3"/>
  <c r="E1592" i="3" s="1"/>
  <c r="D484" i="3"/>
  <c r="D1592" i="3" s="1"/>
  <c r="C484" i="3"/>
  <c r="C1592" i="3" s="1"/>
  <c r="B484" i="3"/>
  <c r="B1592" i="3" s="1"/>
  <c r="A484" i="3"/>
  <c r="A1592" i="3" s="1"/>
  <c r="O483" i="3"/>
  <c r="N483" i="3"/>
  <c r="M483" i="3"/>
  <c r="L483" i="3"/>
  <c r="K483" i="3"/>
  <c r="E483" i="3"/>
  <c r="E1591" i="3" s="1"/>
  <c r="D483" i="3"/>
  <c r="D1591" i="3" s="1"/>
  <c r="C483" i="3"/>
  <c r="C1591" i="3" s="1"/>
  <c r="B483" i="3"/>
  <c r="B1591" i="3" s="1"/>
  <c r="A483" i="3"/>
  <c r="A1591" i="3" s="1"/>
  <c r="O482" i="3"/>
  <c r="N482" i="3"/>
  <c r="M482" i="3"/>
  <c r="L482" i="3"/>
  <c r="K482" i="3"/>
  <c r="E482" i="3"/>
  <c r="E1590" i="3" s="1"/>
  <c r="D482" i="3"/>
  <c r="D1590" i="3" s="1"/>
  <c r="C482" i="3"/>
  <c r="C1590" i="3" s="1"/>
  <c r="B482" i="3"/>
  <c r="B1590" i="3" s="1"/>
  <c r="A482" i="3"/>
  <c r="A1590" i="3" s="1"/>
  <c r="O481" i="3"/>
  <c r="N481" i="3"/>
  <c r="M481" i="3"/>
  <c r="L481" i="3"/>
  <c r="K481" i="3"/>
  <c r="E481" i="3"/>
  <c r="B481" i="3"/>
  <c r="A481" i="3"/>
  <c r="O480" i="3"/>
  <c r="N480" i="3"/>
  <c r="M480" i="3"/>
  <c r="L480" i="3"/>
  <c r="K480" i="3"/>
  <c r="E480" i="3"/>
  <c r="B480" i="3"/>
  <c r="A480" i="3"/>
  <c r="O479" i="3"/>
  <c r="N479" i="3"/>
  <c r="M479" i="3"/>
  <c r="L479" i="3"/>
  <c r="K479" i="3"/>
  <c r="E479" i="3"/>
  <c r="B479" i="3"/>
  <c r="A479" i="3"/>
  <c r="O478" i="3"/>
  <c r="N478" i="3"/>
  <c r="M478" i="3"/>
  <c r="L478" i="3"/>
  <c r="K478" i="3"/>
  <c r="E478" i="3"/>
  <c r="E1589" i="3" s="1"/>
  <c r="D478" i="3"/>
  <c r="D1589" i="3" s="1"/>
  <c r="C478" i="3"/>
  <c r="C1589" i="3" s="1"/>
  <c r="B478" i="3"/>
  <c r="B1589" i="3" s="1"/>
  <c r="A478" i="3"/>
  <c r="A1589" i="3" s="1"/>
  <c r="O477" i="3"/>
  <c r="N477" i="3"/>
  <c r="M477" i="3"/>
  <c r="L477" i="3"/>
  <c r="K477" i="3"/>
  <c r="E477" i="3"/>
  <c r="E1588" i="3" s="1"/>
  <c r="D477" i="3"/>
  <c r="D1588" i="3" s="1"/>
  <c r="C477" i="3"/>
  <c r="C1588" i="3" s="1"/>
  <c r="B477" i="3"/>
  <c r="B1588" i="3" s="1"/>
  <c r="A477" i="3"/>
  <c r="A1588" i="3" s="1"/>
  <c r="O476" i="3"/>
  <c r="N476" i="3"/>
  <c r="M476" i="3"/>
  <c r="L476" i="3"/>
  <c r="K476" i="3"/>
  <c r="E476" i="3"/>
  <c r="E1587" i="3" s="1"/>
  <c r="D476" i="3"/>
  <c r="D1587" i="3" s="1"/>
  <c r="C476" i="3"/>
  <c r="C1587" i="3" s="1"/>
  <c r="B476" i="3"/>
  <c r="B1587" i="3" s="1"/>
  <c r="A476" i="3"/>
  <c r="A1587" i="3" s="1"/>
  <c r="O475" i="3"/>
  <c r="N475" i="3"/>
  <c r="M475" i="3"/>
  <c r="L475" i="3"/>
  <c r="K475" i="3"/>
  <c r="E475" i="3"/>
  <c r="E1586" i="3" s="1"/>
  <c r="D475" i="3"/>
  <c r="D1586" i="3" s="1"/>
  <c r="C475" i="3"/>
  <c r="C1586" i="3" s="1"/>
  <c r="B475" i="3"/>
  <c r="B1586" i="3" s="1"/>
  <c r="A475" i="3"/>
  <c r="A1586" i="3" s="1"/>
  <c r="O474" i="3"/>
  <c r="N474" i="3"/>
  <c r="M474" i="3"/>
  <c r="L474" i="3"/>
  <c r="K474" i="3"/>
  <c r="E474" i="3"/>
  <c r="E1585" i="3" s="1"/>
  <c r="D474" i="3"/>
  <c r="D1585" i="3" s="1"/>
  <c r="C474" i="3"/>
  <c r="C1585" i="3" s="1"/>
  <c r="B474" i="3"/>
  <c r="B1585" i="3" s="1"/>
  <c r="A474" i="3"/>
  <c r="A1585" i="3" s="1"/>
  <c r="O473" i="3"/>
  <c r="N473" i="3"/>
  <c r="M473" i="3"/>
  <c r="L473" i="3"/>
  <c r="K473" i="3"/>
  <c r="E473" i="3"/>
  <c r="E1584" i="3" s="1"/>
  <c r="D473" i="3"/>
  <c r="D1584" i="3" s="1"/>
  <c r="C473" i="3"/>
  <c r="C1584" i="3" s="1"/>
  <c r="B473" i="3"/>
  <c r="B1584" i="3" s="1"/>
  <c r="A473" i="3"/>
  <c r="A1584" i="3" s="1"/>
  <c r="O472" i="3"/>
  <c r="N472" i="3"/>
  <c r="M472" i="3"/>
  <c r="L472" i="3"/>
  <c r="K472" i="3"/>
  <c r="E472" i="3"/>
  <c r="E1583" i="3" s="1"/>
  <c r="D472" i="3"/>
  <c r="D1583" i="3" s="1"/>
  <c r="C472" i="3"/>
  <c r="C1583" i="3" s="1"/>
  <c r="B472" i="3"/>
  <c r="B1583" i="3" s="1"/>
  <c r="A472" i="3"/>
  <c r="A1583" i="3" s="1"/>
  <c r="O471" i="3"/>
  <c r="N471" i="3"/>
  <c r="M471" i="3"/>
  <c r="L471" i="3"/>
  <c r="K471" i="3"/>
  <c r="E471" i="3"/>
  <c r="E1582" i="3" s="1"/>
  <c r="D471" i="3"/>
  <c r="D1582" i="3" s="1"/>
  <c r="C471" i="3"/>
  <c r="C1582" i="3" s="1"/>
  <c r="B471" i="3"/>
  <c r="B1582" i="3" s="1"/>
  <c r="A471" i="3"/>
  <c r="A1582" i="3" s="1"/>
  <c r="O470" i="3"/>
  <c r="N470" i="3"/>
  <c r="M470" i="3"/>
  <c r="L470" i="3"/>
  <c r="K470" i="3"/>
  <c r="E470" i="3"/>
  <c r="E1581" i="3" s="1"/>
  <c r="D470" i="3"/>
  <c r="D1581" i="3" s="1"/>
  <c r="C470" i="3"/>
  <c r="C1581" i="3" s="1"/>
  <c r="B470" i="3"/>
  <c r="B1581" i="3" s="1"/>
  <c r="A470" i="3"/>
  <c r="A1581" i="3" s="1"/>
  <c r="O469" i="3"/>
  <c r="N469" i="3"/>
  <c r="M469" i="3"/>
  <c r="L469" i="3"/>
  <c r="K469" i="3"/>
  <c r="E469" i="3"/>
  <c r="E1580" i="3" s="1"/>
  <c r="D469" i="3"/>
  <c r="D1580" i="3" s="1"/>
  <c r="C469" i="3"/>
  <c r="C1580" i="3" s="1"/>
  <c r="B469" i="3"/>
  <c r="B1580" i="3" s="1"/>
  <c r="A469" i="3"/>
  <c r="A1580" i="3" s="1"/>
  <c r="O468" i="3"/>
  <c r="N468" i="3"/>
  <c r="M468" i="3"/>
  <c r="L468" i="3"/>
  <c r="K468" i="3"/>
  <c r="E468" i="3"/>
  <c r="E1579" i="3" s="1"/>
  <c r="D468" i="3"/>
  <c r="D1579" i="3" s="1"/>
  <c r="C468" i="3"/>
  <c r="C1579" i="3" s="1"/>
  <c r="B468" i="3"/>
  <c r="B1579" i="3" s="1"/>
  <c r="A468" i="3"/>
  <c r="A1579" i="3" s="1"/>
  <c r="O467" i="3"/>
  <c r="N467" i="3"/>
  <c r="M467" i="3"/>
  <c r="L467" i="3"/>
  <c r="K467" i="3"/>
  <c r="E467" i="3"/>
  <c r="E1578" i="3" s="1"/>
  <c r="D467" i="3"/>
  <c r="D1578" i="3" s="1"/>
  <c r="C467" i="3"/>
  <c r="C1578" i="3" s="1"/>
  <c r="B467" i="3"/>
  <c r="B1578" i="3" s="1"/>
  <c r="A467" i="3"/>
  <c r="A1578" i="3" s="1"/>
  <c r="O466" i="3"/>
  <c r="N466" i="3"/>
  <c r="M466" i="3"/>
  <c r="L466" i="3"/>
  <c r="K466" i="3"/>
  <c r="E466" i="3"/>
  <c r="E1577" i="3" s="1"/>
  <c r="D466" i="3"/>
  <c r="D1577" i="3" s="1"/>
  <c r="C466" i="3"/>
  <c r="C1577" i="3" s="1"/>
  <c r="B466" i="3"/>
  <c r="B1577" i="3" s="1"/>
  <c r="A466" i="3"/>
  <c r="A1577" i="3" s="1"/>
  <c r="O465" i="3"/>
  <c r="N465" i="3"/>
  <c r="M465" i="3"/>
  <c r="L465" i="3"/>
  <c r="K465" i="3"/>
  <c r="E465" i="3"/>
  <c r="E1576" i="3" s="1"/>
  <c r="D465" i="3"/>
  <c r="D1576" i="3" s="1"/>
  <c r="C465" i="3"/>
  <c r="C1576" i="3" s="1"/>
  <c r="B465" i="3"/>
  <c r="B1576" i="3" s="1"/>
  <c r="A465" i="3"/>
  <c r="A1576" i="3" s="1"/>
  <c r="O464" i="3"/>
  <c r="N464" i="3"/>
  <c r="M464" i="3"/>
  <c r="L464" i="3"/>
  <c r="K464" i="3"/>
  <c r="E464" i="3"/>
  <c r="E1575" i="3" s="1"/>
  <c r="D464" i="3"/>
  <c r="D1575" i="3" s="1"/>
  <c r="C464" i="3"/>
  <c r="C1575" i="3" s="1"/>
  <c r="B464" i="3"/>
  <c r="B1575" i="3" s="1"/>
  <c r="A464" i="3"/>
  <c r="A1575" i="3" s="1"/>
  <c r="O463" i="3"/>
  <c r="N463" i="3"/>
  <c r="M463" i="3"/>
  <c r="L463" i="3"/>
  <c r="K463" i="3"/>
  <c r="E463" i="3"/>
  <c r="E1574" i="3" s="1"/>
  <c r="D463" i="3"/>
  <c r="D1574" i="3" s="1"/>
  <c r="C463" i="3"/>
  <c r="C1574" i="3" s="1"/>
  <c r="B463" i="3"/>
  <c r="B1574" i="3" s="1"/>
  <c r="A463" i="3"/>
  <c r="A1574" i="3" s="1"/>
  <c r="O462" i="3"/>
  <c r="N462" i="3"/>
  <c r="M462" i="3"/>
  <c r="L462" i="3"/>
  <c r="K462" i="3"/>
  <c r="E462" i="3"/>
  <c r="E1573" i="3" s="1"/>
  <c r="D462" i="3"/>
  <c r="D1573" i="3" s="1"/>
  <c r="C462" i="3"/>
  <c r="C1573" i="3" s="1"/>
  <c r="B462" i="3"/>
  <c r="B1573" i="3" s="1"/>
  <c r="A462" i="3"/>
  <c r="A1573" i="3" s="1"/>
  <c r="O461" i="3"/>
  <c r="N461" i="3"/>
  <c r="M461" i="3"/>
  <c r="L461" i="3"/>
  <c r="K461" i="3"/>
  <c r="E461" i="3"/>
  <c r="E1572" i="3" s="1"/>
  <c r="D461" i="3"/>
  <c r="D1572" i="3" s="1"/>
  <c r="C461" i="3"/>
  <c r="C1572" i="3" s="1"/>
  <c r="B461" i="3"/>
  <c r="B1572" i="3" s="1"/>
  <c r="A461" i="3"/>
  <c r="A1572" i="3" s="1"/>
  <c r="O460" i="3"/>
  <c r="N460" i="3"/>
  <c r="M460" i="3"/>
  <c r="L460" i="3"/>
  <c r="K460" i="3"/>
  <c r="E460" i="3"/>
  <c r="E1571" i="3" s="1"/>
  <c r="D460" i="3"/>
  <c r="D1571" i="3" s="1"/>
  <c r="C460" i="3"/>
  <c r="C1571" i="3" s="1"/>
  <c r="B460" i="3"/>
  <c r="B1571" i="3" s="1"/>
  <c r="A460" i="3"/>
  <c r="A1571" i="3" s="1"/>
  <c r="O459" i="3"/>
  <c r="N459" i="3"/>
  <c r="M459" i="3"/>
  <c r="L459" i="3"/>
  <c r="K459" i="3"/>
  <c r="E459" i="3"/>
  <c r="E1570" i="3" s="1"/>
  <c r="D459" i="3"/>
  <c r="D1570" i="3" s="1"/>
  <c r="C459" i="3"/>
  <c r="C1570" i="3" s="1"/>
  <c r="B459" i="3"/>
  <c r="B1570" i="3" s="1"/>
  <c r="A459" i="3"/>
  <c r="A1570" i="3" s="1"/>
  <c r="O458" i="3"/>
  <c r="N458" i="3"/>
  <c r="M458" i="3"/>
  <c r="L458" i="3"/>
  <c r="K458" i="3"/>
  <c r="E458" i="3"/>
  <c r="B458" i="3"/>
  <c r="A458" i="3"/>
  <c r="O457" i="3"/>
  <c r="N457" i="3"/>
  <c r="M457" i="3"/>
  <c r="L457" i="3"/>
  <c r="K457" i="3"/>
  <c r="E457" i="3"/>
  <c r="B457" i="3"/>
  <c r="A457" i="3"/>
  <c r="O456" i="3"/>
  <c r="N456" i="3"/>
  <c r="M456" i="3"/>
  <c r="L456" i="3"/>
  <c r="K456" i="3"/>
  <c r="E456" i="3"/>
  <c r="B456" i="3"/>
  <c r="A456" i="3"/>
  <c r="O455" i="3"/>
  <c r="N455" i="3"/>
  <c r="M455" i="3"/>
  <c r="L455" i="3"/>
  <c r="K455" i="3"/>
  <c r="J455" i="3"/>
  <c r="I455" i="3"/>
  <c r="I454" i="3" s="1"/>
  <c r="H455" i="3"/>
  <c r="G455" i="3"/>
  <c r="G454" i="3" s="1"/>
  <c r="F455" i="3"/>
  <c r="E455" i="3"/>
  <c r="B455" i="3"/>
  <c r="A455" i="3"/>
  <c r="O454" i="3"/>
  <c r="N454" i="3"/>
  <c r="M454" i="3"/>
  <c r="L454" i="3"/>
  <c r="K454" i="3"/>
  <c r="J454" i="3"/>
  <c r="H454" i="3"/>
  <c r="F454" i="3"/>
  <c r="E454" i="3"/>
  <c r="B454" i="3"/>
  <c r="A454" i="3"/>
  <c r="O453" i="3"/>
  <c r="N453" i="3"/>
  <c r="M453" i="3"/>
  <c r="L453" i="3"/>
  <c r="K453" i="3"/>
  <c r="E453" i="3"/>
  <c r="E1569" i="3" s="1"/>
  <c r="D453" i="3"/>
  <c r="D1569" i="3" s="1"/>
  <c r="C453" i="3"/>
  <c r="C1569" i="3" s="1"/>
  <c r="B453" i="3"/>
  <c r="B1569" i="3" s="1"/>
  <c r="A453" i="3"/>
  <c r="A1569" i="3" s="1"/>
  <c r="O452" i="3"/>
  <c r="N452" i="3"/>
  <c r="M452" i="3"/>
  <c r="L452" i="3"/>
  <c r="K452" i="3"/>
  <c r="E452" i="3"/>
  <c r="E1568" i="3" s="1"/>
  <c r="D452" i="3"/>
  <c r="D1568" i="3" s="1"/>
  <c r="C452" i="3"/>
  <c r="C1568" i="3" s="1"/>
  <c r="B452" i="3"/>
  <c r="B1568" i="3" s="1"/>
  <c r="A452" i="3"/>
  <c r="A1568" i="3" s="1"/>
  <c r="O451" i="3"/>
  <c r="N451" i="3"/>
  <c r="M451" i="3"/>
  <c r="L451" i="3"/>
  <c r="K451" i="3"/>
  <c r="E451" i="3"/>
  <c r="E1567" i="3" s="1"/>
  <c r="D451" i="3"/>
  <c r="D1567" i="3" s="1"/>
  <c r="C451" i="3"/>
  <c r="C1567" i="3" s="1"/>
  <c r="B451" i="3"/>
  <c r="B1567" i="3" s="1"/>
  <c r="A451" i="3"/>
  <c r="A1567" i="3" s="1"/>
  <c r="O450" i="3"/>
  <c r="N450" i="3"/>
  <c r="M450" i="3"/>
  <c r="L450" i="3"/>
  <c r="K450" i="3"/>
  <c r="E450" i="3"/>
  <c r="E1566" i="3" s="1"/>
  <c r="D450" i="3"/>
  <c r="D1566" i="3" s="1"/>
  <c r="C450" i="3"/>
  <c r="C1566" i="3" s="1"/>
  <c r="B450" i="3"/>
  <c r="B1566" i="3" s="1"/>
  <c r="A450" i="3"/>
  <c r="A1566" i="3" s="1"/>
  <c r="O449" i="3"/>
  <c r="N449" i="3"/>
  <c r="M449" i="3"/>
  <c r="L449" i="3"/>
  <c r="K449" i="3"/>
  <c r="E449" i="3"/>
  <c r="E1565" i="3" s="1"/>
  <c r="D449" i="3"/>
  <c r="D1565" i="3" s="1"/>
  <c r="C449" i="3"/>
  <c r="C1565" i="3" s="1"/>
  <c r="B449" i="3"/>
  <c r="B1565" i="3" s="1"/>
  <c r="A449" i="3"/>
  <c r="A1565" i="3" s="1"/>
  <c r="O448" i="3"/>
  <c r="N448" i="3"/>
  <c r="M448" i="3"/>
  <c r="L448" i="3"/>
  <c r="K448" i="3"/>
  <c r="E448" i="3"/>
  <c r="E1564" i="3" s="1"/>
  <c r="D448" i="3"/>
  <c r="D1564" i="3" s="1"/>
  <c r="C448" i="3"/>
  <c r="C1564" i="3" s="1"/>
  <c r="B448" i="3"/>
  <c r="B1564" i="3" s="1"/>
  <c r="A448" i="3"/>
  <c r="A1564" i="3" s="1"/>
  <c r="O447" i="3"/>
  <c r="N447" i="3"/>
  <c r="M447" i="3"/>
  <c r="L447" i="3"/>
  <c r="K447" i="3"/>
  <c r="E447" i="3"/>
  <c r="E1563" i="3" s="1"/>
  <c r="D447" i="3"/>
  <c r="D1563" i="3" s="1"/>
  <c r="C447" i="3"/>
  <c r="C1563" i="3" s="1"/>
  <c r="B447" i="3"/>
  <c r="B1563" i="3" s="1"/>
  <c r="A447" i="3"/>
  <c r="A1563" i="3" s="1"/>
  <c r="O446" i="3"/>
  <c r="N446" i="3"/>
  <c r="M446" i="3"/>
  <c r="L446" i="3"/>
  <c r="K446" i="3"/>
  <c r="E446" i="3"/>
  <c r="E1562" i="3" s="1"/>
  <c r="D446" i="3"/>
  <c r="D1562" i="3" s="1"/>
  <c r="C446" i="3"/>
  <c r="C1562" i="3" s="1"/>
  <c r="B446" i="3"/>
  <c r="B1562" i="3" s="1"/>
  <c r="A446" i="3"/>
  <c r="A1562" i="3" s="1"/>
  <c r="O445" i="3"/>
  <c r="N445" i="3"/>
  <c r="M445" i="3"/>
  <c r="L445" i="3"/>
  <c r="K445" i="3"/>
  <c r="E445" i="3"/>
  <c r="E1561" i="3" s="1"/>
  <c r="D445" i="3"/>
  <c r="D1561" i="3" s="1"/>
  <c r="C445" i="3"/>
  <c r="C1561" i="3" s="1"/>
  <c r="B445" i="3"/>
  <c r="B1561" i="3" s="1"/>
  <c r="A445" i="3"/>
  <c r="A1561" i="3" s="1"/>
  <c r="O444" i="3"/>
  <c r="N444" i="3"/>
  <c r="M444" i="3"/>
  <c r="L444" i="3"/>
  <c r="K444" i="3"/>
  <c r="E444" i="3"/>
  <c r="E1560" i="3" s="1"/>
  <c r="D444" i="3"/>
  <c r="D1560" i="3" s="1"/>
  <c r="C444" i="3"/>
  <c r="C1560" i="3" s="1"/>
  <c r="B444" i="3"/>
  <c r="B1560" i="3" s="1"/>
  <c r="A444" i="3"/>
  <c r="A1560" i="3" s="1"/>
  <c r="O443" i="3"/>
  <c r="N443" i="3"/>
  <c r="M443" i="3"/>
  <c r="L443" i="3"/>
  <c r="K443" i="3"/>
  <c r="E443" i="3"/>
  <c r="E1559" i="3" s="1"/>
  <c r="D443" i="3"/>
  <c r="D1559" i="3" s="1"/>
  <c r="C443" i="3"/>
  <c r="C1559" i="3" s="1"/>
  <c r="B443" i="3"/>
  <c r="B1559" i="3" s="1"/>
  <c r="A443" i="3"/>
  <c r="A1559" i="3" s="1"/>
  <c r="O442" i="3"/>
  <c r="N442" i="3"/>
  <c r="M442" i="3"/>
  <c r="L442" i="3"/>
  <c r="K442" i="3"/>
  <c r="E442" i="3"/>
  <c r="E1558" i="3" s="1"/>
  <c r="D442" i="3"/>
  <c r="D1558" i="3" s="1"/>
  <c r="C442" i="3"/>
  <c r="C1558" i="3" s="1"/>
  <c r="B442" i="3"/>
  <c r="B1558" i="3" s="1"/>
  <c r="A442" i="3"/>
  <c r="A1558" i="3" s="1"/>
  <c r="O441" i="3"/>
  <c r="N441" i="3"/>
  <c r="M441" i="3"/>
  <c r="L441" i="3"/>
  <c r="K441" i="3"/>
  <c r="E441" i="3"/>
  <c r="E1557" i="3" s="1"/>
  <c r="D441" i="3"/>
  <c r="D1557" i="3" s="1"/>
  <c r="C441" i="3"/>
  <c r="C1557" i="3" s="1"/>
  <c r="B441" i="3"/>
  <c r="B1557" i="3" s="1"/>
  <c r="A441" i="3"/>
  <c r="A1557" i="3" s="1"/>
  <c r="O440" i="3"/>
  <c r="N440" i="3"/>
  <c r="M440" i="3"/>
  <c r="L440" i="3"/>
  <c r="K440" i="3"/>
  <c r="E440" i="3"/>
  <c r="E1556" i="3" s="1"/>
  <c r="D440" i="3"/>
  <c r="D1556" i="3" s="1"/>
  <c r="C440" i="3"/>
  <c r="C1556" i="3" s="1"/>
  <c r="B440" i="3"/>
  <c r="B1556" i="3" s="1"/>
  <c r="A440" i="3"/>
  <c r="A1556" i="3" s="1"/>
  <c r="O439" i="3"/>
  <c r="N439" i="3"/>
  <c r="M439" i="3"/>
  <c r="L439" i="3"/>
  <c r="K439" i="3"/>
  <c r="E439" i="3"/>
  <c r="E1555" i="3" s="1"/>
  <c r="D439" i="3"/>
  <c r="D1555" i="3" s="1"/>
  <c r="C439" i="3"/>
  <c r="C1555" i="3" s="1"/>
  <c r="B439" i="3"/>
  <c r="B1555" i="3" s="1"/>
  <c r="A439" i="3"/>
  <c r="A1555" i="3" s="1"/>
  <c r="O438" i="3"/>
  <c r="N438" i="3"/>
  <c r="M438" i="3"/>
  <c r="L438" i="3"/>
  <c r="K438" i="3"/>
  <c r="E438" i="3"/>
  <c r="E1554" i="3" s="1"/>
  <c r="D438" i="3"/>
  <c r="D1554" i="3" s="1"/>
  <c r="C438" i="3"/>
  <c r="C1554" i="3" s="1"/>
  <c r="B438" i="3"/>
  <c r="B1554" i="3" s="1"/>
  <c r="A438" i="3"/>
  <c r="A1554" i="3" s="1"/>
  <c r="O437" i="3"/>
  <c r="N437" i="3"/>
  <c r="M437" i="3"/>
  <c r="L437" i="3"/>
  <c r="K437" i="3"/>
  <c r="E437" i="3"/>
  <c r="E1553" i="3" s="1"/>
  <c r="D437" i="3"/>
  <c r="D1553" i="3" s="1"/>
  <c r="C437" i="3"/>
  <c r="C1553" i="3" s="1"/>
  <c r="B437" i="3"/>
  <c r="B1553" i="3" s="1"/>
  <c r="A437" i="3"/>
  <c r="A1553" i="3" s="1"/>
  <c r="O436" i="3"/>
  <c r="N436" i="3"/>
  <c r="M436" i="3"/>
  <c r="L436" i="3"/>
  <c r="K436" i="3"/>
  <c r="E436" i="3"/>
  <c r="E1552" i="3" s="1"/>
  <c r="D436" i="3"/>
  <c r="D1552" i="3" s="1"/>
  <c r="C436" i="3"/>
  <c r="C1552" i="3" s="1"/>
  <c r="B436" i="3"/>
  <c r="B1552" i="3" s="1"/>
  <c r="A436" i="3"/>
  <c r="A1552" i="3" s="1"/>
  <c r="O435" i="3"/>
  <c r="N435" i="3"/>
  <c r="M435" i="3"/>
  <c r="L435" i="3"/>
  <c r="K435" i="3"/>
  <c r="E435" i="3"/>
  <c r="E1551" i="3" s="1"/>
  <c r="D435" i="3"/>
  <c r="D1551" i="3" s="1"/>
  <c r="C435" i="3"/>
  <c r="C1551" i="3" s="1"/>
  <c r="B435" i="3"/>
  <c r="B1551" i="3" s="1"/>
  <c r="A435" i="3"/>
  <c r="A1551" i="3" s="1"/>
  <c r="O434" i="3"/>
  <c r="N434" i="3"/>
  <c r="M434" i="3"/>
  <c r="L434" i="3"/>
  <c r="K434" i="3"/>
  <c r="E434" i="3"/>
  <c r="E1550" i="3" s="1"/>
  <c r="D434" i="3"/>
  <c r="D1550" i="3" s="1"/>
  <c r="C434" i="3"/>
  <c r="C1550" i="3" s="1"/>
  <c r="B434" i="3"/>
  <c r="B1550" i="3" s="1"/>
  <c r="A434" i="3"/>
  <c r="A1550" i="3" s="1"/>
  <c r="O433" i="3"/>
  <c r="N433" i="3"/>
  <c r="M433" i="3"/>
  <c r="L433" i="3"/>
  <c r="K433" i="3"/>
  <c r="E433" i="3"/>
  <c r="E1549" i="3" s="1"/>
  <c r="D433" i="3"/>
  <c r="D1549" i="3" s="1"/>
  <c r="C433" i="3"/>
  <c r="C1549" i="3" s="1"/>
  <c r="B433" i="3"/>
  <c r="B1549" i="3" s="1"/>
  <c r="A433" i="3"/>
  <c r="A1549" i="3" s="1"/>
  <c r="O432" i="3"/>
  <c r="N432" i="3"/>
  <c r="M432" i="3"/>
  <c r="L432" i="3"/>
  <c r="K432" i="3"/>
  <c r="E432" i="3"/>
  <c r="E1548" i="3" s="1"/>
  <c r="D432" i="3"/>
  <c r="D1548" i="3" s="1"/>
  <c r="C432" i="3"/>
  <c r="C1548" i="3" s="1"/>
  <c r="B432" i="3"/>
  <c r="B1548" i="3" s="1"/>
  <c r="A432" i="3"/>
  <c r="A1548" i="3" s="1"/>
  <c r="O431" i="3"/>
  <c r="N431" i="3"/>
  <c r="M431" i="3"/>
  <c r="L431" i="3"/>
  <c r="K431" i="3"/>
  <c r="E431" i="3"/>
  <c r="E1547" i="3" s="1"/>
  <c r="D431" i="3"/>
  <c r="D1547" i="3" s="1"/>
  <c r="C431" i="3"/>
  <c r="C1547" i="3" s="1"/>
  <c r="B431" i="3"/>
  <c r="B1547" i="3" s="1"/>
  <c r="A431" i="3"/>
  <c r="A1547" i="3" s="1"/>
  <c r="O430" i="3"/>
  <c r="N430" i="3"/>
  <c r="M430" i="3"/>
  <c r="L430" i="3"/>
  <c r="K430" i="3"/>
  <c r="E430" i="3"/>
  <c r="E1546" i="3" s="1"/>
  <c r="D430" i="3"/>
  <c r="D1546" i="3" s="1"/>
  <c r="C430" i="3"/>
  <c r="C1546" i="3" s="1"/>
  <c r="B430" i="3"/>
  <c r="B1546" i="3" s="1"/>
  <c r="A430" i="3"/>
  <c r="A1546" i="3" s="1"/>
  <c r="O429" i="3"/>
  <c r="N429" i="3"/>
  <c r="M429" i="3"/>
  <c r="L429" i="3"/>
  <c r="K429" i="3"/>
  <c r="E429" i="3"/>
  <c r="E1545" i="3" s="1"/>
  <c r="D429" i="3"/>
  <c r="D1545" i="3" s="1"/>
  <c r="C429" i="3"/>
  <c r="C1545" i="3" s="1"/>
  <c r="B429" i="3"/>
  <c r="B1545" i="3" s="1"/>
  <c r="A429" i="3"/>
  <c r="A1545" i="3" s="1"/>
  <c r="O428" i="3"/>
  <c r="N428" i="3"/>
  <c r="M428" i="3"/>
  <c r="L428" i="3"/>
  <c r="K428" i="3"/>
  <c r="E428" i="3"/>
  <c r="E1544" i="3" s="1"/>
  <c r="D428" i="3"/>
  <c r="D1544" i="3" s="1"/>
  <c r="C428" i="3"/>
  <c r="C1544" i="3" s="1"/>
  <c r="B428" i="3"/>
  <c r="B1544" i="3" s="1"/>
  <c r="A428" i="3"/>
  <c r="A1544" i="3" s="1"/>
  <c r="O427" i="3"/>
  <c r="N427" i="3"/>
  <c r="M427" i="3"/>
  <c r="L427" i="3"/>
  <c r="K427" i="3"/>
  <c r="E427" i="3"/>
  <c r="E1543" i="3" s="1"/>
  <c r="D427" i="3"/>
  <c r="D1543" i="3" s="1"/>
  <c r="C427" i="3"/>
  <c r="C1543" i="3" s="1"/>
  <c r="B427" i="3"/>
  <c r="B1543" i="3" s="1"/>
  <c r="A427" i="3"/>
  <c r="A1543" i="3" s="1"/>
  <c r="O426" i="3"/>
  <c r="N426" i="3"/>
  <c r="M426" i="3"/>
  <c r="L426" i="3"/>
  <c r="K426" i="3"/>
  <c r="E426" i="3"/>
  <c r="E1542" i="3" s="1"/>
  <c r="D426" i="3"/>
  <c r="D1542" i="3" s="1"/>
  <c r="C426" i="3"/>
  <c r="C1542" i="3" s="1"/>
  <c r="B426" i="3"/>
  <c r="B1542" i="3" s="1"/>
  <c r="A426" i="3"/>
  <c r="A1542" i="3" s="1"/>
  <c r="O425" i="3"/>
  <c r="N425" i="3"/>
  <c r="M425" i="3"/>
  <c r="L425" i="3"/>
  <c r="K425" i="3"/>
  <c r="E425" i="3"/>
  <c r="E1541" i="3" s="1"/>
  <c r="D425" i="3"/>
  <c r="D1541" i="3" s="1"/>
  <c r="C425" i="3"/>
  <c r="C1541" i="3" s="1"/>
  <c r="B425" i="3"/>
  <c r="B1541" i="3" s="1"/>
  <c r="A425" i="3"/>
  <c r="A1541" i="3" s="1"/>
  <c r="O424" i="3"/>
  <c r="N424" i="3"/>
  <c r="M424" i="3"/>
  <c r="L424" i="3"/>
  <c r="K424" i="3"/>
  <c r="E424" i="3"/>
  <c r="E1540" i="3" s="1"/>
  <c r="D424" i="3"/>
  <c r="D1540" i="3" s="1"/>
  <c r="C424" i="3"/>
  <c r="C1540" i="3" s="1"/>
  <c r="B424" i="3"/>
  <c r="B1540" i="3" s="1"/>
  <c r="A424" i="3"/>
  <c r="A1540" i="3" s="1"/>
  <c r="O423" i="3"/>
  <c r="N423" i="3"/>
  <c r="M423" i="3"/>
  <c r="L423" i="3"/>
  <c r="K423" i="3"/>
  <c r="E423" i="3"/>
  <c r="E1539" i="3" s="1"/>
  <c r="D423" i="3"/>
  <c r="D1539" i="3" s="1"/>
  <c r="C423" i="3"/>
  <c r="C1539" i="3" s="1"/>
  <c r="B423" i="3"/>
  <c r="B1539" i="3" s="1"/>
  <c r="A423" i="3"/>
  <c r="A1539" i="3" s="1"/>
  <c r="O422" i="3"/>
  <c r="N422" i="3"/>
  <c r="M422" i="3"/>
  <c r="L422" i="3"/>
  <c r="K422" i="3"/>
  <c r="E422" i="3"/>
  <c r="E1538" i="3" s="1"/>
  <c r="D422" i="3"/>
  <c r="D1538" i="3" s="1"/>
  <c r="C422" i="3"/>
  <c r="C1538" i="3" s="1"/>
  <c r="B422" i="3"/>
  <c r="B1538" i="3" s="1"/>
  <c r="A422" i="3"/>
  <c r="A1538" i="3" s="1"/>
  <c r="O421" i="3"/>
  <c r="N421" i="3"/>
  <c r="M421" i="3"/>
  <c r="L421" i="3"/>
  <c r="K421" i="3"/>
  <c r="E421" i="3"/>
  <c r="E1537" i="3" s="1"/>
  <c r="D421" i="3"/>
  <c r="D1537" i="3" s="1"/>
  <c r="C421" i="3"/>
  <c r="C1537" i="3" s="1"/>
  <c r="B421" i="3"/>
  <c r="B1537" i="3" s="1"/>
  <c r="A421" i="3"/>
  <c r="A1537" i="3" s="1"/>
  <c r="O420" i="3"/>
  <c r="N420" i="3"/>
  <c r="M420" i="3"/>
  <c r="L420" i="3"/>
  <c r="K420" i="3"/>
  <c r="E420" i="3"/>
  <c r="E1536" i="3" s="1"/>
  <c r="D420" i="3"/>
  <c r="D1536" i="3" s="1"/>
  <c r="C420" i="3"/>
  <c r="C1536" i="3" s="1"/>
  <c r="B420" i="3"/>
  <c r="B1536" i="3" s="1"/>
  <c r="A420" i="3"/>
  <c r="A1536" i="3" s="1"/>
  <c r="O419" i="3"/>
  <c r="N419" i="3"/>
  <c r="M419" i="3"/>
  <c r="L419" i="3"/>
  <c r="K419" i="3"/>
  <c r="E419" i="3"/>
  <c r="E1535" i="3" s="1"/>
  <c r="D419" i="3"/>
  <c r="D1535" i="3" s="1"/>
  <c r="C419" i="3"/>
  <c r="C1535" i="3" s="1"/>
  <c r="B419" i="3"/>
  <c r="B1535" i="3" s="1"/>
  <c r="A419" i="3"/>
  <c r="A1535" i="3" s="1"/>
  <c r="O418" i="3"/>
  <c r="N418" i="3"/>
  <c r="M418" i="3"/>
  <c r="L418" i="3"/>
  <c r="K418" i="3"/>
  <c r="E418" i="3"/>
  <c r="E1534" i="3" s="1"/>
  <c r="D418" i="3"/>
  <c r="D1534" i="3" s="1"/>
  <c r="C418" i="3"/>
  <c r="C1534" i="3" s="1"/>
  <c r="B418" i="3"/>
  <c r="B1534" i="3" s="1"/>
  <c r="A418" i="3"/>
  <c r="A1534" i="3" s="1"/>
  <c r="O417" i="3"/>
  <c r="N417" i="3"/>
  <c r="M417" i="3"/>
  <c r="L417" i="3"/>
  <c r="K417" i="3"/>
  <c r="E417" i="3"/>
  <c r="E1533" i="3" s="1"/>
  <c r="D417" i="3"/>
  <c r="D1533" i="3" s="1"/>
  <c r="C417" i="3"/>
  <c r="C1533" i="3" s="1"/>
  <c r="B417" i="3"/>
  <c r="B1533" i="3" s="1"/>
  <c r="A417" i="3"/>
  <c r="A1533" i="3" s="1"/>
  <c r="O416" i="3"/>
  <c r="N416" i="3"/>
  <c r="M416" i="3"/>
  <c r="L416" i="3"/>
  <c r="K416" i="3"/>
  <c r="E416" i="3"/>
  <c r="E1532" i="3" s="1"/>
  <c r="D416" i="3"/>
  <c r="D1532" i="3" s="1"/>
  <c r="C416" i="3"/>
  <c r="C1532" i="3" s="1"/>
  <c r="B416" i="3"/>
  <c r="B1532" i="3" s="1"/>
  <c r="A416" i="3"/>
  <c r="A1532" i="3" s="1"/>
  <c r="O415" i="3"/>
  <c r="N415" i="3"/>
  <c r="M415" i="3"/>
  <c r="L415" i="3"/>
  <c r="K415" i="3"/>
  <c r="E415" i="3"/>
  <c r="E1531" i="3" s="1"/>
  <c r="D415" i="3"/>
  <c r="D1531" i="3" s="1"/>
  <c r="C415" i="3"/>
  <c r="C1531" i="3" s="1"/>
  <c r="B415" i="3"/>
  <c r="B1531" i="3" s="1"/>
  <c r="A415" i="3"/>
  <c r="A1531" i="3" s="1"/>
  <c r="O414" i="3"/>
  <c r="N414" i="3"/>
  <c r="M414" i="3"/>
  <c r="L414" i="3"/>
  <c r="K414" i="3"/>
  <c r="E414" i="3"/>
  <c r="E1530" i="3" s="1"/>
  <c r="D414" i="3"/>
  <c r="D1530" i="3" s="1"/>
  <c r="C414" i="3"/>
  <c r="C1530" i="3" s="1"/>
  <c r="B414" i="3"/>
  <c r="B1530" i="3" s="1"/>
  <c r="A414" i="3"/>
  <c r="A1530" i="3" s="1"/>
  <c r="O413" i="3"/>
  <c r="N413" i="3"/>
  <c r="M413" i="3"/>
  <c r="L413" i="3"/>
  <c r="K413" i="3"/>
  <c r="E413" i="3"/>
  <c r="E1529" i="3" s="1"/>
  <c r="D413" i="3"/>
  <c r="D1529" i="3" s="1"/>
  <c r="C413" i="3"/>
  <c r="C1529" i="3" s="1"/>
  <c r="B413" i="3"/>
  <c r="B1529" i="3" s="1"/>
  <c r="A413" i="3"/>
  <c r="A1529" i="3" s="1"/>
  <c r="O412" i="3"/>
  <c r="N412" i="3"/>
  <c r="M412" i="3"/>
  <c r="L412" i="3"/>
  <c r="K412" i="3"/>
  <c r="E412" i="3"/>
  <c r="E1528" i="3" s="1"/>
  <c r="D412" i="3"/>
  <c r="D1528" i="3" s="1"/>
  <c r="C412" i="3"/>
  <c r="C1528" i="3" s="1"/>
  <c r="B412" i="3"/>
  <c r="B1528" i="3" s="1"/>
  <c r="A412" i="3"/>
  <c r="A1528" i="3" s="1"/>
  <c r="O411" i="3"/>
  <c r="N411" i="3"/>
  <c r="M411" i="3"/>
  <c r="L411" i="3"/>
  <c r="K411" i="3"/>
  <c r="E411" i="3"/>
  <c r="E1527" i="3" s="1"/>
  <c r="D411" i="3"/>
  <c r="D1527" i="3" s="1"/>
  <c r="C411" i="3"/>
  <c r="C1527" i="3" s="1"/>
  <c r="B411" i="3"/>
  <c r="B1527" i="3" s="1"/>
  <c r="A411" i="3"/>
  <c r="A1527" i="3" s="1"/>
  <c r="O410" i="3"/>
  <c r="N410" i="3"/>
  <c r="M410" i="3"/>
  <c r="L410" i="3"/>
  <c r="K410" i="3"/>
  <c r="E410" i="3"/>
  <c r="E1526" i="3" s="1"/>
  <c r="D410" i="3"/>
  <c r="D1526" i="3" s="1"/>
  <c r="C410" i="3"/>
  <c r="C1526" i="3" s="1"/>
  <c r="B410" i="3"/>
  <c r="B1526" i="3" s="1"/>
  <c r="A410" i="3"/>
  <c r="A1526" i="3" s="1"/>
  <c r="O409" i="3"/>
  <c r="N409" i="3"/>
  <c r="M409" i="3"/>
  <c r="L409" i="3"/>
  <c r="K409" i="3"/>
  <c r="E409" i="3"/>
  <c r="E1525" i="3" s="1"/>
  <c r="D409" i="3"/>
  <c r="D1525" i="3" s="1"/>
  <c r="C409" i="3"/>
  <c r="C1525" i="3" s="1"/>
  <c r="B409" i="3"/>
  <c r="B1525" i="3" s="1"/>
  <c r="A409" i="3"/>
  <c r="A1525" i="3" s="1"/>
  <c r="O408" i="3"/>
  <c r="N408" i="3"/>
  <c r="M408" i="3"/>
  <c r="L408" i="3"/>
  <c r="K408" i="3"/>
  <c r="E408" i="3"/>
  <c r="E1524" i="3" s="1"/>
  <c r="D408" i="3"/>
  <c r="D1524" i="3" s="1"/>
  <c r="C408" i="3"/>
  <c r="C1524" i="3" s="1"/>
  <c r="B408" i="3"/>
  <c r="B1524" i="3" s="1"/>
  <c r="A408" i="3"/>
  <c r="A1524" i="3" s="1"/>
  <c r="O407" i="3"/>
  <c r="N407" i="3"/>
  <c r="M407" i="3"/>
  <c r="L407" i="3"/>
  <c r="K407" i="3"/>
  <c r="E407" i="3"/>
  <c r="E1523" i="3" s="1"/>
  <c r="D407" i="3"/>
  <c r="D1523" i="3" s="1"/>
  <c r="C407" i="3"/>
  <c r="C1523" i="3" s="1"/>
  <c r="B407" i="3"/>
  <c r="B1523" i="3" s="1"/>
  <c r="A407" i="3"/>
  <c r="A1523" i="3" s="1"/>
  <c r="O406" i="3"/>
  <c r="N406" i="3"/>
  <c r="M406" i="3"/>
  <c r="L406" i="3"/>
  <c r="K406" i="3"/>
  <c r="E406" i="3"/>
  <c r="E1522" i="3" s="1"/>
  <c r="D406" i="3"/>
  <c r="D1522" i="3" s="1"/>
  <c r="C406" i="3"/>
  <c r="C1522" i="3" s="1"/>
  <c r="B406" i="3"/>
  <c r="B1522" i="3" s="1"/>
  <c r="A406" i="3"/>
  <c r="A1522" i="3" s="1"/>
  <c r="O405" i="3"/>
  <c r="N405" i="3"/>
  <c r="M405" i="3"/>
  <c r="L405" i="3"/>
  <c r="K405" i="3"/>
  <c r="E405" i="3"/>
  <c r="E1521" i="3" s="1"/>
  <c r="D405" i="3"/>
  <c r="D1521" i="3" s="1"/>
  <c r="C405" i="3"/>
  <c r="C1521" i="3" s="1"/>
  <c r="B405" i="3"/>
  <c r="B1521" i="3" s="1"/>
  <c r="A405" i="3"/>
  <c r="A1521" i="3" s="1"/>
  <c r="O404" i="3"/>
  <c r="N404" i="3"/>
  <c r="M404" i="3"/>
  <c r="L404" i="3"/>
  <c r="K404" i="3"/>
  <c r="E404" i="3"/>
  <c r="E1520" i="3" s="1"/>
  <c r="D404" i="3"/>
  <c r="D1520" i="3" s="1"/>
  <c r="C404" i="3"/>
  <c r="C1520" i="3" s="1"/>
  <c r="B404" i="3"/>
  <c r="B1520" i="3" s="1"/>
  <c r="A404" i="3"/>
  <c r="A1520" i="3" s="1"/>
  <c r="O403" i="3"/>
  <c r="N403" i="3"/>
  <c r="M403" i="3"/>
  <c r="L403" i="3"/>
  <c r="K403" i="3"/>
  <c r="E403" i="3"/>
  <c r="E1519" i="3" s="1"/>
  <c r="D403" i="3"/>
  <c r="D1519" i="3" s="1"/>
  <c r="C403" i="3"/>
  <c r="C1519" i="3" s="1"/>
  <c r="B403" i="3"/>
  <c r="B1519" i="3" s="1"/>
  <c r="A403" i="3"/>
  <c r="A1519" i="3" s="1"/>
  <c r="O402" i="3"/>
  <c r="N402" i="3"/>
  <c r="M402" i="3"/>
  <c r="L402" i="3"/>
  <c r="K402" i="3"/>
  <c r="E402" i="3"/>
  <c r="E1518" i="3" s="1"/>
  <c r="D402" i="3"/>
  <c r="D1518" i="3" s="1"/>
  <c r="C402" i="3"/>
  <c r="C1518" i="3" s="1"/>
  <c r="B402" i="3"/>
  <c r="B1518" i="3" s="1"/>
  <c r="A402" i="3"/>
  <c r="A1518" i="3" s="1"/>
  <c r="O401" i="3"/>
  <c r="N401" i="3"/>
  <c r="M401" i="3"/>
  <c r="L401" i="3"/>
  <c r="K401" i="3"/>
  <c r="E401" i="3"/>
  <c r="E1517" i="3" s="1"/>
  <c r="D401" i="3"/>
  <c r="D1517" i="3" s="1"/>
  <c r="C401" i="3"/>
  <c r="C1517" i="3" s="1"/>
  <c r="B401" i="3"/>
  <c r="B1517" i="3" s="1"/>
  <c r="A401" i="3"/>
  <c r="A1517" i="3" s="1"/>
  <c r="O400" i="3"/>
  <c r="N400" i="3"/>
  <c r="M400" i="3"/>
  <c r="L400" i="3"/>
  <c r="K400" i="3"/>
  <c r="E400" i="3"/>
  <c r="E1516" i="3" s="1"/>
  <c r="D400" i="3"/>
  <c r="D1516" i="3" s="1"/>
  <c r="C400" i="3"/>
  <c r="C1516" i="3" s="1"/>
  <c r="B400" i="3"/>
  <c r="B1516" i="3" s="1"/>
  <c r="A400" i="3"/>
  <c r="A1516" i="3" s="1"/>
  <c r="O399" i="3"/>
  <c r="N399" i="3"/>
  <c r="M399" i="3"/>
  <c r="L399" i="3"/>
  <c r="K399" i="3"/>
  <c r="E399" i="3"/>
  <c r="E1515" i="3" s="1"/>
  <c r="D399" i="3"/>
  <c r="D1515" i="3" s="1"/>
  <c r="C399" i="3"/>
  <c r="C1515" i="3" s="1"/>
  <c r="B399" i="3"/>
  <c r="B1515" i="3" s="1"/>
  <c r="A399" i="3"/>
  <c r="A1515" i="3" s="1"/>
  <c r="O398" i="3"/>
  <c r="N398" i="3"/>
  <c r="M398" i="3"/>
  <c r="L398" i="3"/>
  <c r="K398" i="3"/>
  <c r="E398" i="3"/>
  <c r="E1514" i="3" s="1"/>
  <c r="D398" i="3"/>
  <c r="D1514" i="3" s="1"/>
  <c r="C398" i="3"/>
  <c r="C1514" i="3" s="1"/>
  <c r="B398" i="3"/>
  <c r="B1514" i="3" s="1"/>
  <c r="A398" i="3"/>
  <c r="A1514" i="3" s="1"/>
  <c r="O397" i="3"/>
  <c r="N397" i="3"/>
  <c r="M397" i="3"/>
  <c r="L397" i="3"/>
  <c r="K397" i="3"/>
  <c r="E397" i="3"/>
  <c r="E1513" i="3" s="1"/>
  <c r="D397" i="3"/>
  <c r="D1513" i="3" s="1"/>
  <c r="C397" i="3"/>
  <c r="C1513" i="3" s="1"/>
  <c r="B397" i="3"/>
  <c r="B1513" i="3" s="1"/>
  <c r="A397" i="3"/>
  <c r="A1513" i="3" s="1"/>
  <c r="O396" i="3"/>
  <c r="N396" i="3"/>
  <c r="M396" i="3"/>
  <c r="L396" i="3"/>
  <c r="K396" i="3"/>
  <c r="E396" i="3"/>
  <c r="E1512" i="3" s="1"/>
  <c r="D396" i="3"/>
  <c r="D1512" i="3" s="1"/>
  <c r="C396" i="3"/>
  <c r="C1512" i="3" s="1"/>
  <c r="B396" i="3"/>
  <c r="B1512" i="3" s="1"/>
  <c r="A396" i="3"/>
  <c r="A1512" i="3" s="1"/>
  <c r="O395" i="3"/>
  <c r="N395" i="3"/>
  <c r="M395" i="3"/>
  <c r="L395" i="3"/>
  <c r="K395" i="3"/>
  <c r="E395" i="3"/>
  <c r="E1511" i="3" s="1"/>
  <c r="D395" i="3"/>
  <c r="D1511" i="3" s="1"/>
  <c r="C395" i="3"/>
  <c r="C1511" i="3" s="1"/>
  <c r="B395" i="3"/>
  <c r="B1511" i="3" s="1"/>
  <c r="A395" i="3"/>
  <c r="A1511" i="3" s="1"/>
  <c r="O394" i="3"/>
  <c r="N394" i="3"/>
  <c r="M394" i="3"/>
  <c r="L394" i="3"/>
  <c r="K394" i="3"/>
  <c r="E394" i="3"/>
  <c r="E1510" i="3" s="1"/>
  <c r="D394" i="3"/>
  <c r="D1510" i="3" s="1"/>
  <c r="C394" i="3"/>
  <c r="C1510" i="3" s="1"/>
  <c r="B394" i="3"/>
  <c r="B1510" i="3" s="1"/>
  <c r="A394" i="3"/>
  <c r="A1510" i="3" s="1"/>
  <c r="O393" i="3"/>
  <c r="N393" i="3"/>
  <c r="M393" i="3"/>
  <c r="L393" i="3"/>
  <c r="K393" i="3"/>
  <c r="E393" i="3"/>
  <c r="E1509" i="3" s="1"/>
  <c r="D393" i="3"/>
  <c r="D1509" i="3" s="1"/>
  <c r="C393" i="3"/>
  <c r="C1509" i="3" s="1"/>
  <c r="B393" i="3"/>
  <c r="B1509" i="3" s="1"/>
  <c r="A393" i="3"/>
  <c r="A1509" i="3" s="1"/>
  <c r="O392" i="3"/>
  <c r="N392" i="3"/>
  <c r="M392" i="3"/>
  <c r="L392" i="3"/>
  <c r="K392" i="3"/>
  <c r="E392" i="3"/>
  <c r="E1508" i="3" s="1"/>
  <c r="D392" i="3"/>
  <c r="D1508" i="3" s="1"/>
  <c r="C392" i="3"/>
  <c r="C1508" i="3" s="1"/>
  <c r="B392" i="3"/>
  <c r="B1508" i="3" s="1"/>
  <c r="A392" i="3"/>
  <c r="A1508" i="3" s="1"/>
  <c r="O391" i="3"/>
  <c r="N391" i="3"/>
  <c r="M391" i="3"/>
  <c r="L391" i="3"/>
  <c r="K391" i="3"/>
  <c r="E391" i="3"/>
  <c r="E1507" i="3" s="1"/>
  <c r="D391" i="3"/>
  <c r="D1507" i="3" s="1"/>
  <c r="C391" i="3"/>
  <c r="C1507" i="3" s="1"/>
  <c r="B391" i="3"/>
  <c r="B1507" i="3" s="1"/>
  <c r="A391" i="3"/>
  <c r="A1507" i="3" s="1"/>
  <c r="O390" i="3"/>
  <c r="N390" i="3"/>
  <c r="M390" i="3"/>
  <c r="L390" i="3"/>
  <c r="K390" i="3"/>
  <c r="E390" i="3"/>
  <c r="E1506" i="3" s="1"/>
  <c r="D390" i="3"/>
  <c r="D1506" i="3" s="1"/>
  <c r="C390" i="3"/>
  <c r="C1506" i="3" s="1"/>
  <c r="B390" i="3"/>
  <c r="B1506" i="3" s="1"/>
  <c r="A390" i="3"/>
  <c r="A1506" i="3" s="1"/>
  <c r="O389" i="3"/>
  <c r="N389" i="3"/>
  <c r="M389" i="3"/>
  <c r="L389" i="3"/>
  <c r="K389" i="3"/>
  <c r="E389" i="3"/>
  <c r="E1505" i="3" s="1"/>
  <c r="D389" i="3"/>
  <c r="D1505" i="3" s="1"/>
  <c r="C389" i="3"/>
  <c r="C1505" i="3" s="1"/>
  <c r="B389" i="3"/>
  <c r="B1505" i="3" s="1"/>
  <c r="A389" i="3"/>
  <c r="A1505" i="3" s="1"/>
  <c r="O388" i="3"/>
  <c r="N388" i="3"/>
  <c r="M388" i="3"/>
  <c r="L388" i="3"/>
  <c r="K388" i="3"/>
  <c r="E388" i="3"/>
  <c r="E1504" i="3" s="1"/>
  <c r="D388" i="3"/>
  <c r="D1504" i="3" s="1"/>
  <c r="C388" i="3"/>
  <c r="C1504" i="3" s="1"/>
  <c r="B388" i="3"/>
  <c r="B1504" i="3" s="1"/>
  <c r="A388" i="3"/>
  <c r="A1504" i="3" s="1"/>
  <c r="O387" i="3"/>
  <c r="N387" i="3"/>
  <c r="M387" i="3"/>
  <c r="L387" i="3"/>
  <c r="K387" i="3"/>
  <c r="E387" i="3"/>
  <c r="E1503" i="3" s="1"/>
  <c r="D387" i="3"/>
  <c r="D1503" i="3" s="1"/>
  <c r="C387" i="3"/>
  <c r="C1503" i="3" s="1"/>
  <c r="B387" i="3"/>
  <c r="B1503" i="3" s="1"/>
  <c r="A387" i="3"/>
  <c r="A1503" i="3" s="1"/>
  <c r="O386" i="3"/>
  <c r="N386" i="3"/>
  <c r="M386" i="3"/>
  <c r="L386" i="3"/>
  <c r="K386" i="3"/>
  <c r="E386" i="3"/>
  <c r="E1502" i="3" s="1"/>
  <c r="D386" i="3"/>
  <c r="D1502" i="3" s="1"/>
  <c r="C386" i="3"/>
  <c r="C1502" i="3" s="1"/>
  <c r="B386" i="3"/>
  <c r="B1502" i="3" s="1"/>
  <c r="A386" i="3"/>
  <c r="A1502" i="3" s="1"/>
  <c r="O385" i="3"/>
  <c r="N385" i="3"/>
  <c r="M385" i="3"/>
  <c r="L385" i="3"/>
  <c r="K385" i="3"/>
  <c r="E385" i="3"/>
  <c r="E1501" i="3" s="1"/>
  <c r="D385" i="3"/>
  <c r="D1501" i="3" s="1"/>
  <c r="C385" i="3"/>
  <c r="C1501" i="3" s="1"/>
  <c r="B385" i="3"/>
  <c r="B1501" i="3" s="1"/>
  <c r="A385" i="3"/>
  <c r="A1501" i="3" s="1"/>
  <c r="O384" i="3"/>
  <c r="N384" i="3"/>
  <c r="M384" i="3"/>
  <c r="L384" i="3"/>
  <c r="K384" i="3"/>
  <c r="E384" i="3"/>
  <c r="E1500" i="3" s="1"/>
  <c r="D384" i="3"/>
  <c r="D1500" i="3" s="1"/>
  <c r="C384" i="3"/>
  <c r="C1500" i="3" s="1"/>
  <c r="B384" i="3"/>
  <c r="B1500" i="3" s="1"/>
  <c r="A384" i="3"/>
  <c r="A1500" i="3" s="1"/>
  <c r="O383" i="3"/>
  <c r="N383" i="3"/>
  <c r="M383" i="3"/>
  <c r="L383" i="3"/>
  <c r="K383" i="3"/>
  <c r="E383" i="3"/>
  <c r="E1499" i="3" s="1"/>
  <c r="D383" i="3"/>
  <c r="D1499" i="3" s="1"/>
  <c r="C383" i="3"/>
  <c r="C1499" i="3" s="1"/>
  <c r="B383" i="3"/>
  <c r="B1499" i="3" s="1"/>
  <c r="A383" i="3"/>
  <c r="A1499" i="3" s="1"/>
  <c r="O382" i="3"/>
  <c r="N382" i="3"/>
  <c r="M382" i="3"/>
  <c r="L382" i="3"/>
  <c r="K382" i="3"/>
  <c r="E382" i="3"/>
  <c r="E1498" i="3" s="1"/>
  <c r="D382" i="3"/>
  <c r="D1498" i="3" s="1"/>
  <c r="C382" i="3"/>
  <c r="C1498" i="3" s="1"/>
  <c r="B382" i="3"/>
  <c r="B1498" i="3" s="1"/>
  <c r="A382" i="3"/>
  <c r="A1498" i="3" s="1"/>
  <c r="O381" i="3"/>
  <c r="N381" i="3"/>
  <c r="M381" i="3"/>
  <c r="L381" i="3"/>
  <c r="K381" i="3"/>
  <c r="E381" i="3"/>
  <c r="E1497" i="3" s="1"/>
  <c r="D381" i="3"/>
  <c r="D1497" i="3" s="1"/>
  <c r="C381" i="3"/>
  <c r="C1497" i="3" s="1"/>
  <c r="B381" i="3"/>
  <c r="B1497" i="3" s="1"/>
  <c r="A381" i="3"/>
  <c r="A1497" i="3" s="1"/>
  <c r="O380" i="3"/>
  <c r="N380" i="3"/>
  <c r="M380" i="3"/>
  <c r="L380" i="3"/>
  <c r="K380" i="3"/>
  <c r="E380" i="3"/>
  <c r="E1496" i="3" s="1"/>
  <c r="D380" i="3"/>
  <c r="D1496" i="3" s="1"/>
  <c r="C380" i="3"/>
  <c r="C1496" i="3" s="1"/>
  <c r="B380" i="3"/>
  <c r="B1496" i="3" s="1"/>
  <c r="A380" i="3"/>
  <c r="A1496" i="3" s="1"/>
  <c r="O379" i="3"/>
  <c r="N379" i="3"/>
  <c r="M379" i="3"/>
  <c r="L379" i="3"/>
  <c r="K379" i="3"/>
  <c r="E379" i="3"/>
  <c r="E1495" i="3" s="1"/>
  <c r="D379" i="3"/>
  <c r="D1495" i="3" s="1"/>
  <c r="C379" i="3"/>
  <c r="C1495" i="3" s="1"/>
  <c r="B379" i="3"/>
  <c r="B1495" i="3" s="1"/>
  <c r="A379" i="3"/>
  <c r="A1495" i="3" s="1"/>
  <c r="O378" i="3"/>
  <c r="N378" i="3"/>
  <c r="M378" i="3"/>
  <c r="L378" i="3"/>
  <c r="K378" i="3"/>
  <c r="E378" i="3"/>
  <c r="E1494" i="3" s="1"/>
  <c r="D378" i="3"/>
  <c r="D1494" i="3" s="1"/>
  <c r="C378" i="3"/>
  <c r="C1494" i="3" s="1"/>
  <c r="B378" i="3"/>
  <c r="B1494" i="3" s="1"/>
  <c r="A378" i="3"/>
  <c r="A1494" i="3" s="1"/>
  <c r="O377" i="3"/>
  <c r="N377" i="3"/>
  <c r="M377" i="3"/>
  <c r="L377" i="3"/>
  <c r="K377" i="3"/>
  <c r="E377" i="3"/>
  <c r="E1493" i="3" s="1"/>
  <c r="D377" i="3"/>
  <c r="D1493" i="3" s="1"/>
  <c r="C377" i="3"/>
  <c r="C1493" i="3" s="1"/>
  <c r="B377" i="3"/>
  <c r="B1493" i="3" s="1"/>
  <c r="A377" i="3"/>
  <c r="A1493" i="3" s="1"/>
  <c r="O376" i="3"/>
  <c r="N376" i="3"/>
  <c r="M376" i="3"/>
  <c r="L376" i="3"/>
  <c r="K376" i="3"/>
  <c r="E376" i="3"/>
  <c r="E1492" i="3" s="1"/>
  <c r="D376" i="3"/>
  <c r="D1492" i="3" s="1"/>
  <c r="C376" i="3"/>
  <c r="C1492" i="3" s="1"/>
  <c r="B376" i="3"/>
  <c r="B1492" i="3" s="1"/>
  <c r="A376" i="3"/>
  <c r="A1492" i="3" s="1"/>
  <c r="O375" i="3"/>
  <c r="N375" i="3"/>
  <c r="M375" i="3"/>
  <c r="L375" i="3"/>
  <c r="K375" i="3"/>
  <c r="E375" i="3"/>
  <c r="E1491" i="3" s="1"/>
  <c r="D375" i="3"/>
  <c r="D1491" i="3" s="1"/>
  <c r="C375" i="3"/>
  <c r="C1491" i="3" s="1"/>
  <c r="B375" i="3"/>
  <c r="B1491" i="3" s="1"/>
  <c r="A375" i="3"/>
  <c r="A1491" i="3" s="1"/>
  <c r="O374" i="3"/>
  <c r="N374" i="3"/>
  <c r="M374" i="3"/>
  <c r="L374" i="3"/>
  <c r="K374" i="3"/>
  <c r="E374" i="3"/>
  <c r="E1490" i="3" s="1"/>
  <c r="D374" i="3"/>
  <c r="D1490" i="3" s="1"/>
  <c r="C374" i="3"/>
  <c r="C1490" i="3" s="1"/>
  <c r="B374" i="3"/>
  <c r="B1490" i="3" s="1"/>
  <c r="A374" i="3"/>
  <c r="A1490" i="3" s="1"/>
  <c r="O373" i="3"/>
  <c r="N373" i="3"/>
  <c r="M373" i="3"/>
  <c r="L373" i="3"/>
  <c r="K373" i="3"/>
  <c r="E373" i="3"/>
  <c r="E1489" i="3" s="1"/>
  <c r="D373" i="3"/>
  <c r="D1489" i="3" s="1"/>
  <c r="C373" i="3"/>
  <c r="C1489" i="3" s="1"/>
  <c r="B373" i="3"/>
  <c r="B1489" i="3" s="1"/>
  <c r="A373" i="3"/>
  <c r="A1489" i="3" s="1"/>
  <c r="O372" i="3"/>
  <c r="N372" i="3"/>
  <c r="M372" i="3"/>
  <c r="L372" i="3"/>
  <c r="K372" i="3"/>
  <c r="E372" i="3"/>
  <c r="E1488" i="3" s="1"/>
  <c r="D372" i="3"/>
  <c r="D1488" i="3" s="1"/>
  <c r="C372" i="3"/>
  <c r="C1488" i="3" s="1"/>
  <c r="B372" i="3"/>
  <c r="B1488" i="3" s="1"/>
  <c r="A372" i="3"/>
  <c r="A1488" i="3" s="1"/>
  <c r="O371" i="3"/>
  <c r="N371" i="3"/>
  <c r="M371" i="3"/>
  <c r="L371" i="3"/>
  <c r="K371" i="3"/>
  <c r="E371" i="3"/>
  <c r="E1487" i="3" s="1"/>
  <c r="D371" i="3"/>
  <c r="D1487" i="3" s="1"/>
  <c r="C371" i="3"/>
  <c r="C1487" i="3" s="1"/>
  <c r="B371" i="3"/>
  <c r="B1487" i="3" s="1"/>
  <c r="A371" i="3"/>
  <c r="A1487" i="3" s="1"/>
  <c r="O370" i="3"/>
  <c r="N370" i="3"/>
  <c r="M370" i="3"/>
  <c r="L370" i="3"/>
  <c r="K370" i="3"/>
  <c r="E370" i="3"/>
  <c r="E1486" i="3" s="1"/>
  <c r="D370" i="3"/>
  <c r="D1486" i="3" s="1"/>
  <c r="C370" i="3"/>
  <c r="C1486" i="3" s="1"/>
  <c r="B370" i="3"/>
  <c r="B1486" i="3" s="1"/>
  <c r="A370" i="3"/>
  <c r="A1486" i="3" s="1"/>
  <c r="O369" i="3"/>
  <c r="N369" i="3"/>
  <c r="M369" i="3"/>
  <c r="L369" i="3"/>
  <c r="K369" i="3"/>
  <c r="E369" i="3"/>
  <c r="E1485" i="3" s="1"/>
  <c r="D369" i="3"/>
  <c r="D1485" i="3" s="1"/>
  <c r="C369" i="3"/>
  <c r="C1485" i="3" s="1"/>
  <c r="B369" i="3"/>
  <c r="B1485" i="3" s="1"/>
  <c r="A369" i="3"/>
  <c r="A1485" i="3" s="1"/>
  <c r="O368" i="3"/>
  <c r="N368" i="3"/>
  <c r="M368" i="3"/>
  <c r="L368" i="3"/>
  <c r="K368" i="3"/>
  <c r="E368" i="3"/>
  <c r="E1484" i="3" s="1"/>
  <c r="D368" i="3"/>
  <c r="D1484" i="3" s="1"/>
  <c r="C368" i="3"/>
  <c r="C1484" i="3" s="1"/>
  <c r="B368" i="3"/>
  <c r="B1484" i="3" s="1"/>
  <c r="A368" i="3"/>
  <c r="A1484" i="3" s="1"/>
  <c r="O367" i="3"/>
  <c r="N367" i="3"/>
  <c r="M367" i="3"/>
  <c r="L367" i="3"/>
  <c r="K367" i="3"/>
  <c r="E367" i="3"/>
  <c r="E1483" i="3" s="1"/>
  <c r="D367" i="3"/>
  <c r="D1483" i="3" s="1"/>
  <c r="C367" i="3"/>
  <c r="C1483" i="3" s="1"/>
  <c r="B367" i="3"/>
  <c r="B1483" i="3" s="1"/>
  <c r="A367" i="3"/>
  <c r="A1483" i="3" s="1"/>
  <c r="O366" i="3"/>
  <c r="N366" i="3"/>
  <c r="M366" i="3"/>
  <c r="L366" i="3"/>
  <c r="K366" i="3"/>
  <c r="E366" i="3"/>
  <c r="E1482" i="3" s="1"/>
  <c r="D366" i="3"/>
  <c r="D1482" i="3" s="1"/>
  <c r="C366" i="3"/>
  <c r="C1482" i="3" s="1"/>
  <c r="B366" i="3"/>
  <c r="B1482" i="3" s="1"/>
  <c r="A366" i="3"/>
  <c r="A1482" i="3" s="1"/>
  <c r="O365" i="3"/>
  <c r="N365" i="3"/>
  <c r="M365" i="3"/>
  <c r="L365" i="3"/>
  <c r="K365" i="3"/>
  <c r="E365" i="3"/>
  <c r="E1481" i="3" s="1"/>
  <c r="D365" i="3"/>
  <c r="D1481" i="3" s="1"/>
  <c r="C365" i="3"/>
  <c r="C1481" i="3" s="1"/>
  <c r="B365" i="3"/>
  <c r="B1481" i="3" s="1"/>
  <c r="A365" i="3"/>
  <c r="A1481" i="3" s="1"/>
  <c r="O364" i="3"/>
  <c r="N364" i="3"/>
  <c r="M364" i="3"/>
  <c r="L364" i="3"/>
  <c r="K364" i="3"/>
  <c r="E364" i="3"/>
  <c r="E1480" i="3" s="1"/>
  <c r="D364" i="3"/>
  <c r="D1480" i="3" s="1"/>
  <c r="C364" i="3"/>
  <c r="C1480" i="3" s="1"/>
  <c r="B364" i="3"/>
  <c r="B1480" i="3" s="1"/>
  <c r="A364" i="3"/>
  <c r="A1480" i="3" s="1"/>
  <c r="O363" i="3"/>
  <c r="N363" i="3"/>
  <c r="M363" i="3"/>
  <c r="L363" i="3"/>
  <c r="K363" i="3"/>
  <c r="E363" i="3"/>
  <c r="E1479" i="3" s="1"/>
  <c r="D363" i="3"/>
  <c r="D1479" i="3" s="1"/>
  <c r="C363" i="3"/>
  <c r="C1479" i="3" s="1"/>
  <c r="B363" i="3"/>
  <c r="B1479" i="3" s="1"/>
  <c r="A363" i="3"/>
  <c r="A1479" i="3" s="1"/>
  <c r="O362" i="3"/>
  <c r="N362" i="3"/>
  <c r="M362" i="3"/>
  <c r="L362" i="3"/>
  <c r="K362" i="3"/>
  <c r="E362" i="3"/>
  <c r="E1478" i="3" s="1"/>
  <c r="D362" i="3"/>
  <c r="D1478" i="3" s="1"/>
  <c r="C362" i="3"/>
  <c r="C1478" i="3" s="1"/>
  <c r="B362" i="3"/>
  <c r="B1478" i="3" s="1"/>
  <c r="A362" i="3"/>
  <c r="A1478" i="3" s="1"/>
  <c r="O361" i="3"/>
  <c r="N361" i="3"/>
  <c r="M361" i="3"/>
  <c r="L361" i="3"/>
  <c r="K361" i="3"/>
  <c r="E361" i="3"/>
  <c r="E1477" i="3" s="1"/>
  <c r="D361" i="3"/>
  <c r="D1477" i="3" s="1"/>
  <c r="C361" i="3"/>
  <c r="C1477" i="3" s="1"/>
  <c r="B361" i="3"/>
  <c r="B1477" i="3" s="1"/>
  <c r="A361" i="3"/>
  <c r="A1477" i="3" s="1"/>
  <c r="O360" i="3"/>
  <c r="N360" i="3"/>
  <c r="M360" i="3"/>
  <c r="L360" i="3"/>
  <c r="K360" i="3"/>
  <c r="E360" i="3"/>
  <c r="E1476" i="3" s="1"/>
  <c r="D360" i="3"/>
  <c r="D1476" i="3" s="1"/>
  <c r="C360" i="3"/>
  <c r="C1476" i="3" s="1"/>
  <c r="B360" i="3"/>
  <c r="B1476" i="3" s="1"/>
  <c r="A360" i="3"/>
  <c r="A1476" i="3" s="1"/>
  <c r="O359" i="3"/>
  <c r="N359" i="3"/>
  <c r="M359" i="3"/>
  <c r="L359" i="3"/>
  <c r="K359" i="3"/>
  <c r="E359" i="3"/>
  <c r="E1475" i="3" s="1"/>
  <c r="D359" i="3"/>
  <c r="D1475" i="3" s="1"/>
  <c r="C359" i="3"/>
  <c r="C1475" i="3" s="1"/>
  <c r="B359" i="3"/>
  <c r="B1475" i="3" s="1"/>
  <c r="A359" i="3"/>
  <c r="A1475" i="3" s="1"/>
  <c r="O358" i="3"/>
  <c r="N358" i="3"/>
  <c r="M358" i="3"/>
  <c r="L358" i="3"/>
  <c r="K358" i="3"/>
  <c r="E358" i="3"/>
  <c r="E1474" i="3" s="1"/>
  <c r="D358" i="3"/>
  <c r="D1474" i="3" s="1"/>
  <c r="C358" i="3"/>
  <c r="C1474" i="3" s="1"/>
  <c r="B358" i="3"/>
  <c r="B1474" i="3" s="1"/>
  <c r="A358" i="3"/>
  <c r="A1474" i="3" s="1"/>
  <c r="O357" i="3"/>
  <c r="N357" i="3"/>
  <c r="M357" i="3"/>
  <c r="L357" i="3"/>
  <c r="K357" i="3"/>
  <c r="E357" i="3"/>
  <c r="E1473" i="3" s="1"/>
  <c r="D357" i="3"/>
  <c r="D1473" i="3" s="1"/>
  <c r="C357" i="3"/>
  <c r="C1473" i="3" s="1"/>
  <c r="B357" i="3"/>
  <c r="B1473" i="3" s="1"/>
  <c r="A357" i="3"/>
  <c r="A1473" i="3" s="1"/>
  <c r="O356" i="3"/>
  <c r="N356" i="3"/>
  <c r="M356" i="3"/>
  <c r="L356" i="3"/>
  <c r="K356" i="3"/>
  <c r="E356" i="3"/>
  <c r="E1472" i="3" s="1"/>
  <c r="D356" i="3"/>
  <c r="D1472" i="3" s="1"/>
  <c r="C356" i="3"/>
  <c r="C1472" i="3" s="1"/>
  <c r="B356" i="3"/>
  <c r="B1472" i="3" s="1"/>
  <c r="A356" i="3"/>
  <c r="A1472" i="3" s="1"/>
  <c r="O355" i="3"/>
  <c r="N355" i="3"/>
  <c r="M355" i="3"/>
  <c r="L355" i="3"/>
  <c r="K355" i="3"/>
  <c r="E355" i="3"/>
  <c r="E1471" i="3" s="1"/>
  <c r="D355" i="3"/>
  <c r="D1471" i="3" s="1"/>
  <c r="C355" i="3"/>
  <c r="C1471" i="3" s="1"/>
  <c r="B355" i="3"/>
  <c r="B1471" i="3" s="1"/>
  <c r="A355" i="3"/>
  <c r="A1471" i="3" s="1"/>
  <c r="O354" i="3"/>
  <c r="N354" i="3"/>
  <c r="M354" i="3"/>
  <c r="L354" i="3"/>
  <c r="K354" i="3"/>
  <c r="E354" i="3"/>
  <c r="E1470" i="3" s="1"/>
  <c r="D354" i="3"/>
  <c r="D1470" i="3" s="1"/>
  <c r="C354" i="3"/>
  <c r="C1470" i="3" s="1"/>
  <c r="B354" i="3"/>
  <c r="B1470" i="3" s="1"/>
  <c r="A354" i="3"/>
  <c r="A1470" i="3" s="1"/>
  <c r="O353" i="3"/>
  <c r="N353" i="3"/>
  <c r="M353" i="3"/>
  <c r="L353" i="3"/>
  <c r="K353" i="3"/>
  <c r="E353" i="3"/>
  <c r="E1469" i="3" s="1"/>
  <c r="D353" i="3"/>
  <c r="D1469" i="3" s="1"/>
  <c r="C353" i="3"/>
  <c r="C1469" i="3" s="1"/>
  <c r="B353" i="3"/>
  <c r="B1469" i="3" s="1"/>
  <c r="A353" i="3"/>
  <c r="A1469" i="3" s="1"/>
  <c r="O352" i="3"/>
  <c r="N352" i="3"/>
  <c r="M352" i="3"/>
  <c r="L352" i="3"/>
  <c r="K352" i="3"/>
  <c r="E352" i="3"/>
  <c r="E1468" i="3" s="1"/>
  <c r="D352" i="3"/>
  <c r="D1468" i="3" s="1"/>
  <c r="C352" i="3"/>
  <c r="C1468" i="3" s="1"/>
  <c r="B352" i="3"/>
  <c r="B1468" i="3" s="1"/>
  <c r="A352" i="3"/>
  <c r="A1468" i="3" s="1"/>
  <c r="O351" i="3"/>
  <c r="N351" i="3"/>
  <c r="M351" i="3"/>
  <c r="L351" i="3"/>
  <c r="K351" i="3"/>
  <c r="E351" i="3"/>
  <c r="E1467" i="3" s="1"/>
  <c r="D351" i="3"/>
  <c r="D1467" i="3" s="1"/>
  <c r="C351" i="3"/>
  <c r="C1467" i="3" s="1"/>
  <c r="B351" i="3"/>
  <c r="B1467" i="3" s="1"/>
  <c r="A351" i="3"/>
  <c r="A1467" i="3" s="1"/>
  <c r="O350" i="3"/>
  <c r="N350" i="3"/>
  <c r="M350" i="3"/>
  <c r="L350" i="3"/>
  <c r="K350" i="3"/>
  <c r="E350" i="3"/>
  <c r="E1466" i="3" s="1"/>
  <c r="D350" i="3"/>
  <c r="D1466" i="3" s="1"/>
  <c r="C350" i="3"/>
  <c r="C1466" i="3" s="1"/>
  <c r="B350" i="3"/>
  <c r="B1466" i="3" s="1"/>
  <c r="A350" i="3"/>
  <c r="A1466" i="3" s="1"/>
  <c r="O349" i="3"/>
  <c r="N349" i="3"/>
  <c r="M349" i="3"/>
  <c r="L349" i="3"/>
  <c r="K349" i="3"/>
  <c r="E349" i="3"/>
  <c r="E1465" i="3" s="1"/>
  <c r="D349" i="3"/>
  <c r="D1465" i="3" s="1"/>
  <c r="C349" i="3"/>
  <c r="C1465" i="3" s="1"/>
  <c r="B349" i="3"/>
  <c r="B1465" i="3" s="1"/>
  <c r="A349" i="3"/>
  <c r="A1465" i="3" s="1"/>
  <c r="O348" i="3"/>
  <c r="N348" i="3"/>
  <c r="M348" i="3"/>
  <c r="L348" i="3"/>
  <c r="K348" i="3"/>
  <c r="E348" i="3"/>
  <c r="E1464" i="3" s="1"/>
  <c r="D348" i="3"/>
  <c r="D1464" i="3" s="1"/>
  <c r="C348" i="3"/>
  <c r="C1464" i="3" s="1"/>
  <c r="B348" i="3"/>
  <c r="B1464" i="3" s="1"/>
  <c r="A348" i="3"/>
  <c r="A1464" i="3" s="1"/>
  <c r="O347" i="3"/>
  <c r="N347" i="3"/>
  <c r="M347" i="3"/>
  <c r="L347" i="3"/>
  <c r="K347" i="3"/>
  <c r="E347" i="3"/>
  <c r="E1463" i="3" s="1"/>
  <c r="D347" i="3"/>
  <c r="D1463" i="3" s="1"/>
  <c r="C347" i="3"/>
  <c r="C1463" i="3" s="1"/>
  <c r="B347" i="3"/>
  <c r="B1463" i="3" s="1"/>
  <c r="A347" i="3"/>
  <c r="A1463" i="3" s="1"/>
  <c r="O346" i="3"/>
  <c r="N346" i="3"/>
  <c r="M346" i="3"/>
  <c r="L346" i="3"/>
  <c r="K346" i="3"/>
  <c r="E346" i="3"/>
  <c r="E1462" i="3" s="1"/>
  <c r="D346" i="3"/>
  <c r="D1462" i="3" s="1"/>
  <c r="C346" i="3"/>
  <c r="C1462" i="3" s="1"/>
  <c r="B346" i="3"/>
  <c r="B1462" i="3" s="1"/>
  <c r="A346" i="3"/>
  <c r="A1462" i="3" s="1"/>
  <c r="O345" i="3"/>
  <c r="N345" i="3"/>
  <c r="M345" i="3"/>
  <c r="L345" i="3"/>
  <c r="K345" i="3"/>
  <c r="E345" i="3"/>
  <c r="E1461" i="3" s="1"/>
  <c r="D345" i="3"/>
  <c r="D1461" i="3" s="1"/>
  <c r="C345" i="3"/>
  <c r="C1461" i="3" s="1"/>
  <c r="B345" i="3"/>
  <c r="B1461" i="3" s="1"/>
  <c r="A345" i="3"/>
  <c r="A1461" i="3" s="1"/>
  <c r="O344" i="3"/>
  <c r="N344" i="3"/>
  <c r="M344" i="3"/>
  <c r="L344" i="3"/>
  <c r="K344" i="3"/>
  <c r="E344" i="3"/>
  <c r="E1460" i="3" s="1"/>
  <c r="D344" i="3"/>
  <c r="D1460" i="3" s="1"/>
  <c r="C344" i="3"/>
  <c r="C1460" i="3" s="1"/>
  <c r="B344" i="3"/>
  <c r="B1460" i="3" s="1"/>
  <c r="A344" i="3"/>
  <c r="A1460" i="3" s="1"/>
  <c r="O343" i="3"/>
  <c r="N343" i="3"/>
  <c r="M343" i="3"/>
  <c r="L343" i="3"/>
  <c r="K343" i="3"/>
  <c r="E343" i="3"/>
  <c r="E1459" i="3" s="1"/>
  <c r="D343" i="3"/>
  <c r="D1459" i="3" s="1"/>
  <c r="C343" i="3"/>
  <c r="C1459" i="3" s="1"/>
  <c r="B343" i="3"/>
  <c r="B1459" i="3" s="1"/>
  <c r="A343" i="3"/>
  <c r="A1459" i="3" s="1"/>
  <c r="O342" i="3"/>
  <c r="N342" i="3"/>
  <c r="M342" i="3"/>
  <c r="L342" i="3"/>
  <c r="K342" i="3"/>
  <c r="E342" i="3"/>
  <c r="E1458" i="3" s="1"/>
  <c r="D342" i="3"/>
  <c r="D1458" i="3" s="1"/>
  <c r="C342" i="3"/>
  <c r="C1458" i="3" s="1"/>
  <c r="B342" i="3"/>
  <c r="B1458" i="3" s="1"/>
  <c r="A342" i="3"/>
  <c r="A1458" i="3" s="1"/>
  <c r="O341" i="3"/>
  <c r="N341" i="3"/>
  <c r="M341" i="3"/>
  <c r="L341" i="3"/>
  <c r="K341" i="3"/>
  <c r="E341" i="3"/>
  <c r="B341" i="3"/>
  <c r="A341" i="3"/>
  <c r="O340" i="3"/>
  <c r="N340" i="3"/>
  <c r="M340" i="3"/>
  <c r="L340" i="3"/>
  <c r="K340" i="3"/>
  <c r="E340" i="3"/>
  <c r="B340" i="3"/>
  <c r="A340" i="3"/>
  <c r="O339" i="3"/>
  <c r="N339" i="3"/>
  <c r="M339" i="3"/>
  <c r="L339" i="3"/>
  <c r="K339" i="3"/>
  <c r="E339" i="3"/>
  <c r="E1457" i="3" s="1"/>
  <c r="D339" i="3"/>
  <c r="D1457" i="3" s="1"/>
  <c r="C339" i="3"/>
  <c r="C1457" i="3" s="1"/>
  <c r="B339" i="3"/>
  <c r="B1457" i="3" s="1"/>
  <c r="A339" i="3"/>
  <c r="A1457" i="3" s="1"/>
  <c r="O338" i="3"/>
  <c r="N338" i="3"/>
  <c r="M338" i="3"/>
  <c r="L338" i="3"/>
  <c r="K338" i="3"/>
  <c r="E338" i="3"/>
  <c r="E1456" i="3" s="1"/>
  <c r="D338" i="3"/>
  <c r="D1456" i="3" s="1"/>
  <c r="C338" i="3"/>
  <c r="C1456" i="3" s="1"/>
  <c r="B338" i="3"/>
  <c r="B1456" i="3" s="1"/>
  <c r="A338" i="3"/>
  <c r="A1456" i="3" s="1"/>
  <c r="O337" i="3"/>
  <c r="N337" i="3"/>
  <c r="M337" i="3"/>
  <c r="L337" i="3"/>
  <c r="K337" i="3"/>
  <c r="E337" i="3"/>
  <c r="E1455" i="3" s="1"/>
  <c r="D337" i="3"/>
  <c r="D1455" i="3" s="1"/>
  <c r="C337" i="3"/>
  <c r="C1455" i="3" s="1"/>
  <c r="B337" i="3"/>
  <c r="B1455" i="3" s="1"/>
  <c r="A337" i="3"/>
  <c r="A1455" i="3" s="1"/>
  <c r="O336" i="3"/>
  <c r="N336" i="3"/>
  <c r="M336" i="3"/>
  <c r="L336" i="3"/>
  <c r="K336" i="3"/>
  <c r="E336" i="3"/>
  <c r="E1454" i="3" s="1"/>
  <c r="D336" i="3"/>
  <c r="D1454" i="3" s="1"/>
  <c r="C336" i="3"/>
  <c r="C1454" i="3" s="1"/>
  <c r="B336" i="3"/>
  <c r="B1454" i="3" s="1"/>
  <c r="A336" i="3"/>
  <c r="A1454" i="3" s="1"/>
  <c r="O335" i="3"/>
  <c r="N335" i="3"/>
  <c r="M335" i="3"/>
  <c r="L335" i="3"/>
  <c r="K335" i="3"/>
  <c r="E335" i="3"/>
  <c r="E1453" i="3" s="1"/>
  <c r="D335" i="3"/>
  <c r="D1453" i="3" s="1"/>
  <c r="C335" i="3"/>
  <c r="C1453" i="3" s="1"/>
  <c r="B335" i="3"/>
  <c r="B1453" i="3" s="1"/>
  <c r="A335" i="3"/>
  <c r="A1453" i="3" s="1"/>
  <c r="O334" i="3"/>
  <c r="N334" i="3"/>
  <c r="M334" i="3"/>
  <c r="L334" i="3"/>
  <c r="K334" i="3"/>
  <c r="E334" i="3"/>
  <c r="E1452" i="3" s="1"/>
  <c r="D334" i="3"/>
  <c r="D1452" i="3" s="1"/>
  <c r="C334" i="3"/>
  <c r="C1452" i="3" s="1"/>
  <c r="B334" i="3"/>
  <c r="B1452" i="3" s="1"/>
  <c r="A334" i="3"/>
  <c r="A1452" i="3" s="1"/>
  <c r="O333" i="3"/>
  <c r="N333" i="3"/>
  <c r="M333" i="3"/>
  <c r="L333" i="3"/>
  <c r="K333" i="3"/>
  <c r="E333" i="3"/>
  <c r="E1451" i="3" s="1"/>
  <c r="D333" i="3"/>
  <c r="D1451" i="3" s="1"/>
  <c r="C333" i="3"/>
  <c r="C1451" i="3" s="1"/>
  <c r="B333" i="3"/>
  <c r="B1451" i="3" s="1"/>
  <c r="A333" i="3"/>
  <c r="A1451" i="3" s="1"/>
  <c r="O332" i="3"/>
  <c r="N332" i="3"/>
  <c r="M332" i="3"/>
  <c r="L332" i="3"/>
  <c r="K332" i="3"/>
  <c r="E332" i="3"/>
  <c r="E1450" i="3" s="1"/>
  <c r="D332" i="3"/>
  <c r="D1450" i="3" s="1"/>
  <c r="C332" i="3"/>
  <c r="C1450" i="3" s="1"/>
  <c r="B332" i="3"/>
  <c r="B1450" i="3" s="1"/>
  <c r="A332" i="3"/>
  <c r="A1450" i="3" s="1"/>
  <c r="O331" i="3"/>
  <c r="N331" i="3"/>
  <c r="M331" i="3"/>
  <c r="L331" i="3"/>
  <c r="K331" i="3"/>
  <c r="E331" i="3"/>
  <c r="E1449" i="3" s="1"/>
  <c r="D331" i="3"/>
  <c r="D1449" i="3" s="1"/>
  <c r="C331" i="3"/>
  <c r="C1449" i="3" s="1"/>
  <c r="B331" i="3"/>
  <c r="B1449" i="3" s="1"/>
  <c r="A331" i="3"/>
  <c r="A1449" i="3" s="1"/>
  <c r="O330" i="3"/>
  <c r="N330" i="3"/>
  <c r="M330" i="3"/>
  <c r="L330" i="3"/>
  <c r="K330" i="3"/>
  <c r="E330" i="3"/>
  <c r="E1448" i="3" s="1"/>
  <c r="D330" i="3"/>
  <c r="D1448" i="3" s="1"/>
  <c r="C330" i="3"/>
  <c r="C1448" i="3" s="1"/>
  <c r="B330" i="3"/>
  <c r="B1448" i="3" s="1"/>
  <c r="A330" i="3"/>
  <c r="A1448" i="3" s="1"/>
  <c r="O329" i="3"/>
  <c r="N329" i="3"/>
  <c r="M329" i="3"/>
  <c r="L329" i="3"/>
  <c r="K329" i="3"/>
  <c r="E329" i="3"/>
  <c r="E1447" i="3" s="1"/>
  <c r="D329" i="3"/>
  <c r="D1447" i="3" s="1"/>
  <c r="C329" i="3"/>
  <c r="C1447" i="3" s="1"/>
  <c r="B329" i="3"/>
  <c r="B1447" i="3" s="1"/>
  <c r="A329" i="3"/>
  <c r="A1447" i="3" s="1"/>
  <c r="O328" i="3"/>
  <c r="N328" i="3"/>
  <c r="M328" i="3"/>
  <c r="L328" i="3"/>
  <c r="K328" i="3"/>
  <c r="E328" i="3"/>
  <c r="E1446" i="3" s="1"/>
  <c r="D328" i="3"/>
  <c r="D1446" i="3" s="1"/>
  <c r="C328" i="3"/>
  <c r="C1446" i="3" s="1"/>
  <c r="B328" i="3"/>
  <c r="B1446" i="3" s="1"/>
  <c r="A328" i="3"/>
  <c r="A1446" i="3" s="1"/>
  <c r="O327" i="3"/>
  <c r="N327" i="3"/>
  <c r="M327" i="3"/>
  <c r="L327" i="3"/>
  <c r="K327" i="3"/>
  <c r="E327" i="3"/>
  <c r="E1445" i="3" s="1"/>
  <c r="D327" i="3"/>
  <c r="D1445" i="3" s="1"/>
  <c r="C327" i="3"/>
  <c r="C1445" i="3" s="1"/>
  <c r="B327" i="3"/>
  <c r="B1445" i="3" s="1"/>
  <c r="A327" i="3"/>
  <c r="A1445" i="3" s="1"/>
  <c r="O326" i="3"/>
  <c r="N326" i="3"/>
  <c r="M326" i="3"/>
  <c r="L326" i="3"/>
  <c r="K326" i="3"/>
  <c r="E326" i="3"/>
  <c r="E1444" i="3" s="1"/>
  <c r="D326" i="3"/>
  <c r="D1444" i="3" s="1"/>
  <c r="C326" i="3"/>
  <c r="C1444" i="3" s="1"/>
  <c r="B326" i="3"/>
  <c r="B1444" i="3" s="1"/>
  <c r="A326" i="3"/>
  <c r="A1444" i="3" s="1"/>
  <c r="O325" i="3"/>
  <c r="N325" i="3"/>
  <c r="M325" i="3"/>
  <c r="L325" i="3"/>
  <c r="K325" i="3"/>
  <c r="E325" i="3"/>
  <c r="E1443" i="3" s="1"/>
  <c r="D325" i="3"/>
  <c r="D1443" i="3" s="1"/>
  <c r="C325" i="3"/>
  <c r="C1443" i="3" s="1"/>
  <c r="B325" i="3"/>
  <c r="B1443" i="3" s="1"/>
  <c r="A325" i="3"/>
  <c r="A1443" i="3" s="1"/>
  <c r="O324" i="3"/>
  <c r="N324" i="3"/>
  <c r="M324" i="3"/>
  <c r="L324" i="3"/>
  <c r="K324" i="3"/>
  <c r="E324" i="3"/>
  <c r="E1442" i="3" s="1"/>
  <c r="D324" i="3"/>
  <c r="D1442" i="3" s="1"/>
  <c r="C324" i="3"/>
  <c r="C1442" i="3" s="1"/>
  <c r="B324" i="3"/>
  <c r="B1442" i="3" s="1"/>
  <c r="A324" i="3"/>
  <c r="A1442" i="3" s="1"/>
  <c r="O323" i="3"/>
  <c r="N323" i="3"/>
  <c r="M323" i="3"/>
  <c r="L323" i="3"/>
  <c r="K323" i="3"/>
  <c r="E323" i="3"/>
  <c r="E1441" i="3" s="1"/>
  <c r="D323" i="3"/>
  <c r="D1441" i="3" s="1"/>
  <c r="C323" i="3"/>
  <c r="C1441" i="3" s="1"/>
  <c r="B323" i="3"/>
  <c r="B1441" i="3" s="1"/>
  <c r="A323" i="3"/>
  <c r="A1441" i="3" s="1"/>
  <c r="O322" i="3"/>
  <c r="N322" i="3"/>
  <c r="M322" i="3"/>
  <c r="L322" i="3"/>
  <c r="K322" i="3"/>
  <c r="E322" i="3"/>
  <c r="E1440" i="3" s="1"/>
  <c r="D322" i="3"/>
  <c r="D1440" i="3" s="1"/>
  <c r="C322" i="3"/>
  <c r="C1440" i="3" s="1"/>
  <c r="B322" i="3"/>
  <c r="B1440" i="3" s="1"/>
  <c r="A322" i="3"/>
  <c r="A1440" i="3" s="1"/>
  <c r="O321" i="3"/>
  <c r="N321" i="3"/>
  <c r="M321" i="3"/>
  <c r="L321" i="3"/>
  <c r="K321" i="3"/>
  <c r="E321" i="3"/>
  <c r="E1439" i="3" s="1"/>
  <c r="D321" i="3"/>
  <c r="D1439" i="3" s="1"/>
  <c r="C321" i="3"/>
  <c r="C1439" i="3" s="1"/>
  <c r="B321" i="3"/>
  <c r="B1439" i="3" s="1"/>
  <c r="A321" i="3"/>
  <c r="A1439" i="3" s="1"/>
  <c r="O320" i="3"/>
  <c r="N320" i="3"/>
  <c r="M320" i="3"/>
  <c r="L320" i="3"/>
  <c r="K320" i="3"/>
  <c r="E320" i="3"/>
  <c r="E1438" i="3" s="1"/>
  <c r="D320" i="3"/>
  <c r="D1438" i="3" s="1"/>
  <c r="C320" i="3"/>
  <c r="C1438" i="3" s="1"/>
  <c r="B320" i="3"/>
  <c r="B1438" i="3" s="1"/>
  <c r="A320" i="3"/>
  <c r="A1438" i="3" s="1"/>
  <c r="O319" i="3"/>
  <c r="N319" i="3"/>
  <c r="M319" i="3"/>
  <c r="L319" i="3"/>
  <c r="K319" i="3"/>
  <c r="E319" i="3"/>
  <c r="E1437" i="3" s="1"/>
  <c r="D319" i="3"/>
  <c r="D1437" i="3" s="1"/>
  <c r="C319" i="3"/>
  <c r="C1437" i="3" s="1"/>
  <c r="B319" i="3"/>
  <c r="B1437" i="3" s="1"/>
  <c r="A319" i="3"/>
  <c r="A1437" i="3" s="1"/>
  <c r="O318" i="3"/>
  <c r="N318" i="3"/>
  <c r="M318" i="3"/>
  <c r="L318" i="3"/>
  <c r="K318" i="3"/>
  <c r="E318" i="3"/>
  <c r="E1436" i="3" s="1"/>
  <c r="D318" i="3"/>
  <c r="D1436" i="3" s="1"/>
  <c r="C318" i="3"/>
  <c r="C1436" i="3" s="1"/>
  <c r="B318" i="3"/>
  <c r="B1436" i="3" s="1"/>
  <c r="A318" i="3"/>
  <c r="A1436" i="3" s="1"/>
  <c r="O317" i="3"/>
  <c r="N317" i="3"/>
  <c r="M317" i="3"/>
  <c r="L317" i="3"/>
  <c r="K317" i="3"/>
  <c r="E317" i="3"/>
  <c r="E1435" i="3" s="1"/>
  <c r="D317" i="3"/>
  <c r="D1435" i="3" s="1"/>
  <c r="C317" i="3"/>
  <c r="C1435" i="3" s="1"/>
  <c r="B317" i="3"/>
  <c r="B1435" i="3" s="1"/>
  <c r="A317" i="3"/>
  <c r="A1435" i="3" s="1"/>
  <c r="O316" i="3"/>
  <c r="N316" i="3"/>
  <c r="M316" i="3"/>
  <c r="L316" i="3"/>
  <c r="K316" i="3"/>
  <c r="E316" i="3"/>
  <c r="E1434" i="3" s="1"/>
  <c r="D316" i="3"/>
  <c r="D1434" i="3" s="1"/>
  <c r="C316" i="3"/>
  <c r="C1434" i="3" s="1"/>
  <c r="B316" i="3"/>
  <c r="B1434" i="3" s="1"/>
  <c r="A316" i="3"/>
  <c r="A1434" i="3" s="1"/>
  <c r="O315" i="3"/>
  <c r="N315" i="3"/>
  <c r="M315" i="3"/>
  <c r="L315" i="3"/>
  <c r="K315" i="3"/>
  <c r="E315" i="3"/>
  <c r="E1433" i="3" s="1"/>
  <c r="D315" i="3"/>
  <c r="D1433" i="3" s="1"/>
  <c r="C315" i="3"/>
  <c r="C1433" i="3" s="1"/>
  <c r="B315" i="3"/>
  <c r="B1433" i="3" s="1"/>
  <c r="A315" i="3"/>
  <c r="A1433" i="3" s="1"/>
  <c r="O314" i="3"/>
  <c r="N314" i="3"/>
  <c r="M314" i="3"/>
  <c r="L314" i="3"/>
  <c r="K314" i="3"/>
  <c r="E314" i="3"/>
  <c r="E1432" i="3" s="1"/>
  <c r="D314" i="3"/>
  <c r="D1432" i="3" s="1"/>
  <c r="C314" i="3"/>
  <c r="C1432" i="3" s="1"/>
  <c r="B314" i="3"/>
  <c r="B1432" i="3" s="1"/>
  <c r="A314" i="3"/>
  <c r="A1432" i="3" s="1"/>
  <c r="O313" i="3"/>
  <c r="N313" i="3"/>
  <c r="M313" i="3"/>
  <c r="L313" i="3"/>
  <c r="K313" i="3"/>
  <c r="E313" i="3"/>
  <c r="E1431" i="3" s="1"/>
  <c r="D313" i="3"/>
  <c r="D1431" i="3" s="1"/>
  <c r="C313" i="3"/>
  <c r="C1431" i="3" s="1"/>
  <c r="B313" i="3"/>
  <c r="B1431" i="3" s="1"/>
  <c r="A313" i="3"/>
  <c r="A1431" i="3" s="1"/>
  <c r="O312" i="3"/>
  <c r="N312" i="3"/>
  <c r="M312" i="3"/>
  <c r="L312" i="3"/>
  <c r="K312" i="3"/>
  <c r="E312" i="3"/>
  <c r="E1430" i="3" s="1"/>
  <c r="D312" i="3"/>
  <c r="D1430" i="3" s="1"/>
  <c r="C312" i="3"/>
  <c r="C1430" i="3" s="1"/>
  <c r="B312" i="3"/>
  <c r="B1430" i="3" s="1"/>
  <c r="A312" i="3"/>
  <c r="A1430" i="3" s="1"/>
  <c r="O311" i="3"/>
  <c r="N311" i="3"/>
  <c r="M311" i="3"/>
  <c r="L311" i="3"/>
  <c r="K311" i="3"/>
  <c r="E311" i="3"/>
  <c r="E1429" i="3" s="1"/>
  <c r="D311" i="3"/>
  <c r="D1429" i="3" s="1"/>
  <c r="C311" i="3"/>
  <c r="C1429" i="3" s="1"/>
  <c r="B311" i="3"/>
  <c r="B1429" i="3" s="1"/>
  <c r="A311" i="3"/>
  <c r="A1429" i="3" s="1"/>
  <c r="O310" i="3"/>
  <c r="N310" i="3"/>
  <c r="M310" i="3"/>
  <c r="L310" i="3"/>
  <c r="K310" i="3"/>
  <c r="E310" i="3"/>
  <c r="E1428" i="3" s="1"/>
  <c r="D310" i="3"/>
  <c r="D1428" i="3" s="1"/>
  <c r="C310" i="3"/>
  <c r="C1428" i="3" s="1"/>
  <c r="B310" i="3"/>
  <c r="B1428" i="3" s="1"/>
  <c r="A310" i="3"/>
  <c r="A1428" i="3" s="1"/>
  <c r="O309" i="3"/>
  <c r="N309" i="3"/>
  <c r="M309" i="3"/>
  <c r="L309" i="3"/>
  <c r="K309" i="3"/>
  <c r="E309" i="3"/>
  <c r="E1427" i="3" s="1"/>
  <c r="D309" i="3"/>
  <c r="D1427" i="3" s="1"/>
  <c r="C309" i="3"/>
  <c r="C1427" i="3" s="1"/>
  <c r="B309" i="3"/>
  <c r="B1427" i="3" s="1"/>
  <c r="A309" i="3"/>
  <c r="A1427" i="3" s="1"/>
  <c r="O308" i="3"/>
  <c r="N308" i="3"/>
  <c r="M308" i="3"/>
  <c r="L308" i="3"/>
  <c r="K308" i="3"/>
  <c r="E308" i="3"/>
  <c r="E1426" i="3" s="1"/>
  <c r="D308" i="3"/>
  <c r="D1426" i="3" s="1"/>
  <c r="C308" i="3"/>
  <c r="C1426" i="3" s="1"/>
  <c r="B308" i="3"/>
  <c r="B1426" i="3" s="1"/>
  <c r="A308" i="3"/>
  <c r="A1426" i="3" s="1"/>
  <c r="O307" i="3"/>
  <c r="N307" i="3"/>
  <c r="M307" i="3"/>
  <c r="L307" i="3"/>
  <c r="K307" i="3"/>
  <c r="E307" i="3"/>
  <c r="E1425" i="3" s="1"/>
  <c r="D307" i="3"/>
  <c r="D1425" i="3" s="1"/>
  <c r="C307" i="3"/>
  <c r="C1425" i="3" s="1"/>
  <c r="B307" i="3"/>
  <c r="B1425" i="3" s="1"/>
  <c r="A307" i="3"/>
  <c r="A1425" i="3" s="1"/>
  <c r="O306" i="3"/>
  <c r="N306" i="3"/>
  <c r="M306" i="3"/>
  <c r="L306" i="3"/>
  <c r="K306" i="3"/>
  <c r="E306" i="3"/>
  <c r="E1424" i="3" s="1"/>
  <c r="D306" i="3"/>
  <c r="D1424" i="3" s="1"/>
  <c r="C306" i="3"/>
  <c r="C1424" i="3" s="1"/>
  <c r="B306" i="3"/>
  <c r="B1424" i="3" s="1"/>
  <c r="A306" i="3"/>
  <c r="A1424" i="3" s="1"/>
  <c r="O305" i="3"/>
  <c r="N305" i="3"/>
  <c r="M305" i="3"/>
  <c r="L305" i="3"/>
  <c r="K305" i="3"/>
  <c r="E305" i="3"/>
  <c r="E1423" i="3" s="1"/>
  <c r="D305" i="3"/>
  <c r="D1423" i="3" s="1"/>
  <c r="C305" i="3"/>
  <c r="C1423" i="3" s="1"/>
  <c r="B305" i="3"/>
  <c r="B1423" i="3" s="1"/>
  <c r="A305" i="3"/>
  <c r="A1423" i="3" s="1"/>
  <c r="O304" i="3"/>
  <c r="N304" i="3"/>
  <c r="M304" i="3"/>
  <c r="L304" i="3"/>
  <c r="K304" i="3"/>
  <c r="E304" i="3"/>
  <c r="E1422" i="3" s="1"/>
  <c r="D304" i="3"/>
  <c r="D1422" i="3" s="1"/>
  <c r="C304" i="3"/>
  <c r="C1422" i="3" s="1"/>
  <c r="B304" i="3"/>
  <c r="B1422" i="3" s="1"/>
  <c r="A304" i="3"/>
  <c r="A1422" i="3" s="1"/>
  <c r="O303" i="3"/>
  <c r="N303" i="3"/>
  <c r="M303" i="3"/>
  <c r="L303" i="3"/>
  <c r="K303" i="3"/>
  <c r="E303" i="3"/>
  <c r="E1421" i="3" s="1"/>
  <c r="D303" i="3"/>
  <c r="D1421" i="3" s="1"/>
  <c r="C303" i="3"/>
  <c r="C1421" i="3" s="1"/>
  <c r="B303" i="3"/>
  <c r="B1421" i="3" s="1"/>
  <c r="A303" i="3"/>
  <c r="A1421" i="3" s="1"/>
  <c r="O302" i="3"/>
  <c r="N302" i="3"/>
  <c r="M302" i="3"/>
  <c r="L302" i="3"/>
  <c r="K302" i="3"/>
  <c r="E302" i="3"/>
  <c r="E1420" i="3" s="1"/>
  <c r="D302" i="3"/>
  <c r="D1420" i="3" s="1"/>
  <c r="C302" i="3"/>
  <c r="C1420" i="3" s="1"/>
  <c r="B302" i="3"/>
  <c r="B1420" i="3" s="1"/>
  <c r="A302" i="3"/>
  <c r="A1420" i="3" s="1"/>
  <c r="O301" i="3"/>
  <c r="N301" i="3"/>
  <c r="M301" i="3"/>
  <c r="L301" i="3"/>
  <c r="K301" i="3"/>
  <c r="E301" i="3"/>
  <c r="E1419" i="3" s="1"/>
  <c r="D301" i="3"/>
  <c r="D1419" i="3" s="1"/>
  <c r="C301" i="3"/>
  <c r="C1419" i="3" s="1"/>
  <c r="B301" i="3"/>
  <c r="B1419" i="3" s="1"/>
  <c r="A301" i="3"/>
  <c r="A1419" i="3" s="1"/>
  <c r="O300" i="3"/>
  <c r="N300" i="3"/>
  <c r="M300" i="3"/>
  <c r="L300" i="3"/>
  <c r="K300" i="3"/>
  <c r="E300" i="3"/>
  <c r="E1418" i="3" s="1"/>
  <c r="D300" i="3"/>
  <c r="D1418" i="3" s="1"/>
  <c r="C300" i="3"/>
  <c r="C1418" i="3" s="1"/>
  <c r="B300" i="3"/>
  <c r="B1418" i="3" s="1"/>
  <c r="A300" i="3"/>
  <c r="A1418" i="3" s="1"/>
  <c r="O299" i="3"/>
  <c r="N299" i="3"/>
  <c r="M299" i="3"/>
  <c r="L299" i="3"/>
  <c r="K299" i="3"/>
  <c r="E299" i="3"/>
  <c r="E1417" i="3" s="1"/>
  <c r="D299" i="3"/>
  <c r="D1417" i="3" s="1"/>
  <c r="C299" i="3"/>
  <c r="C1417" i="3" s="1"/>
  <c r="B299" i="3"/>
  <c r="B1417" i="3" s="1"/>
  <c r="A299" i="3"/>
  <c r="A1417" i="3" s="1"/>
  <c r="O298" i="3"/>
  <c r="N298" i="3"/>
  <c r="M298" i="3"/>
  <c r="L298" i="3"/>
  <c r="K298" i="3"/>
  <c r="E298" i="3"/>
  <c r="E1416" i="3" s="1"/>
  <c r="D298" i="3"/>
  <c r="D1416" i="3" s="1"/>
  <c r="C298" i="3"/>
  <c r="C1416" i="3" s="1"/>
  <c r="B298" i="3"/>
  <c r="B1416" i="3" s="1"/>
  <c r="A298" i="3"/>
  <c r="A1416" i="3" s="1"/>
  <c r="O297" i="3"/>
  <c r="N297" i="3"/>
  <c r="M297" i="3"/>
  <c r="L297" i="3"/>
  <c r="K297" i="3"/>
  <c r="E297" i="3"/>
  <c r="E1415" i="3" s="1"/>
  <c r="D297" i="3"/>
  <c r="D1415" i="3" s="1"/>
  <c r="C297" i="3"/>
  <c r="C1415" i="3" s="1"/>
  <c r="B297" i="3"/>
  <c r="B1415" i="3" s="1"/>
  <c r="A297" i="3"/>
  <c r="A1415" i="3" s="1"/>
  <c r="O296" i="3"/>
  <c r="N296" i="3"/>
  <c r="M296" i="3"/>
  <c r="L296" i="3"/>
  <c r="K296" i="3"/>
  <c r="E296" i="3"/>
  <c r="E1414" i="3" s="1"/>
  <c r="D296" i="3"/>
  <c r="D1414" i="3" s="1"/>
  <c r="C296" i="3"/>
  <c r="C1414" i="3" s="1"/>
  <c r="B296" i="3"/>
  <c r="B1414" i="3" s="1"/>
  <c r="A296" i="3"/>
  <c r="A1414" i="3" s="1"/>
  <c r="O295" i="3"/>
  <c r="N295" i="3"/>
  <c r="M295" i="3"/>
  <c r="L295" i="3"/>
  <c r="K295" i="3"/>
  <c r="E295" i="3"/>
  <c r="E1413" i="3" s="1"/>
  <c r="D295" i="3"/>
  <c r="D1413" i="3" s="1"/>
  <c r="C295" i="3"/>
  <c r="C1413" i="3" s="1"/>
  <c r="B295" i="3"/>
  <c r="B1413" i="3" s="1"/>
  <c r="A295" i="3"/>
  <c r="A1413" i="3" s="1"/>
  <c r="O294" i="3"/>
  <c r="N294" i="3"/>
  <c r="M294" i="3"/>
  <c r="L294" i="3"/>
  <c r="K294" i="3"/>
  <c r="E294" i="3"/>
  <c r="E1412" i="3" s="1"/>
  <c r="D294" i="3"/>
  <c r="D1412" i="3" s="1"/>
  <c r="C294" i="3"/>
  <c r="C1412" i="3" s="1"/>
  <c r="B294" i="3"/>
  <c r="B1412" i="3" s="1"/>
  <c r="A294" i="3"/>
  <c r="A1412" i="3" s="1"/>
  <c r="O293" i="3"/>
  <c r="N293" i="3"/>
  <c r="M293" i="3"/>
  <c r="L293" i="3"/>
  <c r="K293" i="3"/>
  <c r="E293" i="3"/>
  <c r="E1411" i="3" s="1"/>
  <c r="D293" i="3"/>
  <c r="D1411" i="3" s="1"/>
  <c r="C293" i="3"/>
  <c r="C1411" i="3" s="1"/>
  <c r="B293" i="3"/>
  <c r="B1411" i="3" s="1"/>
  <c r="A293" i="3"/>
  <c r="A1411" i="3" s="1"/>
  <c r="O292" i="3"/>
  <c r="N292" i="3"/>
  <c r="M292" i="3"/>
  <c r="L292" i="3"/>
  <c r="K292" i="3"/>
  <c r="E292" i="3"/>
  <c r="E1410" i="3" s="1"/>
  <c r="D292" i="3"/>
  <c r="D1410" i="3" s="1"/>
  <c r="C292" i="3"/>
  <c r="C1410" i="3" s="1"/>
  <c r="B292" i="3"/>
  <c r="B1410" i="3" s="1"/>
  <c r="A292" i="3"/>
  <c r="A1410" i="3" s="1"/>
  <c r="O291" i="3"/>
  <c r="N291" i="3"/>
  <c r="M291" i="3"/>
  <c r="L291" i="3"/>
  <c r="K291" i="3"/>
  <c r="E291" i="3"/>
  <c r="E1409" i="3" s="1"/>
  <c r="D291" i="3"/>
  <c r="D1409" i="3" s="1"/>
  <c r="C291" i="3"/>
  <c r="C1409" i="3" s="1"/>
  <c r="B291" i="3"/>
  <c r="B1409" i="3" s="1"/>
  <c r="A291" i="3"/>
  <c r="A1409" i="3" s="1"/>
  <c r="O290" i="3"/>
  <c r="N290" i="3"/>
  <c r="M290" i="3"/>
  <c r="L290" i="3"/>
  <c r="K290" i="3"/>
  <c r="E290" i="3"/>
  <c r="E1408" i="3" s="1"/>
  <c r="D290" i="3"/>
  <c r="D1408" i="3" s="1"/>
  <c r="C290" i="3"/>
  <c r="C1408" i="3" s="1"/>
  <c r="B290" i="3"/>
  <c r="B1408" i="3" s="1"/>
  <c r="A290" i="3"/>
  <c r="A1408" i="3" s="1"/>
  <c r="O289" i="3"/>
  <c r="N289" i="3"/>
  <c r="M289" i="3"/>
  <c r="L289" i="3"/>
  <c r="K289" i="3"/>
  <c r="E289" i="3"/>
  <c r="E1407" i="3" s="1"/>
  <c r="D289" i="3"/>
  <c r="D1407" i="3" s="1"/>
  <c r="C289" i="3"/>
  <c r="C1407" i="3" s="1"/>
  <c r="B289" i="3"/>
  <c r="B1407" i="3" s="1"/>
  <c r="A289" i="3"/>
  <c r="A1407" i="3" s="1"/>
  <c r="O288" i="3"/>
  <c r="N288" i="3"/>
  <c r="M288" i="3"/>
  <c r="L288" i="3"/>
  <c r="K288" i="3"/>
  <c r="E288" i="3"/>
  <c r="E1406" i="3" s="1"/>
  <c r="D288" i="3"/>
  <c r="D1406" i="3" s="1"/>
  <c r="C288" i="3"/>
  <c r="C1406" i="3" s="1"/>
  <c r="B288" i="3"/>
  <c r="B1406" i="3" s="1"/>
  <c r="A288" i="3"/>
  <c r="A1406" i="3" s="1"/>
  <c r="O287" i="3"/>
  <c r="N287" i="3"/>
  <c r="M287" i="3"/>
  <c r="L287" i="3"/>
  <c r="K287" i="3"/>
  <c r="E287" i="3"/>
  <c r="E1405" i="3" s="1"/>
  <c r="D287" i="3"/>
  <c r="D1405" i="3" s="1"/>
  <c r="C287" i="3"/>
  <c r="C1405" i="3" s="1"/>
  <c r="B287" i="3"/>
  <c r="B1405" i="3" s="1"/>
  <c r="A287" i="3"/>
  <c r="A1405" i="3" s="1"/>
  <c r="O286" i="3"/>
  <c r="N286" i="3"/>
  <c r="M286" i="3"/>
  <c r="L286" i="3"/>
  <c r="K286" i="3"/>
  <c r="E286" i="3"/>
  <c r="E1404" i="3" s="1"/>
  <c r="D286" i="3"/>
  <c r="D1404" i="3" s="1"/>
  <c r="C286" i="3"/>
  <c r="C1404" i="3" s="1"/>
  <c r="B286" i="3"/>
  <c r="B1404" i="3" s="1"/>
  <c r="A286" i="3"/>
  <c r="A1404" i="3" s="1"/>
  <c r="O285" i="3"/>
  <c r="N285" i="3"/>
  <c r="M285" i="3"/>
  <c r="L285" i="3"/>
  <c r="K285" i="3"/>
  <c r="E285" i="3"/>
  <c r="E1403" i="3" s="1"/>
  <c r="D285" i="3"/>
  <c r="D1403" i="3" s="1"/>
  <c r="C285" i="3"/>
  <c r="C1403" i="3" s="1"/>
  <c r="B285" i="3"/>
  <c r="B1403" i="3" s="1"/>
  <c r="A285" i="3"/>
  <c r="A1403" i="3" s="1"/>
  <c r="O284" i="3"/>
  <c r="N284" i="3"/>
  <c r="M284" i="3"/>
  <c r="L284" i="3"/>
  <c r="K284" i="3"/>
  <c r="E284" i="3"/>
  <c r="E1402" i="3" s="1"/>
  <c r="D284" i="3"/>
  <c r="D1402" i="3" s="1"/>
  <c r="C284" i="3"/>
  <c r="C1402" i="3" s="1"/>
  <c r="B284" i="3"/>
  <c r="B1402" i="3" s="1"/>
  <c r="A284" i="3"/>
  <c r="A1402" i="3" s="1"/>
  <c r="O283" i="3"/>
  <c r="N283" i="3"/>
  <c r="M283" i="3"/>
  <c r="L283" i="3"/>
  <c r="K283" i="3"/>
  <c r="E283" i="3"/>
  <c r="E1401" i="3" s="1"/>
  <c r="D283" i="3"/>
  <c r="D1401" i="3" s="1"/>
  <c r="C283" i="3"/>
  <c r="C1401" i="3" s="1"/>
  <c r="B283" i="3"/>
  <c r="B1401" i="3" s="1"/>
  <c r="A283" i="3"/>
  <c r="A1401" i="3" s="1"/>
  <c r="O282" i="3"/>
  <c r="N282" i="3"/>
  <c r="M282" i="3"/>
  <c r="L282" i="3"/>
  <c r="K282" i="3"/>
  <c r="E282" i="3"/>
  <c r="E1400" i="3" s="1"/>
  <c r="D282" i="3"/>
  <c r="D1400" i="3" s="1"/>
  <c r="C282" i="3"/>
  <c r="C1400" i="3" s="1"/>
  <c r="B282" i="3"/>
  <c r="B1400" i="3" s="1"/>
  <c r="A282" i="3"/>
  <c r="A1400" i="3" s="1"/>
  <c r="O281" i="3"/>
  <c r="N281" i="3"/>
  <c r="M281" i="3"/>
  <c r="L281" i="3"/>
  <c r="K281" i="3"/>
  <c r="E281" i="3"/>
  <c r="E1399" i="3" s="1"/>
  <c r="D281" i="3"/>
  <c r="D1399" i="3" s="1"/>
  <c r="C281" i="3"/>
  <c r="C1399" i="3" s="1"/>
  <c r="B281" i="3"/>
  <c r="B1399" i="3" s="1"/>
  <c r="A281" i="3"/>
  <c r="A1399" i="3" s="1"/>
  <c r="O280" i="3"/>
  <c r="N280" i="3"/>
  <c r="M280" i="3"/>
  <c r="L280" i="3"/>
  <c r="K280" i="3"/>
  <c r="E280" i="3"/>
  <c r="E1398" i="3" s="1"/>
  <c r="D280" i="3"/>
  <c r="D1398" i="3" s="1"/>
  <c r="C280" i="3"/>
  <c r="C1398" i="3" s="1"/>
  <c r="B280" i="3"/>
  <c r="B1398" i="3" s="1"/>
  <c r="A280" i="3"/>
  <c r="A1398" i="3" s="1"/>
  <c r="O279" i="3"/>
  <c r="N279" i="3"/>
  <c r="M279" i="3"/>
  <c r="L279" i="3"/>
  <c r="K279" i="3"/>
  <c r="E279" i="3"/>
  <c r="E1397" i="3" s="1"/>
  <c r="D279" i="3"/>
  <c r="D1397" i="3" s="1"/>
  <c r="C279" i="3"/>
  <c r="C1397" i="3" s="1"/>
  <c r="B279" i="3"/>
  <c r="B1397" i="3" s="1"/>
  <c r="A279" i="3"/>
  <c r="A1397" i="3" s="1"/>
  <c r="O278" i="3"/>
  <c r="N278" i="3"/>
  <c r="M278" i="3"/>
  <c r="L278" i="3"/>
  <c r="K278" i="3"/>
  <c r="E278" i="3"/>
  <c r="E1396" i="3" s="1"/>
  <c r="D278" i="3"/>
  <c r="D1396" i="3" s="1"/>
  <c r="C278" i="3"/>
  <c r="C1396" i="3" s="1"/>
  <c r="B278" i="3"/>
  <c r="B1396" i="3" s="1"/>
  <c r="A278" i="3"/>
  <c r="A1396" i="3" s="1"/>
  <c r="O277" i="3"/>
  <c r="N277" i="3"/>
  <c r="M277" i="3"/>
  <c r="L277" i="3"/>
  <c r="K277" i="3"/>
  <c r="E277" i="3"/>
  <c r="E1395" i="3" s="1"/>
  <c r="D277" i="3"/>
  <c r="D1395" i="3" s="1"/>
  <c r="C277" i="3"/>
  <c r="C1395" i="3" s="1"/>
  <c r="B277" i="3"/>
  <c r="B1395" i="3" s="1"/>
  <c r="A277" i="3"/>
  <c r="A1395" i="3" s="1"/>
  <c r="O276" i="3"/>
  <c r="N276" i="3"/>
  <c r="M276" i="3"/>
  <c r="L276" i="3"/>
  <c r="K276" i="3"/>
  <c r="E276" i="3"/>
  <c r="E1394" i="3" s="1"/>
  <c r="D276" i="3"/>
  <c r="D1394" i="3" s="1"/>
  <c r="C276" i="3"/>
  <c r="C1394" i="3" s="1"/>
  <c r="B276" i="3"/>
  <c r="B1394" i="3" s="1"/>
  <c r="A276" i="3"/>
  <c r="A1394" i="3" s="1"/>
  <c r="O275" i="3"/>
  <c r="N275" i="3"/>
  <c r="M275" i="3"/>
  <c r="L275" i="3"/>
  <c r="K275" i="3"/>
  <c r="E275" i="3"/>
  <c r="E1393" i="3" s="1"/>
  <c r="D275" i="3"/>
  <c r="D1393" i="3" s="1"/>
  <c r="C275" i="3"/>
  <c r="C1393" i="3" s="1"/>
  <c r="B275" i="3"/>
  <c r="B1393" i="3" s="1"/>
  <c r="A275" i="3"/>
  <c r="A1393" i="3" s="1"/>
  <c r="O274" i="3"/>
  <c r="N274" i="3"/>
  <c r="M274" i="3"/>
  <c r="L274" i="3"/>
  <c r="K274" i="3"/>
  <c r="E274" i="3"/>
  <c r="E1392" i="3" s="1"/>
  <c r="D274" i="3"/>
  <c r="D1392" i="3" s="1"/>
  <c r="C274" i="3"/>
  <c r="C1392" i="3" s="1"/>
  <c r="B274" i="3"/>
  <c r="B1392" i="3" s="1"/>
  <c r="A274" i="3"/>
  <c r="A1392" i="3" s="1"/>
  <c r="O273" i="3"/>
  <c r="N273" i="3"/>
  <c r="M273" i="3"/>
  <c r="L273" i="3"/>
  <c r="K273" i="3"/>
  <c r="E273" i="3"/>
  <c r="E1391" i="3" s="1"/>
  <c r="D273" i="3"/>
  <c r="D1391" i="3" s="1"/>
  <c r="C273" i="3"/>
  <c r="C1391" i="3" s="1"/>
  <c r="B273" i="3"/>
  <c r="B1391" i="3" s="1"/>
  <c r="A273" i="3"/>
  <c r="A1391" i="3" s="1"/>
  <c r="O272" i="3"/>
  <c r="N272" i="3"/>
  <c r="M272" i="3"/>
  <c r="L272" i="3"/>
  <c r="K272" i="3"/>
  <c r="E272" i="3"/>
  <c r="E1390" i="3" s="1"/>
  <c r="D272" i="3"/>
  <c r="D1390" i="3" s="1"/>
  <c r="C272" i="3"/>
  <c r="C1390" i="3" s="1"/>
  <c r="B272" i="3"/>
  <c r="B1390" i="3" s="1"/>
  <c r="A272" i="3"/>
  <c r="A1390" i="3" s="1"/>
  <c r="O271" i="3"/>
  <c r="N271" i="3"/>
  <c r="M271" i="3"/>
  <c r="L271" i="3"/>
  <c r="K271" i="3"/>
  <c r="E271" i="3"/>
  <c r="E1389" i="3" s="1"/>
  <c r="D271" i="3"/>
  <c r="D1389" i="3" s="1"/>
  <c r="C271" i="3"/>
  <c r="C1389" i="3" s="1"/>
  <c r="B271" i="3"/>
  <c r="B1389" i="3" s="1"/>
  <c r="A271" i="3"/>
  <c r="A1389" i="3" s="1"/>
  <c r="O270" i="3"/>
  <c r="N270" i="3"/>
  <c r="M270" i="3"/>
  <c r="L270" i="3"/>
  <c r="K270" i="3"/>
  <c r="E270" i="3"/>
  <c r="E1388" i="3" s="1"/>
  <c r="D270" i="3"/>
  <c r="D1388" i="3" s="1"/>
  <c r="C270" i="3"/>
  <c r="C1388" i="3" s="1"/>
  <c r="B270" i="3"/>
  <c r="B1388" i="3" s="1"/>
  <c r="A270" i="3"/>
  <c r="A1388" i="3" s="1"/>
  <c r="O269" i="3"/>
  <c r="N269" i="3"/>
  <c r="M269" i="3"/>
  <c r="L269" i="3"/>
  <c r="K269" i="3"/>
  <c r="E269" i="3"/>
  <c r="E1387" i="3" s="1"/>
  <c r="D269" i="3"/>
  <c r="D1387" i="3" s="1"/>
  <c r="C269" i="3"/>
  <c r="C1387" i="3" s="1"/>
  <c r="B269" i="3"/>
  <c r="B1387" i="3" s="1"/>
  <c r="A269" i="3"/>
  <c r="A1387" i="3" s="1"/>
  <c r="O268" i="3"/>
  <c r="N268" i="3"/>
  <c r="M268" i="3"/>
  <c r="L268" i="3"/>
  <c r="K268" i="3"/>
  <c r="E268" i="3"/>
  <c r="E1386" i="3" s="1"/>
  <c r="D268" i="3"/>
  <c r="D1386" i="3" s="1"/>
  <c r="C268" i="3"/>
  <c r="C1386" i="3" s="1"/>
  <c r="B268" i="3"/>
  <c r="B1386" i="3" s="1"/>
  <c r="A268" i="3"/>
  <c r="A1386" i="3" s="1"/>
  <c r="O267" i="3"/>
  <c r="N267" i="3"/>
  <c r="M267" i="3"/>
  <c r="L267" i="3"/>
  <c r="K267" i="3"/>
  <c r="E267" i="3"/>
  <c r="E1385" i="3" s="1"/>
  <c r="D267" i="3"/>
  <c r="D1385" i="3" s="1"/>
  <c r="C267" i="3"/>
  <c r="C1385" i="3" s="1"/>
  <c r="B267" i="3"/>
  <c r="B1385" i="3" s="1"/>
  <c r="A267" i="3"/>
  <c r="A1385" i="3" s="1"/>
  <c r="O266" i="3"/>
  <c r="N266" i="3"/>
  <c r="M266" i="3"/>
  <c r="L266" i="3"/>
  <c r="K266" i="3"/>
  <c r="E266" i="3"/>
  <c r="E1384" i="3" s="1"/>
  <c r="D266" i="3"/>
  <c r="D1384" i="3" s="1"/>
  <c r="C266" i="3"/>
  <c r="C1384" i="3" s="1"/>
  <c r="B266" i="3"/>
  <c r="B1384" i="3" s="1"/>
  <c r="A266" i="3"/>
  <c r="A1384" i="3" s="1"/>
  <c r="O265" i="3"/>
  <c r="N265" i="3"/>
  <c r="M265" i="3"/>
  <c r="L265" i="3"/>
  <c r="K265" i="3"/>
  <c r="E265" i="3"/>
  <c r="E1383" i="3" s="1"/>
  <c r="D265" i="3"/>
  <c r="D1383" i="3" s="1"/>
  <c r="C265" i="3"/>
  <c r="C1383" i="3" s="1"/>
  <c r="B265" i="3"/>
  <c r="B1383" i="3" s="1"/>
  <c r="A265" i="3"/>
  <c r="A1383" i="3" s="1"/>
  <c r="O264" i="3"/>
  <c r="N264" i="3"/>
  <c r="M264" i="3"/>
  <c r="L264" i="3"/>
  <c r="K264" i="3"/>
  <c r="E264" i="3"/>
  <c r="E1382" i="3" s="1"/>
  <c r="D264" i="3"/>
  <c r="D1382" i="3" s="1"/>
  <c r="C264" i="3"/>
  <c r="C1382" i="3" s="1"/>
  <c r="B264" i="3"/>
  <c r="B1382" i="3" s="1"/>
  <c r="A264" i="3"/>
  <c r="A1382" i="3" s="1"/>
  <c r="O263" i="3"/>
  <c r="N263" i="3"/>
  <c r="M263" i="3"/>
  <c r="L263" i="3"/>
  <c r="K263" i="3"/>
  <c r="E263" i="3"/>
  <c r="E1381" i="3" s="1"/>
  <c r="D263" i="3"/>
  <c r="D1381" i="3" s="1"/>
  <c r="C263" i="3"/>
  <c r="C1381" i="3" s="1"/>
  <c r="B263" i="3"/>
  <c r="B1381" i="3" s="1"/>
  <c r="A263" i="3"/>
  <c r="A1381" i="3" s="1"/>
  <c r="O262" i="3"/>
  <c r="N262" i="3"/>
  <c r="M262" i="3"/>
  <c r="L262" i="3"/>
  <c r="K262" i="3"/>
  <c r="E262" i="3"/>
  <c r="E1380" i="3" s="1"/>
  <c r="D262" i="3"/>
  <c r="D1380" i="3" s="1"/>
  <c r="C262" i="3"/>
  <c r="C1380" i="3" s="1"/>
  <c r="B262" i="3"/>
  <c r="B1380" i="3" s="1"/>
  <c r="A262" i="3"/>
  <c r="A1380" i="3" s="1"/>
  <c r="O261" i="3"/>
  <c r="N261" i="3"/>
  <c r="M261" i="3"/>
  <c r="L261" i="3"/>
  <c r="K261" i="3"/>
  <c r="E261" i="3"/>
  <c r="E1379" i="3" s="1"/>
  <c r="D261" i="3"/>
  <c r="D1379" i="3" s="1"/>
  <c r="C261" i="3"/>
  <c r="C1379" i="3" s="1"/>
  <c r="B261" i="3"/>
  <c r="B1379" i="3" s="1"/>
  <c r="A261" i="3"/>
  <c r="A1379" i="3" s="1"/>
  <c r="O260" i="3"/>
  <c r="N260" i="3"/>
  <c r="M260" i="3"/>
  <c r="L260" i="3"/>
  <c r="K260" i="3"/>
  <c r="E260" i="3"/>
  <c r="E1378" i="3" s="1"/>
  <c r="D260" i="3"/>
  <c r="D1378" i="3" s="1"/>
  <c r="C260" i="3"/>
  <c r="C1378" i="3" s="1"/>
  <c r="B260" i="3"/>
  <c r="B1378" i="3" s="1"/>
  <c r="A260" i="3"/>
  <c r="A1378" i="3" s="1"/>
  <c r="O259" i="3"/>
  <c r="N259" i="3"/>
  <c r="M259" i="3"/>
  <c r="L259" i="3"/>
  <c r="K259" i="3"/>
  <c r="E259" i="3"/>
  <c r="E1377" i="3" s="1"/>
  <c r="D259" i="3"/>
  <c r="D1377" i="3" s="1"/>
  <c r="C259" i="3"/>
  <c r="C1377" i="3" s="1"/>
  <c r="B259" i="3"/>
  <c r="B1377" i="3" s="1"/>
  <c r="A259" i="3"/>
  <c r="A1377" i="3" s="1"/>
  <c r="O258" i="3"/>
  <c r="N258" i="3"/>
  <c r="M258" i="3"/>
  <c r="L258" i="3"/>
  <c r="K258" i="3"/>
  <c r="E258" i="3"/>
  <c r="E1376" i="3" s="1"/>
  <c r="D258" i="3"/>
  <c r="D1376" i="3" s="1"/>
  <c r="C258" i="3"/>
  <c r="C1376" i="3" s="1"/>
  <c r="B258" i="3"/>
  <c r="B1376" i="3" s="1"/>
  <c r="A258" i="3"/>
  <c r="A1376" i="3" s="1"/>
  <c r="O257" i="3"/>
  <c r="N257" i="3"/>
  <c r="M257" i="3"/>
  <c r="L257" i="3"/>
  <c r="K257" i="3"/>
  <c r="E257" i="3"/>
  <c r="E1375" i="3" s="1"/>
  <c r="D257" i="3"/>
  <c r="D1375" i="3" s="1"/>
  <c r="C257" i="3"/>
  <c r="C1375" i="3" s="1"/>
  <c r="B257" i="3"/>
  <c r="B1375" i="3" s="1"/>
  <c r="A257" i="3"/>
  <c r="A1375" i="3" s="1"/>
  <c r="O256" i="3"/>
  <c r="N256" i="3"/>
  <c r="M256" i="3"/>
  <c r="L256" i="3"/>
  <c r="K256" i="3"/>
  <c r="E256" i="3"/>
  <c r="E1374" i="3" s="1"/>
  <c r="D256" i="3"/>
  <c r="D1374" i="3" s="1"/>
  <c r="C256" i="3"/>
  <c r="C1374" i="3" s="1"/>
  <c r="B256" i="3"/>
  <c r="B1374" i="3" s="1"/>
  <c r="A256" i="3"/>
  <c r="A1374" i="3" s="1"/>
  <c r="O255" i="3"/>
  <c r="N255" i="3"/>
  <c r="M255" i="3"/>
  <c r="L255" i="3"/>
  <c r="K255" i="3"/>
  <c r="E255" i="3"/>
  <c r="E1373" i="3" s="1"/>
  <c r="D255" i="3"/>
  <c r="D1373" i="3" s="1"/>
  <c r="C255" i="3"/>
  <c r="C1373" i="3" s="1"/>
  <c r="B255" i="3"/>
  <c r="B1373" i="3" s="1"/>
  <c r="A255" i="3"/>
  <c r="A1373" i="3" s="1"/>
  <c r="O254" i="3"/>
  <c r="N254" i="3"/>
  <c r="M254" i="3"/>
  <c r="L254" i="3"/>
  <c r="K254" i="3"/>
  <c r="E254" i="3"/>
  <c r="E1372" i="3" s="1"/>
  <c r="D254" i="3"/>
  <c r="D1372" i="3" s="1"/>
  <c r="C254" i="3"/>
  <c r="C1372" i="3" s="1"/>
  <c r="B254" i="3"/>
  <c r="B1372" i="3" s="1"/>
  <c r="A254" i="3"/>
  <c r="A1372" i="3" s="1"/>
  <c r="O253" i="3"/>
  <c r="N253" i="3"/>
  <c r="M253" i="3"/>
  <c r="L253" i="3"/>
  <c r="K253" i="3"/>
  <c r="E253" i="3"/>
  <c r="E1371" i="3" s="1"/>
  <c r="D253" i="3"/>
  <c r="D1371" i="3" s="1"/>
  <c r="C253" i="3"/>
  <c r="C1371" i="3" s="1"/>
  <c r="B253" i="3"/>
  <c r="B1371" i="3" s="1"/>
  <c r="A253" i="3"/>
  <c r="A1371" i="3" s="1"/>
  <c r="O252" i="3"/>
  <c r="N252" i="3"/>
  <c r="M252" i="3"/>
  <c r="L252" i="3"/>
  <c r="K252" i="3"/>
  <c r="E252" i="3"/>
  <c r="E1370" i="3" s="1"/>
  <c r="D252" i="3"/>
  <c r="D1370" i="3" s="1"/>
  <c r="C252" i="3"/>
  <c r="C1370" i="3" s="1"/>
  <c r="B252" i="3"/>
  <c r="B1370" i="3" s="1"/>
  <c r="A252" i="3"/>
  <c r="A1370" i="3" s="1"/>
  <c r="O251" i="3"/>
  <c r="N251" i="3"/>
  <c r="M251" i="3"/>
  <c r="L251" i="3"/>
  <c r="K251" i="3"/>
  <c r="E251" i="3"/>
  <c r="E1369" i="3" s="1"/>
  <c r="D251" i="3"/>
  <c r="D1369" i="3" s="1"/>
  <c r="C251" i="3"/>
  <c r="C1369" i="3" s="1"/>
  <c r="B251" i="3"/>
  <c r="B1369" i="3" s="1"/>
  <c r="A251" i="3"/>
  <c r="A1369" i="3" s="1"/>
  <c r="O250" i="3"/>
  <c r="N250" i="3"/>
  <c r="M250" i="3"/>
  <c r="L250" i="3"/>
  <c r="K250" i="3"/>
  <c r="E250" i="3"/>
  <c r="E1368" i="3" s="1"/>
  <c r="D250" i="3"/>
  <c r="D1368" i="3" s="1"/>
  <c r="C250" i="3"/>
  <c r="C1368" i="3" s="1"/>
  <c r="B250" i="3"/>
  <c r="B1368" i="3" s="1"/>
  <c r="A250" i="3"/>
  <c r="A1368" i="3" s="1"/>
  <c r="O249" i="3"/>
  <c r="N249" i="3"/>
  <c r="M249" i="3"/>
  <c r="L249" i="3"/>
  <c r="K249" i="3"/>
  <c r="E249" i="3"/>
  <c r="E1367" i="3" s="1"/>
  <c r="D249" i="3"/>
  <c r="D1367" i="3" s="1"/>
  <c r="C249" i="3"/>
  <c r="C1367" i="3" s="1"/>
  <c r="B249" i="3"/>
  <c r="B1367" i="3" s="1"/>
  <c r="A249" i="3"/>
  <c r="A1367" i="3" s="1"/>
  <c r="O248" i="3"/>
  <c r="N248" i="3"/>
  <c r="M248" i="3"/>
  <c r="L248" i="3"/>
  <c r="K248" i="3"/>
  <c r="E248" i="3"/>
  <c r="E1366" i="3" s="1"/>
  <c r="D248" i="3"/>
  <c r="D1366" i="3" s="1"/>
  <c r="C248" i="3"/>
  <c r="C1366" i="3" s="1"/>
  <c r="B248" i="3"/>
  <c r="B1366" i="3" s="1"/>
  <c r="A248" i="3"/>
  <c r="A1366" i="3" s="1"/>
  <c r="O247" i="3"/>
  <c r="N247" i="3"/>
  <c r="M247" i="3"/>
  <c r="L247" i="3"/>
  <c r="K247" i="3"/>
  <c r="E247" i="3"/>
  <c r="E1365" i="3" s="1"/>
  <c r="D247" i="3"/>
  <c r="D1365" i="3" s="1"/>
  <c r="C247" i="3"/>
  <c r="C1365" i="3" s="1"/>
  <c r="B247" i="3"/>
  <c r="B1365" i="3" s="1"/>
  <c r="A247" i="3"/>
  <c r="A1365" i="3" s="1"/>
  <c r="O246" i="3"/>
  <c r="N246" i="3"/>
  <c r="M246" i="3"/>
  <c r="L246" i="3"/>
  <c r="K246" i="3"/>
  <c r="E246" i="3"/>
  <c r="E1364" i="3" s="1"/>
  <c r="D246" i="3"/>
  <c r="D1364" i="3" s="1"/>
  <c r="C246" i="3"/>
  <c r="C1364" i="3" s="1"/>
  <c r="B246" i="3"/>
  <c r="B1364" i="3" s="1"/>
  <c r="A246" i="3"/>
  <c r="A1364" i="3" s="1"/>
  <c r="O245" i="3"/>
  <c r="N245" i="3"/>
  <c r="M245" i="3"/>
  <c r="L245" i="3"/>
  <c r="K245" i="3"/>
  <c r="E245" i="3"/>
  <c r="E1363" i="3" s="1"/>
  <c r="D245" i="3"/>
  <c r="D1363" i="3" s="1"/>
  <c r="C245" i="3"/>
  <c r="C1363" i="3" s="1"/>
  <c r="B245" i="3"/>
  <c r="B1363" i="3" s="1"/>
  <c r="A245" i="3"/>
  <c r="A1363" i="3" s="1"/>
  <c r="O244" i="3"/>
  <c r="N244" i="3"/>
  <c r="M244" i="3"/>
  <c r="L244" i="3"/>
  <c r="K244" i="3"/>
  <c r="E244" i="3"/>
  <c r="E1362" i="3" s="1"/>
  <c r="D244" i="3"/>
  <c r="D1362" i="3" s="1"/>
  <c r="C244" i="3"/>
  <c r="C1362" i="3" s="1"/>
  <c r="B244" i="3"/>
  <c r="B1362" i="3" s="1"/>
  <c r="A244" i="3"/>
  <c r="A1362" i="3" s="1"/>
  <c r="O243" i="3"/>
  <c r="N243" i="3"/>
  <c r="M243" i="3"/>
  <c r="L243" i="3"/>
  <c r="K243" i="3"/>
  <c r="E243" i="3"/>
  <c r="E1361" i="3" s="1"/>
  <c r="D243" i="3"/>
  <c r="D1361" i="3" s="1"/>
  <c r="C243" i="3"/>
  <c r="C1361" i="3" s="1"/>
  <c r="B243" i="3"/>
  <c r="B1361" i="3" s="1"/>
  <c r="A243" i="3"/>
  <c r="A1361" i="3" s="1"/>
  <c r="O242" i="3"/>
  <c r="N242" i="3"/>
  <c r="M242" i="3"/>
  <c r="L242" i="3"/>
  <c r="K242" i="3"/>
  <c r="E242" i="3"/>
  <c r="E1360" i="3" s="1"/>
  <c r="D242" i="3"/>
  <c r="D1360" i="3" s="1"/>
  <c r="C242" i="3"/>
  <c r="C1360" i="3" s="1"/>
  <c r="B242" i="3"/>
  <c r="B1360" i="3" s="1"/>
  <c r="A242" i="3"/>
  <c r="A1360" i="3" s="1"/>
  <c r="O241" i="3"/>
  <c r="N241" i="3"/>
  <c r="M241" i="3"/>
  <c r="L241" i="3"/>
  <c r="K241" i="3"/>
  <c r="E241" i="3"/>
  <c r="E1359" i="3" s="1"/>
  <c r="D241" i="3"/>
  <c r="D1359" i="3" s="1"/>
  <c r="C241" i="3"/>
  <c r="C1359" i="3" s="1"/>
  <c r="B241" i="3"/>
  <c r="B1359" i="3" s="1"/>
  <c r="A241" i="3"/>
  <c r="A1359" i="3" s="1"/>
  <c r="O240" i="3"/>
  <c r="N240" i="3"/>
  <c r="M240" i="3"/>
  <c r="L240" i="3"/>
  <c r="K240" i="3"/>
  <c r="E240" i="3"/>
  <c r="E1358" i="3" s="1"/>
  <c r="D240" i="3"/>
  <c r="D1358" i="3" s="1"/>
  <c r="C240" i="3"/>
  <c r="C1358" i="3" s="1"/>
  <c r="B240" i="3"/>
  <c r="B1358" i="3" s="1"/>
  <c r="A240" i="3"/>
  <c r="A1358" i="3" s="1"/>
  <c r="O239" i="3"/>
  <c r="N239" i="3"/>
  <c r="M239" i="3"/>
  <c r="L239" i="3"/>
  <c r="K239" i="3"/>
  <c r="E239" i="3"/>
  <c r="E1357" i="3" s="1"/>
  <c r="D239" i="3"/>
  <c r="D1357" i="3" s="1"/>
  <c r="C239" i="3"/>
  <c r="C1357" i="3" s="1"/>
  <c r="B239" i="3"/>
  <c r="B1357" i="3" s="1"/>
  <c r="A239" i="3"/>
  <c r="A1357" i="3" s="1"/>
  <c r="O238" i="3"/>
  <c r="N238" i="3"/>
  <c r="M238" i="3"/>
  <c r="L238" i="3"/>
  <c r="K238" i="3"/>
  <c r="E238" i="3"/>
  <c r="B238" i="3"/>
  <c r="A238" i="3"/>
  <c r="O237" i="3"/>
  <c r="N237" i="3"/>
  <c r="M237" i="3"/>
  <c r="L237" i="3"/>
  <c r="K237" i="3"/>
  <c r="E237" i="3"/>
  <c r="E1356" i="3" s="1"/>
  <c r="D237" i="3"/>
  <c r="D1356" i="3" s="1"/>
  <c r="C237" i="3"/>
  <c r="C1356" i="3" s="1"/>
  <c r="B237" i="3"/>
  <c r="B1356" i="3" s="1"/>
  <c r="A237" i="3"/>
  <c r="A1356" i="3" s="1"/>
  <c r="O236" i="3"/>
  <c r="N236" i="3"/>
  <c r="M236" i="3"/>
  <c r="L236" i="3"/>
  <c r="K236" i="3"/>
  <c r="E236" i="3"/>
  <c r="E1355" i="3" s="1"/>
  <c r="D236" i="3"/>
  <c r="D1355" i="3" s="1"/>
  <c r="C236" i="3"/>
  <c r="C1355" i="3" s="1"/>
  <c r="B236" i="3"/>
  <c r="B1355" i="3" s="1"/>
  <c r="A236" i="3"/>
  <c r="A1355" i="3" s="1"/>
  <c r="O235" i="3"/>
  <c r="N235" i="3"/>
  <c r="M235" i="3"/>
  <c r="L235" i="3"/>
  <c r="K235" i="3"/>
  <c r="E235" i="3"/>
  <c r="E1354" i="3" s="1"/>
  <c r="D235" i="3"/>
  <c r="D1354" i="3" s="1"/>
  <c r="C235" i="3"/>
  <c r="C1354" i="3" s="1"/>
  <c r="B235" i="3"/>
  <c r="B1354" i="3" s="1"/>
  <c r="A235" i="3"/>
  <c r="A1354" i="3" s="1"/>
  <c r="O234" i="3"/>
  <c r="N234" i="3"/>
  <c r="M234" i="3"/>
  <c r="L234" i="3"/>
  <c r="K234" i="3"/>
  <c r="E234" i="3"/>
  <c r="E1353" i="3" s="1"/>
  <c r="D234" i="3"/>
  <c r="D1353" i="3" s="1"/>
  <c r="C234" i="3"/>
  <c r="C1353" i="3" s="1"/>
  <c r="B234" i="3"/>
  <c r="B1353" i="3" s="1"/>
  <c r="A234" i="3"/>
  <c r="A1353" i="3" s="1"/>
  <c r="O233" i="3"/>
  <c r="N233" i="3"/>
  <c r="M233" i="3"/>
  <c r="L233" i="3"/>
  <c r="K233" i="3"/>
  <c r="E233" i="3"/>
  <c r="E1352" i="3" s="1"/>
  <c r="D233" i="3"/>
  <c r="D1352" i="3" s="1"/>
  <c r="C233" i="3"/>
  <c r="C1352" i="3" s="1"/>
  <c r="B233" i="3"/>
  <c r="B1352" i="3" s="1"/>
  <c r="A233" i="3"/>
  <c r="A1352" i="3" s="1"/>
  <c r="O232" i="3"/>
  <c r="N232" i="3"/>
  <c r="M232" i="3"/>
  <c r="L232" i="3"/>
  <c r="K232" i="3"/>
  <c r="E232" i="3"/>
  <c r="E1351" i="3" s="1"/>
  <c r="D232" i="3"/>
  <c r="D1351" i="3" s="1"/>
  <c r="C232" i="3"/>
  <c r="C1351" i="3" s="1"/>
  <c r="B232" i="3"/>
  <c r="B1351" i="3" s="1"/>
  <c r="A232" i="3"/>
  <c r="A1351" i="3" s="1"/>
  <c r="O231" i="3"/>
  <c r="N231" i="3"/>
  <c r="M231" i="3"/>
  <c r="L231" i="3"/>
  <c r="K231" i="3"/>
  <c r="E231" i="3"/>
  <c r="E1350" i="3" s="1"/>
  <c r="D231" i="3"/>
  <c r="D1350" i="3" s="1"/>
  <c r="C231" i="3"/>
  <c r="C1350" i="3" s="1"/>
  <c r="B231" i="3"/>
  <c r="B1350" i="3" s="1"/>
  <c r="A231" i="3"/>
  <c r="A1350" i="3" s="1"/>
  <c r="O230" i="3"/>
  <c r="N230" i="3"/>
  <c r="M230" i="3"/>
  <c r="L230" i="3"/>
  <c r="K230" i="3"/>
  <c r="E230" i="3"/>
  <c r="E1349" i="3" s="1"/>
  <c r="D230" i="3"/>
  <c r="D1349" i="3" s="1"/>
  <c r="C230" i="3"/>
  <c r="C1349" i="3" s="1"/>
  <c r="B230" i="3"/>
  <c r="B1349" i="3" s="1"/>
  <c r="A230" i="3"/>
  <c r="A1349" i="3" s="1"/>
  <c r="O229" i="3"/>
  <c r="N229" i="3"/>
  <c r="M229" i="3"/>
  <c r="L229" i="3"/>
  <c r="K229" i="3"/>
  <c r="E229" i="3"/>
  <c r="E1348" i="3" s="1"/>
  <c r="D229" i="3"/>
  <c r="D1348" i="3" s="1"/>
  <c r="C229" i="3"/>
  <c r="C1348" i="3" s="1"/>
  <c r="B229" i="3"/>
  <c r="B1348" i="3" s="1"/>
  <c r="A229" i="3"/>
  <c r="A1348" i="3" s="1"/>
  <c r="O228" i="3"/>
  <c r="N228" i="3"/>
  <c r="M228" i="3"/>
  <c r="L228" i="3"/>
  <c r="K228" i="3"/>
  <c r="E228" i="3"/>
  <c r="E1347" i="3" s="1"/>
  <c r="D228" i="3"/>
  <c r="D1347" i="3" s="1"/>
  <c r="C228" i="3"/>
  <c r="C1347" i="3" s="1"/>
  <c r="B228" i="3"/>
  <c r="B1347" i="3" s="1"/>
  <c r="A228" i="3"/>
  <c r="A1347" i="3" s="1"/>
  <c r="O227" i="3"/>
  <c r="N227" i="3"/>
  <c r="M227" i="3"/>
  <c r="L227" i="3"/>
  <c r="K227" i="3"/>
  <c r="E227" i="3"/>
  <c r="E1346" i="3" s="1"/>
  <c r="D227" i="3"/>
  <c r="D1346" i="3" s="1"/>
  <c r="C227" i="3"/>
  <c r="C1346" i="3" s="1"/>
  <c r="B227" i="3"/>
  <c r="B1346" i="3" s="1"/>
  <c r="A227" i="3"/>
  <c r="A1346" i="3" s="1"/>
  <c r="O226" i="3"/>
  <c r="N226" i="3"/>
  <c r="M226" i="3"/>
  <c r="L226" i="3"/>
  <c r="K226" i="3"/>
  <c r="E226" i="3"/>
  <c r="E1345" i="3" s="1"/>
  <c r="D226" i="3"/>
  <c r="D1345" i="3" s="1"/>
  <c r="C226" i="3"/>
  <c r="C1345" i="3" s="1"/>
  <c r="B226" i="3"/>
  <c r="B1345" i="3" s="1"/>
  <c r="A226" i="3"/>
  <c r="A1345" i="3" s="1"/>
  <c r="O225" i="3"/>
  <c r="N225" i="3"/>
  <c r="M225" i="3"/>
  <c r="L225" i="3"/>
  <c r="K225" i="3"/>
  <c r="E225" i="3"/>
  <c r="E1344" i="3" s="1"/>
  <c r="D225" i="3"/>
  <c r="D1344" i="3" s="1"/>
  <c r="C225" i="3"/>
  <c r="C1344" i="3" s="1"/>
  <c r="B225" i="3"/>
  <c r="B1344" i="3" s="1"/>
  <c r="A225" i="3"/>
  <c r="A1344" i="3" s="1"/>
  <c r="O224" i="3"/>
  <c r="N224" i="3"/>
  <c r="M224" i="3"/>
  <c r="L224" i="3"/>
  <c r="K224" i="3"/>
  <c r="E224" i="3"/>
  <c r="E1343" i="3" s="1"/>
  <c r="D224" i="3"/>
  <c r="D1343" i="3" s="1"/>
  <c r="C224" i="3"/>
  <c r="C1343" i="3" s="1"/>
  <c r="B224" i="3"/>
  <c r="B1343" i="3" s="1"/>
  <c r="A224" i="3"/>
  <c r="A1343" i="3" s="1"/>
  <c r="O223" i="3"/>
  <c r="N223" i="3"/>
  <c r="M223" i="3"/>
  <c r="L223" i="3"/>
  <c r="K223" i="3"/>
  <c r="E223" i="3"/>
  <c r="E1342" i="3" s="1"/>
  <c r="D223" i="3"/>
  <c r="D1342" i="3" s="1"/>
  <c r="C223" i="3"/>
  <c r="C1342" i="3" s="1"/>
  <c r="B223" i="3"/>
  <c r="B1342" i="3" s="1"/>
  <c r="A223" i="3"/>
  <c r="A1342" i="3" s="1"/>
  <c r="O222" i="3"/>
  <c r="N222" i="3"/>
  <c r="M222" i="3"/>
  <c r="L222" i="3"/>
  <c r="K222" i="3"/>
  <c r="E222" i="3"/>
  <c r="E1341" i="3" s="1"/>
  <c r="D222" i="3"/>
  <c r="D1341" i="3" s="1"/>
  <c r="C222" i="3"/>
  <c r="C1341" i="3" s="1"/>
  <c r="B222" i="3"/>
  <c r="B1341" i="3" s="1"/>
  <c r="A222" i="3"/>
  <c r="A1341" i="3" s="1"/>
  <c r="O221" i="3"/>
  <c r="N221" i="3"/>
  <c r="M221" i="3"/>
  <c r="L221" i="3"/>
  <c r="K221" i="3"/>
  <c r="E221" i="3"/>
  <c r="E1340" i="3" s="1"/>
  <c r="D221" i="3"/>
  <c r="D1340" i="3" s="1"/>
  <c r="C221" i="3"/>
  <c r="C1340" i="3" s="1"/>
  <c r="B221" i="3"/>
  <c r="B1340" i="3" s="1"/>
  <c r="A221" i="3"/>
  <c r="A1340" i="3" s="1"/>
  <c r="O220" i="3"/>
  <c r="N220" i="3"/>
  <c r="M220" i="3"/>
  <c r="L220" i="3"/>
  <c r="K220" i="3"/>
  <c r="E220" i="3"/>
  <c r="E1339" i="3" s="1"/>
  <c r="D220" i="3"/>
  <c r="D1339" i="3" s="1"/>
  <c r="C220" i="3"/>
  <c r="C1339" i="3" s="1"/>
  <c r="B220" i="3"/>
  <c r="B1339" i="3" s="1"/>
  <c r="A220" i="3"/>
  <c r="A1339" i="3" s="1"/>
  <c r="O219" i="3"/>
  <c r="N219" i="3"/>
  <c r="M219" i="3"/>
  <c r="L219" i="3"/>
  <c r="K219" i="3"/>
  <c r="E219" i="3"/>
  <c r="E1338" i="3" s="1"/>
  <c r="D219" i="3"/>
  <c r="D1338" i="3" s="1"/>
  <c r="C219" i="3"/>
  <c r="C1338" i="3" s="1"/>
  <c r="B219" i="3"/>
  <c r="B1338" i="3" s="1"/>
  <c r="A219" i="3"/>
  <c r="A1338" i="3" s="1"/>
  <c r="O218" i="3"/>
  <c r="N218" i="3"/>
  <c r="M218" i="3"/>
  <c r="L218" i="3"/>
  <c r="K218" i="3"/>
  <c r="E218" i="3"/>
  <c r="E1337" i="3" s="1"/>
  <c r="D218" i="3"/>
  <c r="D1337" i="3" s="1"/>
  <c r="C218" i="3"/>
  <c r="C1337" i="3" s="1"/>
  <c r="B218" i="3"/>
  <c r="B1337" i="3" s="1"/>
  <c r="A218" i="3"/>
  <c r="A1337" i="3" s="1"/>
  <c r="O217" i="3"/>
  <c r="N217" i="3"/>
  <c r="M217" i="3"/>
  <c r="L217" i="3"/>
  <c r="K217" i="3"/>
  <c r="E217" i="3"/>
  <c r="E1336" i="3" s="1"/>
  <c r="D217" i="3"/>
  <c r="D1336" i="3" s="1"/>
  <c r="C217" i="3"/>
  <c r="C1336" i="3" s="1"/>
  <c r="B217" i="3"/>
  <c r="B1336" i="3" s="1"/>
  <c r="A217" i="3"/>
  <c r="A1336" i="3" s="1"/>
  <c r="O216" i="3"/>
  <c r="N216" i="3"/>
  <c r="M216" i="3"/>
  <c r="L216" i="3"/>
  <c r="K216" i="3"/>
  <c r="E216" i="3"/>
  <c r="E1335" i="3" s="1"/>
  <c r="D216" i="3"/>
  <c r="D1335" i="3" s="1"/>
  <c r="C216" i="3"/>
  <c r="C1335" i="3" s="1"/>
  <c r="B216" i="3"/>
  <c r="B1335" i="3" s="1"/>
  <c r="A216" i="3"/>
  <c r="A1335" i="3" s="1"/>
  <c r="O215" i="3"/>
  <c r="N215" i="3"/>
  <c r="M215" i="3"/>
  <c r="L215" i="3"/>
  <c r="K215" i="3"/>
  <c r="E215" i="3"/>
  <c r="E1334" i="3" s="1"/>
  <c r="D215" i="3"/>
  <c r="D1334" i="3" s="1"/>
  <c r="C215" i="3"/>
  <c r="C1334" i="3" s="1"/>
  <c r="B215" i="3"/>
  <c r="B1334" i="3" s="1"/>
  <c r="A215" i="3"/>
  <c r="A1334" i="3" s="1"/>
  <c r="O214" i="3"/>
  <c r="N214" i="3"/>
  <c r="M214" i="3"/>
  <c r="L214" i="3"/>
  <c r="K214" i="3"/>
  <c r="E214" i="3"/>
  <c r="E1333" i="3" s="1"/>
  <c r="D214" i="3"/>
  <c r="D1333" i="3" s="1"/>
  <c r="C214" i="3"/>
  <c r="C1333" i="3" s="1"/>
  <c r="B214" i="3"/>
  <c r="B1333" i="3" s="1"/>
  <c r="A214" i="3"/>
  <c r="A1333" i="3" s="1"/>
  <c r="O213" i="3"/>
  <c r="N213" i="3"/>
  <c r="M213" i="3"/>
  <c r="L213" i="3"/>
  <c r="K213" i="3"/>
  <c r="E213" i="3"/>
  <c r="E1332" i="3" s="1"/>
  <c r="D213" i="3"/>
  <c r="D1332" i="3" s="1"/>
  <c r="C213" i="3"/>
  <c r="C1332" i="3" s="1"/>
  <c r="B213" i="3"/>
  <c r="B1332" i="3" s="1"/>
  <c r="A213" i="3"/>
  <c r="A1332" i="3" s="1"/>
  <c r="O212" i="3"/>
  <c r="N212" i="3"/>
  <c r="M212" i="3"/>
  <c r="L212" i="3"/>
  <c r="K212" i="3"/>
  <c r="E212" i="3"/>
  <c r="E1331" i="3" s="1"/>
  <c r="D212" i="3"/>
  <c r="D1331" i="3" s="1"/>
  <c r="C212" i="3"/>
  <c r="C1331" i="3" s="1"/>
  <c r="B212" i="3"/>
  <c r="B1331" i="3" s="1"/>
  <c r="A212" i="3"/>
  <c r="A1331" i="3" s="1"/>
  <c r="O211" i="3"/>
  <c r="N211" i="3"/>
  <c r="M211" i="3"/>
  <c r="L211" i="3"/>
  <c r="K211" i="3"/>
  <c r="E211" i="3"/>
  <c r="E1330" i="3" s="1"/>
  <c r="D211" i="3"/>
  <c r="D1330" i="3" s="1"/>
  <c r="C211" i="3"/>
  <c r="C1330" i="3" s="1"/>
  <c r="B211" i="3"/>
  <c r="B1330" i="3" s="1"/>
  <c r="A211" i="3"/>
  <c r="A1330" i="3" s="1"/>
  <c r="O210" i="3"/>
  <c r="N210" i="3"/>
  <c r="M210" i="3"/>
  <c r="L210" i="3"/>
  <c r="K210" i="3"/>
  <c r="E210" i="3"/>
  <c r="E1329" i="3" s="1"/>
  <c r="D210" i="3"/>
  <c r="D1329" i="3" s="1"/>
  <c r="C210" i="3"/>
  <c r="C1329" i="3" s="1"/>
  <c r="B210" i="3"/>
  <c r="B1329" i="3" s="1"/>
  <c r="A210" i="3"/>
  <c r="A1329" i="3" s="1"/>
  <c r="O209" i="3"/>
  <c r="N209" i="3"/>
  <c r="M209" i="3"/>
  <c r="L209" i="3"/>
  <c r="K209" i="3"/>
  <c r="E209" i="3"/>
  <c r="E1328" i="3" s="1"/>
  <c r="D209" i="3"/>
  <c r="D1328" i="3" s="1"/>
  <c r="C209" i="3"/>
  <c r="C1328" i="3" s="1"/>
  <c r="B209" i="3"/>
  <c r="B1328" i="3" s="1"/>
  <c r="A209" i="3"/>
  <c r="A1328" i="3" s="1"/>
  <c r="O208" i="3"/>
  <c r="N208" i="3"/>
  <c r="M208" i="3"/>
  <c r="L208" i="3"/>
  <c r="K208" i="3"/>
  <c r="E208" i="3"/>
  <c r="E1327" i="3" s="1"/>
  <c r="D208" i="3"/>
  <c r="D1327" i="3" s="1"/>
  <c r="C208" i="3"/>
  <c r="C1327" i="3" s="1"/>
  <c r="B208" i="3"/>
  <c r="B1327" i="3" s="1"/>
  <c r="A208" i="3"/>
  <c r="A1327" i="3" s="1"/>
  <c r="O207" i="3"/>
  <c r="N207" i="3"/>
  <c r="M207" i="3"/>
  <c r="L207" i="3"/>
  <c r="K207" i="3"/>
  <c r="E207" i="3"/>
  <c r="E1326" i="3" s="1"/>
  <c r="D207" i="3"/>
  <c r="D1326" i="3" s="1"/>
  <c r="C207" i="3"/>
  <c r="C1326" i="3" s="1"/>
  <c r="B207" i="3"/>
  <c r="B1326" i="3" s="1"/>
  <c r="A207" i="3"/>
  <c r="A1326" i="3" s="1"/>
  <c r="O206" i="3"/>
  <c r="N206" i="3"/>
  <c r="M206" i="3"/>
  <c r="L206" i="3"/>
  <c r="K206" i="3"/>
  <c r="E206" i="3"/>
  <c r="E1325" i="3" s="1"/>
  <c r="D206" i="3"/>
  <c r="D1325" i="3" s="1"/>
  <c r="C206" i="3"/>
  <c r="C1325" i="3" s="1"/>
  <c r="B206" i="3"/>
  <c r="B1325" i="3" s="1"/>
  <c r="A206" i="3"/>
  <c r="A1325" i="3" s="1"/>
  <c r="O205" i="3"/>
  <c r="N205" i="3"/>
  <c r="M205" i="3"/>
  <c r="L205" i="3"/>
  <c r="K205" i="3"/>
  <c r="E205" i="3"/>
  <c r="E1324" i="3" s="1"/>
  <c r="D205" i="3"/>
  <c r="D1324" i="3" s="1"/>
  <c r="C205" i="3"/>
  <c r="C1324" i="3" s="1"/>
  <c r="B205" i="3"/>
  <c r="B1324" i="3" s="1"/>
  <c r="A205" i="3"/>
  <c r="A1324" i="3" s="1"/>
  <c r="O204" i="3"/>
  <c r="N204" i="3"/>
  <c r="M204" i="3"/>
  <c r="L204" i="3"/>
  <c r="K204" i="3"/>
  <c r="E204" i="3"/>
  <c r="E1323" i="3" s="1"/>
  <c r="D204" i="3"/>
  <c r="D1323" i="3" s="1"/>
  <c r="C204" i="3"/>
  <c r="C1323" i="3" s="1"/>
  <c r="B204" i="3"/>
  <c r="B1323" i="3" s="1"/>
  <c r="A204" i="3"/>
  <c r="A1323" i="3" s="1"/>
  <c r="O203" i="3"/>
  <c r="N203" i="3"/>
  <c r="M203" i="3"/>
  <c r="L203" i="3"/>
  <c r="K203" i="3"/>
  <c r="E203" i="3"/>
  <c r="E1322" i="3" s="1"/>
  <c r="D203" i="3"/>
  <c r="D1322" i="3" s="1"/>
  <c r="C203" i="3"/>
  <c r="C1322" i="3" s="1"/>
  <c r="B203" i="3"/>
  <c r="B1322" i="3" s="1"/>
  <c r="A203" i="3"/>
  <c r="A1322" i="3" s="1"/>
  <c r="O202" i="3"/>
  <c r="N202" i="3"/>
  <c r="M202" i="3"/>
  <c r="L202" i="3"/>
  <c r="K202" i="3"/>
  <c r="E202" i="3"/>
  <c r="E1321" i="3" s="1"/>
  <c r="D202" i="3"/>
  <c r="D1321" i="3" s="1"/>
  <c r="C202" i="3"/>
  <c r="C1321" i="3" s="1"/>
  <c r="B202" i="3"/>
  <c r="B1321" i="3" s="1"/>
  <c r="A202" i="3"/>
  <c r="A1321" i="3" s="1"/>
  <c r="O201" i="3"/>
  <c r="N201" i="3"/>
  <c r="M201" i="3"/>
  <c r="L201" i="3"/>
  <c r="K201" i="3"/>
  <c r="E201" i="3"/>
  <c r="E1320" i="3" s="1"/>
  <c r="D201" i="3"/>
  <c r="D1320" i="3" s="1"/>
  <c r="C201" i="3"/>
  <c r="C1320" i="3" s="1"/>
  <c r="B201" i="3"/>
  <c r="B1320" i="3" s="1"/>
  <c r="A201" i="3"/>
  <c r="A1320" i="3" s="1"/>
  <c r="O200" i="3"/>
  <c r="N200" i="3"/>
  <c r="M200" i="3"/>
  <c r="L200" i="3"/>
  <c r="K200" i="3"/>
  <c r="E200" i="3"/>
  <c r="E1319" i="3" s="1"/>
  <c r="D200" i="3"/>
  <c r="D1319" i="3" s="1"/>
  <c r="C200" i="3"/>
  <c r="C1319" i="3" s="1"/>
  <c r="B200" i="3"/>
  <c r="B1319" i="3" s="1"/>
  <c r="A200" i="3"/>
  <c r="A1319" i="3" s="1"/>
  <c r="O199" i="3"/>
  <c r="N199" i="3"/>
  <c r="M199" i="3"/>
  <c r="L199" i="3"/>
  <c r="K199" i="3"/>
  <c r="E199" i="3"/>
  <c r="E1318" i="3" s="1"/>
  <c r="D199" i="3"/>
  <c r="D1318" i="3" s="1"/>
  <c r="C199" i="3"/>
  <c r="C1318" i="3" s="1"/>
  <c r="B199" i="3"/>
  <c r="B1318" i="3" s="1"/>
  <c r="A199" i="3"/>
  <c r="A1318" i="3" s="1"/>
  <c r="O198" i="3"/>
  <c r="N198" i="3"/>
  <c r="M198" i="3"/>
  <c r="L198" i="3"/>
  <c r="K198" i="3"/>
  <c r="E198" i="3"/>
  <c r="E1317" i="3" s="1"/>
  <c r="D198" i="3"/>
  <c r="D1317" i="3" s="1"/>
  <c r="C198" i="3"/>
  <c r="C1317" i="3" s="1"/>
  <c r="B198" i="3"/>
  <c r="B1317" i="3" s="1"/>
  <c r="A198" i="3"/>
  <c r="A1317" i="3" s="1"/>
  <c r="O197" i="3"/>
  <c r="N197" i="3"/>
  <c r="M197" i="3"/>
  <c r="L197" i="3"/>
  <c r="K197" i="3"/>
  <c r="E197" i="3"/>
  <c r="E1316" i="3" s="1"/>
  <c r="D197" i="3"/>
  <c r="D1316" i="3" s="1"/>
  <c r="C197" i="3"/>
  <c r="C1316" i="3" s="1"/>
  <c r="B197" i="3"/>
  <c r="B1316" i="3" s="1"/>
  <c r="A197" i="3"/>
  <c r="A1316" i="3" s="1"/>
  <c r="O196" i="3"/>
  <c r="N196" i="3"/>
  <c r="M196" i="3"/>
  <c r="L196" i="3"/>
  <c r="K196" i="3"/>
  <c r="E196" i="3"/>
  <c r="E1315" i="3" s="1"/>
  <c r="D196" i="3"/>
  <c r="D1315" i="3" s="1"/>
  <c r="C196" i="3"/>
  <c r="C1315" i="3" s="1"/>
  <c r="B196" i="3"/>
  <c r="B1315" i="3" s="1"/>
  <c r="A196" i="3"/>
  <c r="A1315" i="3" s="1"/>
  <c r="O195" i="3"/>
  <c r="N195" i="3"/>
  <c r="M195" i="3"/>
  <c r="L195" i="3"/>
  <c r="K195" i="3"/>
  <c r="E195" i="3"/>
  <c r="E1314" i="3" s="1"/>
  <c r="D195" i="3"/>
  <c r="D1314" i="3" s="1"/>
  <c r="C195" i="3"/>
  <c r="C1314" i="3" s="1"/>
  <c r="B195" i="3"/>
  <c r="B1314" i="3" s="1"/>
  <c r="A195" i="3"/>
  <c r="A1314" i="3" s="1"/>
  <c r="O194" i="3"/>
  <c r="N194" i="3"/>
  <c r="M194" i="3"/>
  <c r="L194" i="3"/>
  <c r="K194" i="3"/>
  <c r="E194" i="3"/>
  <c r="E1313" i="3" s="1"/>
  <c r="D194" i="3"/>
  <c r="D1313" i="3" s="1"/>
  <c r="C194" i="3"/>
  <c r="C1313" i="3" s="1"/>
  <c r="B194" i="3"/>
  <c r="B1313" i="3" s="1"/>
  <c r="A194" i="3"/>
  <c r="A1313" i="3" s="1"/>
  <c r="O193" i="3"/>
  <c r="N193" i="3"/>
  <c r="M193" i="3"/>
  <c r="L193" i="3"/>
  <c r="K193" i="3"/>
  <c r="E193" i="3"/>
  <c r="E1312" i="3" s="1"/>
  <c r="D193" i="3"/>
  <c r="D1312" i="3" s="1"/>
  <c r="C193" i="3"/>
  <c r="C1312" i="3" s="1"/>
  <c r="B193" i="3"/>
  <c r="B1312" i="3" s="1"/>
  <c r="A193" i="3"/>
  <c r="A1312" i="3" s="1"/>
  <c r="O192" i="3"/>
  <c r="N192" i="3"/>
  <c r="M192" i="3"/>
  <c r="L192" i="3"/>
  <c r="K192" i="3"/>
  <c r="E192" i="3"/>
  <c r="E1311" i="3" s="1"/>
  <c r="D192" i="3"/>
  <c r="D1311" i="3" s="1"/>
  <c r="C192" i="3"/>
  <c r="C1311" i="3" s="1"/>
  <c r="B192" i="3"/>
  <c r="B1311" i="3" s="1"/>
  <c r="A192" i="3"/>
  <c r="A1311" i="3" s="1"/>
  <c r="O191" i="3"/>
  <c r="N191" i="3"/>
  <c r="M191" i="3"/>
  <c r="L191" i="3"/>
  <c r="K191" i="3"/>
  <c r="E191" i="3"/>
  <c r="E1310" i="3" s="1"/>
  <c r="D191" i="3"/>
  <c r="D1310" i="3" s="1"/>
  <c r="C191" i="3"/>
  <c r="C1310" i="3" s="1"/>
  <c r="B191" i="3"/>
  <c r="B1310" i="3" s="1"/>
  <c r="A191" i="3"/>
  <c r="A1310" i="3" s="1"/>
  <c r="O190" i="3"/>
  <c r="N190" i="3"/>
  <c r="M190" i="3"/>
  <c r="L190" i="3"/>
  <c r="K190" i="3"/>
  <c r="E190" i="3"/>
  <c r="E1309" i="3" s="1"/>
  <c r="D190" i="3"/>
  <c r="D1309" i="3" s="1"/>
  <c r="C190" i="3"/>
  <c r="C1309" i="3" s="1"/>
  <c r="B190" i="3"/>
  <c r="B1309" i="3" s="1"/>
  <c r="A190" i="3"/>
  <c r="A1309" i="3" s="1"/>
  <c r="O189" i="3"/>
  <c r="N189" i="3"/>
  <c r="M189" i="3"/>
  <c r="L189" i="3"/>
  <c r="K189" i="3"/>
  <c r="E189" i="3"/>
  <c r="E1308" i="3" s="1"/>
  <c r="D189" i="3"/>
  <c r="D1308" i="3" s="1"/>
  <c r="C189" i="3"/>
  <c r="C1308" i="3" s="1"/>
  <c r="B189" i="3"/>
  <c r="B1308" i="3" s="1"/>
  <c r="A189" i="3"/>
  <c r="A1308" i="3" s="1"/>
  <c r="O188" i="3"/>
  <c r="N188" i="3"/>
  <c r="M188" i="3"/>
  <c r="L188" i="3"/>
  <c r="K188" i="3"/>
  <c r="E188" i="3"/>
  <c r="E1307" i="3" s="1"/>
  <c r="D188" i="3"/>
  <c r="D1307" i="3" s="1"/>
  <c r="C188" i="3"/>
  <c r="C1307" i="3" s="1"/>
  <c r="B188" i="3"/>
  <c r="B1307" i="3" s="1"/>
  <c r="A188" i="3"/>
  <c r="A1307" i="3" s="1"/>
  <c r="O187" i="3"/>
  <c r="N187" i="3"/>
  <c r="M187" i="3"/>
  <c r="L187" i="3"/>
  <c r="K187" i="3"/>
  <c r="E187" i="3"/>
  <c r="E1306" i="3" s="1"/>
  <c r="D187" i="3"/>
  <c r="D1306" i="3" s="1"/>
  <c r="C187" i="3"/>
  <c r="C1306" i="3" s="1"/>
  <c r="B187" i="3"/>
  <c r="B1306" i="3" s="1"/>
  <c r="A187" i="3"/>
  <c r="A1306" i="3" s="1"/>
  <c r="O186" i="3"/>
  <c r="N186" i="3"/>
  <c r="M186" i="3"/>
  <c r="L186" i="3"/>
  <c r="K186" i="3"/>
  <c r="E186" i="3"/>
  <c r="E1305" i="3" s="1"/>
  <c r="D186" i="3"/>
  <c r="D1305" i="3" s="1"/>
  <c r="C186" i="3"/>
  <c r="C1305" i="3" s="1"/>
  <c r="B186" i="3"/>
  <c r="B1305" i="3" s="1"/>
  <c r="A186" i="3"/>
  <c r="A1305" i="3" s="1"/>
  <c r="O185" i="3"/>
  <c r="N185" i="3"/>
  <c r="M185" i="3"/>
  <c r="L185" i="3"/>
  <c r="K185" i="3"/>
  <c r="E185" i="3"/>
  <c r="E1304" i="3" s="1"/>
  <c r="D185" i="3"/>
  <c r="D1304" i="3" s="1"/>
  <c r="C185" i="3"/>
  <c r="C1304" i="3" s="1"/>
  <c r="B185" i="3"/>
  <c r="B1304" i="3" s="1"/>
  <c r="A185" i="3"/>
  <c r="A1304" i="3" s="1"/>
  <c r="O184" i="3"/>
  <c r="N184" i="3"/>
  <c r="M184" i="3"/>
  <c r="L184" i="3"/>
  <c r="K184" i="3"/>
  <c r="E184" i="3"/>
  <c r="E1303" i="3" s="1"/>
  <c r="D184" i="3"/>
  <c r="D1303" i="3" s="1"/>
  <c r="C184" i="3"/>
  <c r="C1303" i="3" s="1"/>
  <c r="B184" i="3"/>
  <c r="B1303" i="3" s="1"/>
  <c r="A184" i="3"/>
  <c r="A1303" i="3" s="1"/>
  <c r="O183" i="3"/>
  <c r="N183" i="3"/>
  <c r="M183" i="3"/>
  <c r="L183" i="3"/>
  <c r="K183" i="3"/>
  <c r="E183" i="3"/>
  <c r="E1302" i="3" s="1"/>
  <c r="D183" i="3"/>
  <c r="D1302" i="3" s="1"/>
  <c r="C183" i="3"/>
  <c r="C1302" i="3" s="1"/>
  <c r="B183" i="3"/>
  <c r="B1302" i="3" s="1"/>
  <c r="A183" i="3"/>
  <c r="A1302" i="3" s="1"/>
  <c r="O182" i="3"/>
  <c r="N182" i="3"/>
  <c r="M182" i="3"/>
  <c r="L182" i="3"/>
  <c r="K182" i="3"/>
  <c r="E182" i="3"/>
  <c r="E1301" i="3" s="1"/>
  <c r="D182" i="3"/>
  <c r="D1301" i="3" s="1"/>
  <c r="C182" i="3"/>
  <c r="C1301" i="3" s="1"/>
  <c r="B182" i="3"/>
  <c r="B1301" i="3" s="1"/>
  <c r="A182" i="3"/>
  <c r="A1301" i="3" s="1"/>
  <c r="O181" i="3"/>
  <c r="N181" i="3"/>
  <c r="M181" i="3"/>
  <c r="L181" i="3"/>
  <c r="K181" i="3"/>
  <c r="E181" i="3"/>
  <c r="E1300" i="3" s="1"/>
  <c r="D181" i="3"/>
  <c r="D1300" i="3" s="1"/>
  <c r="C181" i="3"/>
  <c r="C1300" i="3" s="1"/>
  <c r="B181" i="3"/>
  <c r="B1300" i="3" s="1"/>
  <c r="A181" i="3"/>
  <c r="A1300" i="3" s="1"/>
  <c r="O180" i="3"/>
  <c r="N180" i="3"/>
  <c r="M180" i="3"/>
  <c r="L180" i="3"/>
  <c r="K180" i="3"/>
  <c r="E180" i="3"/>
  <c r="E1299" i="3" s="1"/>
  <c r="D180" i="3"/>
  <c r="D1299" i="3" s="1"/>
  <c r="C180" i="3"/>
  <c r="C1299" i="3" s="1"/>
  <c r="B180" i="3"/>
  <c r="B1299" i="3" s="1"/>
  <c r="A180" i="3"/>
  <c r="A1299" i="3" s="1"/>
  <c r="O179" i="3"/>
  <c r="N179" i="3"/>
  <c r="M179" i="3"/>
  <c r="L179" i="3"/>
  <c r="K179" i="3"/>
  <c r="E179" i="3"/>
  <c r="E1298" i="3" s="1"/>
  <c r="D179" i="3"/>
  <c r="D1298" i="3" s="1"/>
  <c r="C179" i="3"/>
  <c r="C1298" i="3" s="1"/>
  <c r="B179" i="3"/>
  <c r="B1298" i="3" s="1"/>
  <c r="A179" i="3"/>
  <c r="A1298" i="3" s="1"/>
  <c r="O178" i="3"/>
  <c r="N178" i="3"/>
  <c r="M178" i="3"/>
  <c r="L178" i="3"/>
  <c r="K178" i="3"/>
  <c r="E178" i="3"/>
  <c r="E1297" i="3" s="1"/>
  <c r="D178" i="3"/>
  <c r="D1297" i="3" s="1"/>
  <c r="C178" i="3"/>
  <c r="C1297" i="3" s="1"/>
  <c r="B178" i="3"/>
  <c r="B1297" i="3" s="1"/>
  <c r="A178" i="3"/>
  <c r="A1297" i="3" s="1"/>
  <c r="O177" i="3"/>
  <c r="N177" i="3"/>
  <c r="M177" i="3"/>
  <c r="L177" i="3"/>
  <c r="K177" i="3"/>
  <c r="E177" i="3"/>
  <c r="E1296" i="3" s="1"/>
  <c r="D177" i="3"/>
  <c r="D1296" i="3" s="1"/>
  <c r="C177" i="3"/>
  <c r="C1296" i="3" s="1"/>
  <c r="B177" i="3"/>
  <c r="B1296" i="3" s="1"/>
  <c r="A177" i="3"/>
  <c r="A1296" i="3" s="1"/>
  <c r="O176" i="3"/>
  <c r="N176" i="3"/>
  <c r="M176" i="3"/>
  <c r="L176" i="3"/>
  <c r="K176" i="3"/>
  <c r="E176" i="3"/>
  <c r="E1295" i="3" s="1"/>
  <c r="D176" i="3"/>
  <c r="D1295" i="3" s="1"/>
  <c r="C176" i="3"/>
  <c r="C1295" i="3" s="1"/>
  <c r="B176" i="3"/>
  <c r="B1295" i="3" s="1"/>
  <c r="A176" i="3"/>
  <c r="A1295" i="3" s="1"/>
  <c r="O175" i="3"/>
  <c r="N175" i="3"/>
  <c r="M175" i="3"/>
  <c r="L175" i="3"/>
  <c r="K175" i="3"/>
  <c r="E175" i="3"/>
  <c r="E1294" i="3" s="1"/>
  <c r="D175" i="3"/>
  <c r="D1294" i="3" s="1"/>
  <c r="C175" i="3"/>
  <c r="C1294" i="3" s="1"/>
  <c r="B175" i="3"/>
  <c r="B1294" i="3" s="1"/>
  <c r="A175" i="3"/>
  <c r="A1294" i="3" s="1"/>
  <c r="O174" i="3"/>
  <c r="N174" i="3"/>
  <c r="M174" i="3"/>
  <c r="L174" i="3"/>
  <c r="K174" i="3"/>
  <c r="E174" i="3"/>
  <c r="E1293" i="3" s="1"/>
  <c r="D174" i="3"/>
  <c r="D1293" i="3" s="1"/>
  <c r="C174" i="3"/>
  <c r="C1293" i="3" s="1"/>
  <c r="B174" i="3"/>
  <c r="B1293" i="3" s="1"/>
  <c r="A174" i="3"/>
  <c r="A1293" i="3" s="1"/>
  <c r="O173" i="3"/>
  <c r="N173" i="3"/>
  <c r="M173" i="3"/>
  <c r="L173" i="3"/>
  <c r="K173" i="3"/>
  <c r="E173" i="3"/>
  <c r="E1292" i="3" s="1"/>
  <c r="D173" i="3"/>
  <c r="D1292" i="3" s="1"/>
  <c r="C173" i="3"/>
  <c r="C1292" i="3" s="1"/>
  <c r="B173" i="3"/>
  <c r="B1292" i="3" s="1"/>
  <c r="A173" i="3"/>
  <c r="A1292" i="3" s="1"/>
  <c r="O172" i="3"/>
  <c r="N172" i="3"/>
  <c r="M172" i="3"/>
  <c r="L172" i="3"/>
  <c r="K172" i="3"/>
  <c r="E172" i="3"/>
  <c r="E1291" i="3" s="1"/>
  <c r="D172" i="3"/>
  <c r="D1291" i="3" s="1"/>
  <c r="C172" i="3"/>
  <c r="C1291" i="3" s="1"/>
  <c r="B172" i="3"/>
  <c r="B1291" i="3" s="1"/>
  <c r="A172" i="3"/>
  <c r="A1291" i="3" s="1"/>
  <c r="O171" i="3"/>
  <c r="N171" i="3"/>
  <c r="M171" i="3"/>
  <c r="L171" i="3"/>
  <c r="K171" i="3"/>
  <c r="E171" i="3"/>
  <c r="E1290" i="3" s="1"/>
  <c r="D171" i="3"/>
  <c r="D1290" i="3" s="1"/>
  <c r="C171" i="3"/>
  <c r="C1290" i="3" s="1"/>
  <c r="B171" i="3"/>
  <c r="B1290" i="3" s="1"/>
  <c r="A171" i="3"/>
  <c r="A1290" i="3" s="1"/>
  <c r="O170" i="3"/>
  <c r="N170" i="3"/>
  <c r="M170" i="3"/>
  <c r="L170" i="3"/>
  <c r="K170" i="3"/>
  <c r="E170" i="3"/>
  <c r="E1289" i="3" s="1"/>
  <c r="D170" i="3"/>
  <c r="D1289" i="3" s="1"/>
  <c r="C170" i="3"/>
  <c r="C1289" i="3" s="1"/>
  <c r="B170" i="3"/>
  <c r="B1289" i="3" s="1"/>
  <c r="A170" i="3"/>
  <c r="A1289" i="3" s="1"/>
  <c r="O169" i="3"/>
  <c r="N169" i="3"/>
  <c r="M169" i="3"/>
  <c r="L169" i="3"/>
  <c r="K169" i="3"/>
  <c r="E169" i="3"/>
  <c r="E1288" i="3" s="1"/>
  <c r="D169" i="3"/>
  <c r="D1288" i="3" s="1"/>
  <c r="C169" i="3"/>
  <c r="C1288" i="3" s="1"/>
  <c r="B169" i="3"/>
  <c r="B1288" i="3" s="1"/>
  <c r="A169" i="3"/>
  <c r="A1288" i="3" s="1"/>
  <c r="O168" i="3"/>
  <c r="N168" i="3"/>
  <c r="M168" i="3"/>
  <c r="L168" i="3"/>
  <c r="K168" i="3"/>
  <c r="E168" i="3"/>
  <c r="E1287" i="3" s="1"/>
  <c r="D168" i="3"/>
  <c r="D1287" i="3" s="1"/>
  <c r="C168" i="3"/>
  <c r="C1287" i="3" s="1"/>
  <c r="B168" i="3"/>
  <c r="B1287" i="3" s="1"/>
  <c r="A168" i="3"/>
  <c r="A1287" i="3" s="1"/>
  <c r="O167" i="3"/>
  <c r="N167" i="3"/>
  <c r="M167" i="3"/>
  <c r="L167" i="3"/>
  <c r="K167" i="3"/>
  <c r="E167" i="3"/>
  <c r="E1286" i="3" s="1"/>
  <c r="D167" i="3"/>
  <c r="D1286" i="3" s="1"/>
  <c r="C167" i="3"/>
  <c r="C1286" i="3" s="1"/>
  <c r="B167" i="3"/>
  <c r="B1286" i="3" s="1"/>
  <c r="A167" i="3"/>
  <c r="A1286" i="3" s="1"/>
  <c r="O166" i="3"/>
  <c r="N166" i="3"/>
  <c r="M166" i="3"/>
  <c r="L166" i="3"/>
  <c r="K166" i="3"/>
  <c r="E166" i="3"/>
  <c r="E1285" i="3" s="1"/>
  <c r="D166" i="3"/>
  <c r="D1285" i="3" s="1"/>
  <c r="C166" i="3"/>
  <c r="C1285" i="3" s="1"/>
  <c r="B166" i="3"/>
  <c r="B1285" i="3" s="1"/>
  <c r="A166" i="3"/>
  <c r="A1285" i="3" s="1"/>
  <c r="O165" i="3"/>
  <c r="N165" i="3"/>
  <c r="M165" i="3"/>
  <c r="L165" i="3"/>
  <c r="K165" i="3"/>
  <c r="E165" i="3"/>
  <c r="E1284" i="3" s="1"/>
  <c r="D165" i="3"/>
  <c r="D1284" i="3" s="1"/>
  <c r="C165" i="3"/>
  <c r="C1284" i="3" s="1"/>
  <c r="B165" i="3"/>
  <c r="B1284" i="3" s="1"/>
  <c r="A165" i="3"/>
  <c r="A1284" i="3" s="1"/>
  <c r="O164" i="3"/>
  <c r="N164" i="3"/>
  <c r="M164" i="3"/>
  <c r="L164" i="3"/>
  <c r="K164" i="3"/>
  <c r="E164" i="3"/>
  <c r="B164" i="3"/>
  <c r="A164" i="3"/>
  <c r="O163" i="3"/>
  <c r="N163" i="3"/>
  <c r="M163" i="3"/>
  <c r="L163" i="3"/>
  <c r="K163" i="3"/>
  <c r="E163" i="3"/>
  <c r="B163" i="3"/>
  <c r="A163" i="3"/>
  <c r="O162" i="3"/>
  <c r="N162" i="3"/>
  <c r="M162" i="3"/>
  <c r="L162" i="3"/>
  <c r="K162" i="3"/>
  <c r="E162" i="3"/>
  <c r="B162" i="3"/>
  <c r="A162" i="3"/>
  <c r="O161" i="3"/>
  <c r="N161" i="3"/>
  <c r="M161" i="3"/>
  <c r="L161" i="3"/>
  <c r="K161" i="3"/>
  <c r="E161" i="3"/>
  <c r="E1283" i="3" s="1"/>
  <c r="D161" i="3"/>
  <c r="D1283" i="3" s="1"/>
  <c r="C161" i="3"/>
  <c r="C1283" i="3" s="1"/>
  <c r="B161" i="3"/>
  <c r="B1283" i="3" s="1"/>
  <c r="A161" i="3"/>
  <c r="A1283" i="3" s="1"/>
  <c r="O160" i="3"/>
  <c r="N160" i="3"/>
  <c r="M160" i="3"/>
  <c r="L160" i="3"/>
  <c r="K160" i="3"/>
  <c r="E160" i="3"/>
  <c r="E1282" i="3" s="1"/>
  <c r="D160" i="3"/>
  <c r="D1282" i="3" s="1"/>
  <c r="C160" i="3"/>
  <c r="C1282" i="3" s="1"/>
  <c r="B160" i="3"/>
  <c r="B1282" i="3" s="1"/>
  <c r="A160" i="3"/>
  <c r="A1282" i="3" s="1"/>
  <c r="O159" i="3"/>
  <c r="N159" i="3"/>
  <c r="M159" i="3"/>
  <c r="L159" i="3"/>
  <c r="K159" i="3"/>
  <c r="E159" i="3"/>
  <c r="E1281" i="3" s="1"/>
  <c r="D159" i="3"/>
  <c r="D1281" i="3" s="1"/>
  <c r="C159" i="3"/>
  <c r="C1281" i="3" s="1"/>
  <c r="B159" i="3"/>
  <c r="B1281" i="3" s="1"/>
  <c r="A159" i="3"/>
  <c r="A1281" i="3" s="1"/>
  <c r="O158" i="3"/>
  <c r="N158" i="3"/>
  <c r="M158" i="3"/>
  <c r="L158" i="3"/>
  <c r="K158" i="3"/>
  <c r="E158" i="3"/>
  <c r="E1280" i="3" s="1"/>
  <c r="D158" i="3"/>
  <c r="D1280" i="3" s="1"/>
  <c r="C158" i="3"/>
  <c r="C1280" i="3" s="1"/>
  <c r="B158" i="3"/>
  <c r="B1280" i="3" s="1"/>
  <c r="A158" i="3"/>
  <c r="A1280" i="3" s="1"/>
  <c r="O157" i="3"/>
  <c r="N157" i="3"/>
  <c r="M157" i="3"/>
  <c r="L157" i="3"/>
  <c r="K157" i="3"/>
  <c r="E157" i="3"/>
  <c r="E1279" i="3" s="1"/>
  <c r="D157" i="3"/>
  <c r="D1279" i="3" s="1"/>
  <c r="C157" i="3"/>
  <c r="C1279" i="3" s="1"/>
  <c r="B157" i="3"/>
  <c r="B1279" i="3" s="1"/>
  <c r="A157" i="3"/>
  <c r="A1279" i="3" s="1"/>
  <c r="O156" i="3"/>
  <c r="N156" i="3"/>
  <c r="M156" i="3"/>
  <c r="L156" i="3"/>
  <c r="K156" i="3"/>
  <c r="E156" i="3"/>
  <c r="E1278" i="3" s="1"/>
  <c r="D156" i="3"/>
  <c r="D1278" i="3" s="1"/>
  <c r="C156" i="3"/>
  <c r="C1278" i="3" s="1"/>
  <c r="B156" i="3"/>
  <c r="B1278" i="3" s="1"/>
  <c r="A156" i="3"/>
  <c r="A1278" i="3" s="1"/>
  <c r="O155" i="3"/>
  <c r="N155" i="3"/>
  <c r="M155" i="3"/>
  <c r="L155" i="3"/>
  <c r="K155" i="3"/>
  <c r="E155" i="3"/>
  <c r="E1277" i="3" s="1"/>
  <c r="D155" i="3"/>
  <c r="D1277" i="3" s="1"/>
  <c r="C155" i="3"/>
  <c r="C1277" i="3" s="1"/>
  <c r="B155" i="3"/>
  <c r="B1277" i="3" s="1"/>
  <c r="A155" i="3"/>
  <c r="A1277" i="3" s="1"/>
  <c r="O154" i="3"/>
  <c r="N154" i="3"/>
  <c r="M154" i="3"/>
  <c r="L154" i="3"/>
  <c r="K154" i="3"/>
  <c r="E154" i="3"/>
  <c r="E1276" i="3" s="1"/>
  <c r="D154" i="3"/>
  <c r="D1276" i="3" s="1"/>
  <c r="C154" i="3"/>
  <c r="C1276" i="3" s="1"/>
  <c r="B154" i="3"/>
  <c r="B1276" i="3" s="1"/>
  <c r="A154" i="3"/>
  <c r="A1276" i="3" s="1"/>
  <c r="O153" i="3"/>
  <c r="N153" i="3"/>
  <c r="M153" i="3"/>
  <c r="L153" i="3"/>
  <c r="K153" i="3"/>
  <c r="E153" i="3"/>
  <c r="E1275" i="3" s="1"/>
  <c r="D153" i="3"/>
  <c r="D1275" i="3" s="1"/>
  <c r="C153" i="3"/>
  <c r="C1275" i="3" s="1"/>
  <c r="B153" i="3"/>
  <c r="B1275" i="3" s="1"/>
  <c r="A153" i="3"/>
  <c r="A1275" i="3" s="1"/>
  <c r="O152" i="3"/>
  <c r="N152" i="3"/>
  <c r="M152" i="3"/>
  <c r="L152" i="3"/>
  <c r="K152" i="3"/>
  <c r="E152" i="3"/>
  <c r="E1274" i="3" s="1"/>
  <c r="D152" i="3"/>
  <c r="D1274" i="3" s="1"/>
  <c r="C152" i="3"/>
  <c r="C1274" i="3" s="1"/>
  <c r="B152" i="3"/>
  <c r="B1274" i="3" s="1"/>
  <c r="A152" i="3"/>
  <c r="A1274" i="3" s="1"/>
  <c r="O151" i="3"/>
  <c r="N151" i="3"/>
  <c r="M151" i="3"/>
  <c r="L151" i="3"/>
  <c r="K151" i="3"/>
  <c r="E151" i="3"/>
  <c r="E1273" i="3" s="1"/>
  <c r="D151" i="3"/>
  <c r="D1273" i="3" s="1"/>
  <c r="C151" i="3"/>
  <c r="C1273" i="3" s="1"/>
  <c r="B151" i="3"/>
  <c r="B1273" i="3" s="1"/>
  <c r="A151" i="3"/>
  <c r="A1273" i="3" s="1"/>
  <c r="O150" i="3"/>
  <c r="N150" i="3"/>
  <c r="M150" i="3"/>
  <c r="L150" i="3"/>
  <c r="K150" i="3"/>
  <c r="E150" i="3"/>
  <c r="E1272" i="3" s="1"/>
  <c r="D150" i="3"/>
  <c r="D1272" i="3" s="1"/>
  <c r="C150" i="3"/>
  <c r="C1272" i="3" s="1"/>
  <c r="B150" i="3"/>
  <c r="B1272" i="3" s="1"/>
  <c r="A150" i="3"/>
  <c r="A1272" i="3" s="1"/>
  <c r="O149" i="3"/>
  <c r="N149" i="3"/>
  <c r="M149" i="3"/>
  <c r="L149" i="3"/>
  <c r="K149" i="3"/>
  <c r="E149" i="3"/>
  <c r="B149" i="3"/>
  <c r="A149" i="3"/>
  <c r="O148" i="3"/>
  <c r="N148" i="3"/>
  <c r="M148" i="3"/>
  <c r="L148" i="3"/>
  <c r="K148" i="3"/>
  <c r="E148" i="3"/>
  <c r="E1271" i="3" s="1"/>
  <c r="D148" i="3"/>
  <c r="D1271" i="3" s="1"/>
  <c r="C148" i="3"/>
  <c r="C1271" i="3" s="1"/>
  <c r="B148" i="3"/>
  <c r="B1271" i="3" s="1"/>
  <c r="A148" i="3"/>
  <c r="A1271" i="3" s="1"/>
  <c r="O147" i="3"/>
  <c r="N147" i="3"/>
  <c r="M147" i="3"/>
  <c r="L147" i="3"/>
  <c r="K147" i="3"/>
  <c r="E147" i="3"/>
  <c r="E1270" i="3" s="1"/>
  <c r="D147" i="3"/>
  <c r="D1270" i="3" s="1"/>
  <c r="C147" i="3"/>
  <c r="C1270" i="3" s="1"/>
  <c r="B147" i="3"/>
  <c r="B1270" i="3" s="1"/>
  <c r="A147" i="3"/>
  <c r="A1270" i="3" s="1"/>
  <c r="O146" i="3"/>
  <c r="N146" i="3"/>
  <c r="M146" i="3"/>
  <c r="L146" i="3"/>
  <c r="K146" i="3"/>
  <c r="E146" i="3"/>
  <c r="E1269" i="3" s="1"/>
  <c r="D146" i="3"/>
  <c r="D1269" i="3" s="1"/>
  <c r="C146" i="3"/>
  <c r="C1269" i="3" s="1"/>
  <c r="B146" i="3"/>
  <c r="B1269" i="3" s="1"/>
  <c r="A146" i="3"/>
  <c r="A1269" i="3" s="1"/>
  <c r="O145" i="3"/>
  <c r="N145" i="3"/>
  <c r="M145" i="3"/>
  <c r="L145" i="3"/>
  <c r="K145" i="3"/>
  <c r="E145" i="3"/>
  <c r="E1268" i="3" s="1"/>
  <c r="D145" i="3"/>
  <c r="D1268" i="3" s="1"/>
  <c r="C145" i="3"/>
  <c r="C1268" i="3" s="1"/>
  <c r="B145" i="3"/>
  <c r="B1268" i="3" s="1"/>
  <c r="A145" i="3"/>
  <c r="A1268" i="3" s="1"/>
  <c r="O144" i="3"/>
  <c r="N144" i="3"/>
  <c r="M144" i="3"/>
  <c r="L144" i="3"/>
  <c r="K144" i="3"/>
  <c r="E144" i="3"/>
  <c r="E1267" i="3" s="1"/>
  <c r="D144" i="3"/>
  <c r="D1267" i="3" s="1"/>
  <c r="C144" i="3"/>
  <c r="C1267" i="3" s="1"/>
  <c r="B144" i="3"/>
  <c r="B1267" i="3" s="1"/>
  <c r="A144" i="3"/>
  <c r="A1267" i="3" s="1"/>
  <c r="O143" i="3"/>
  <c r="N143" i="3"/>
  <c r="M143" i="3"/>
  <c r="L143" i="3"/>
  <c r="K143" i="3"/>
  <c r="E143" i="3"/>
  <c r="E1266" i="3" s="1"/>
  <c r="D143" i="3"/>
  <c r="D1266" i="3" s="1"/>
  <c r="C143" i="3"/>
  <c r="C1266" i="3" s="1"/>
  <c r="B143" i="3"/>
  <c r="B1266" i="3" s="1"/>
  <c r="A143" i="3"/>
  <c r="A1266" i="3" s="1"/>
  <c r="O142" i="3"/>
  <c r="N142" i="3"/>
  <c r="M142" i="3"/>
  <c r="L142" i="3"/>
  <c r="K142" i="3"/>
  <c r="E142" i="3"/>
  <c r="E1265" i="3" s="1"/>
  <c r="D142" i="3"/>
  <c r="D1265" i="3" s="1"/>
  <c r="C142" i="3"/>
  <c r="C1265" i="3" s="1"/>
  <c r="B142" i="3"/>
  <c r="B1265" i="3" s="1"/>
  <c r="A142" i="3"/>
  <c r="A1265" i="3" s="1"/>
  <c r="O141" i="3"/>
  <c r="N141" i="3"/>
  <c r="M141" i="3"/>
  <c r="L141" i="3"/>
  <c r="K141" i="3"/>
  <c r="E141" i="3"/>
  <c r="E1264" i="3" s="1"/>
  <c r="D141" i="3"/>
  <c r="D1264" i="3" s="1"/>
  <c r="C141" i="3"/>
  <c r="C1264" i="3" s="1"/>
  <c r="B141" i="3"/>
  <c r="B1264" i="3" s="1"/>
  <c r="A141" i="3"/>
  <c r="A1264" i="3" s="1"/>
  <c r="O140" i="3"/>
  <c r="N140" i="3"/>
  <c r="M140" i="3"/>
  <c r="L140" i="3"/>
  <c r="K140" i="3"/>
  <c r="E140" i="3"/>
  <c r="E1263" i="3" s="1"/>
  <c r="D140" i="3"/>
  <c r="D1263" i="3" s="1"/>
  <c r="C140" i="3"/>
  <c r="C1263" i="3" s="1"/>
  <c r="B140" i="3"/>
  <c r="B1263" i="3" s="1"/>
  <c r="A140" i="3"/>
  <c r="A1263" i="3" s="1"/>
  <c r="O139" i="3"/>
  <c r="N139" i="3"/>
  <c r="M139" i="3"/>
  <c r="L139" i="3"/>
  <c r="K139" i="3"/>
  <c r="E139" i="3"/>
  <c r="E1262" i="3" s="1"/>
  <c r="D139" i="3"/>
  <c r="D1262" i="3" s="1"/>
  <c r="C139" i="3"/>
  <c r="C1262" i="3" s="1"/>
  <c r="B139" i="3"/>
  <c r="B1262" i="3" s="1"/>
  <c r="A139" i="3"/>
  <c r="A1262" i="3" s="1"/>
  <c r="O138" i="3"/>
  <c r="N138" i="3"/>
  <c r="M138" i="3"/>
  <c r="L138" i="3"/>
  <c r="K138" i="3"/>
  <c r="E138" i="3"/>
  <c r="E1261" i="3" s="1"/>
  <c r="D138" i="3"/>
  <c r="D1261" i="3" s="1"/>
  <c r="C138" i="3"/>
  <c r="C1261" i="3" s="1"/>
  <c r="B138" i="3"/>
  <c r="B1261" i="3" s="1"/>
  <c r="A138" i="3"/>
  <c r="A1261" i="3" s="1"/>
  <c r="O137" i="3"/>
  <c r="N137" i="3"/>
  <c r="M137" i="3"/>
  <c r="L137" i="3"/>
  <c r="K137" i="3"/>
  <c r="E137" i="3"/>
  <c r="E1260" i="3" s="1"/>
  <c r="D137" i="3"/>
  <c r="D1260" i="3" s="1"/>
  <c r="C137" i="3"/>
  <c r="C1260" i="3" s="1"/>
  <c r="B137" i="3"/>
  <c r="B1260" i="3" s="1"/>
  <c r="A137" i="3"/>
  <c r="A1260" i="3" s="1"/>
  <c r="O136" i="3"/>
  <c r="N136" i="3"/>
  <c r="M136" i="3"/>
  <c r="L136" i="3"/>
  <c r="K136" i="3"/>
  <c r="E136" i="3"/>
  <c r="E1259" i="3" s="1"/>
  <c r="D136" i="3"/>
  <c r="D1259" i="3" s="1"/>
  <c r="C136" i="3"/>
  <c r="C1259" i="3" s="1"/>
  <c r="B136" i="3"/>
  <c r="B1259" i="3" s="1"/>
  <c r="A136" i="3"/>
  <c r="A1259" i="3" s="1"/>
  <c r="O135" i="3"/>
  <c r="N135" i="3"/>
  <c r="M135" i="3"/>
  <c r="L135" i="3"/>
  <c r="K135" i="3"/>
  <c r="E135" i="3"/>
  <c r="E1258" i="3" s="1"/>
  <c r="D135" i="3"/>
  <c r="D1258" i="3" s="1"/>
  <c r="C135" i="3"/>
  <c r="C1258" i="3" s="1"/>
  <c r="B135" i="3"/>
  <c r="B1258" i="3" s="1"/>
  <c r="A135" i="3"/>
  <c r="A1258" i="3" s="1"/>
  <c r="O134" i="3"/>
  <c r="N134" i="3"/>
  <c r="M134" i="3"/>
  <c r="L134" i="3"/>
  <c r="K134" i="3"/>
  <c r="E134" i="3"/>
  <c r="E1257" i="3" s="1"/>
  <c r="D134" i="3"/>
  <c r="D1257" i="3" s="1"/>
  <c r="C134" i="3"/>
  <c r="C1257" i="3" s="1"/>
  <c r="B134" i="3"/>
  <c r="B1257" i="3" s="1"/>
  <c r="A134" i="3"/>
  <c r="A1257" i="3" s="1"/>
  <c r="O133" i="3"/>
  <c r="N133" i="3"/>
  <c r="M133" i="3"/>
  <c r="L133" i="3"/>
  <c r="K133" i="3"/>
  <c r="E133" i="3"/>
  <c r="E1256" i="3" s="1"/>
  <c r="D133" i="3"/>
  <c r="D1256" i="3" s="1"/>
  <c r="C133" i="3"/>
  <c r="C1256" i="3" s="1"/>
  <c r="B133" i="3"/>
  <c r="B1256" i="3" s="1"/>
  <c r="A133" i="3"/>
  <c r="A1256" i="3" s="1"/>
  <c r="O132" i="3"/>
  <c r="N132" i="3"/>
  <c r="M132" i="3"/>
  <c r="L132" i="3"/>
  <c r="K132" i="3"/>
  <c r="E132" i="3"/>
  <c r="E1255" i="3" s="1"/>
  <c r="D132" i="3"/>
  <c r="D1255" i="3" s="1"/>
  <c r="C132" i="3"/>
  <c r="C1255" i="3" s="1"/>
  <c r="B132" i="3"/>
  <c r="B1255" i="3" s="1"/>
  <c r="A132" i="3"/>
  <c r="A1255" i="3" s="1"/>
  <c r="O131" i="3"/>
  <c r="N131" i="3"/>
  <c r="M131" i="3"/>
  <c r="L131" i="3"/>
  <c r="K131" i="3"/>
  <c r="E131" i="3"/>
  <c r="E1254" i="3" s="1"/>
  <c r="D131" i="3"/>
  <c r="D1254" i="3" s="1"/>
  <c r="C131" i="3"/>
  <c r="C1254" i="3" s="1"/>
  <c r="B131" i="3"/>
  <c r="B1254" i="3" s="1"/>
  <c r="A131" i="3"/>
  <c r="A1254" i="3" s="1"/>
  <c r="O130" i="3"/>
  <c r="N130" i="3"/>
  <c r="M130" i="3"/>
  <c r="L130" i="3"/>
  <c r="K130" i="3"/>
  <c r="E130" i="3"/>
  <c r="E1253" i="3" s="1"/>
  <c r="D130" i="3"/>
  <c r="D1253" i="3" s="1"/>
  <c r="C130" i="3"/>
  <c r="C1253" i="3" s="1"/>
  <c r="B130" i="3"/>
  <c r="B1253" i="3" s="1"/>
  <c r="A130" i="3"/>
  <c r="A1253" i="3" s="1"/>
  <c r="O129" i="3"/>
  <c r="N129" i="3"/>
  <c r="M129" i="3"/>
  <c r="L129" i="3"/>
  <c r="K129" i="3"/>
  <c r="E129" i="3"/>
  <c r="E1252" i="3" s="1"/>
  <c r="D129" i="3"/>
  <c r="D1252" i="3" s="1"/>
  <c r="C129" i="3"/>
  <c r="C1252" i="3" s="1"/>
  <c r="B129" i="3"/>
  <c r="B1252" i="3" s="1"/>
  <c r="A129" i="3"/>
  <c r="A1252" i="3" s="1"/>
  <c r="O128" i="3"/>
  <c r="N128" i="3"/>
  <c r="M128" i="3"/>
  <c r="L128" i="3"/>
  <c r="K128" i="3"/>
  <c r="E128" i="3"/>
  <c r="E1251" i="3" s="1"/>
  <c r="D128" i="3"/>
  <c r="D1251" i="3" s="1"/>
  <c r="C128" i="3"/>
  <c r="C1251" i="3" s="1"/>
  <c r="B128" i="3"/>
  <c r="B1251" i="3" s="1"/>
  <c r="A128" i="3"/>
  <c r="A1251" i="3" s="1"/>
  <c r="O127" i="3"/>
  <c r="N127" i="3"/>
  <c r="M127" i="3"/>
  <c r="L127" i="3"/>
  <c r="K127" i="3"/>
  <c r="E127" i="3"/>
  <c r="E1250" i="3" s="1"/>
  <c r="D127" i="3"/>
  <c r="D1250" i="3" s="1"/>
  <c r="C127" i="3"/>
  <c r="C1250" i="3" s="1"/>
  <c r="B127" i="3"/>
  <c r="B1250" i="3" s="1"/>
  <c r="A127" i="3"/>
  <c r="A1250" i="3" s="1"/>
  <c r="O126" i="3"/>
  <c r="N126" i="3"/>
  <c r="M126" i="3"/>
  <c r="L126" i="3"/>
  <c r="K126" i="3"/>
  <c r="E126" i="3"/>
  <c r="E1249" i="3" s="1"/>
  <c r="D126" i="3"/>
  <c r="D1249" i="3" s="1"/>
  <c r="C126" i="3"/>
  <c r="C1249" i="3" s="1"/>
  <c r="B126" i="3"/>
  <c r="B1249" i="3" s="1"/>
  <c r="A126" i="3"/>
  <c r="A1249" i="3" s="1"/>
  <c r="O125" i="3"/>
  <c r="N125" i="3"/>
  <c r="M125" i="3"/>
  <c r="L125" i="3"/>
  <c r="K125" i="3"/>
  <c r="E125" i="3"/>
  <c r="E1248" i="3" s="1"/>
  <c r="D125" i="3"/>
  <c r="D1248" i="3" s="1"/>
  <c r="C125" i="3"/>
  <c r="C1248" i="3" s="1"/>
  <c r="B125" i="3"/>
  <c r="B1248" i="3" s="1"/>
  <c r="A125" i="3"/>
  <c r="A1248" i="3" s="1"/>
  <c r="O124" i="3"/>
  <c r="N124" i="3"/>
  <c r="M124" i="3"/>
  <c r="L124" i="3"/>
  <c r="K124" i="3"/>
  <c r="E124" i="3"/>
  <c r="E1247" i="3" s="1"/>
  <c r="D124" i="3"/>
  <c r="D1247" i="3" s="1"/>
  <c r="C124" i="3"/>
  <c r="C1247" i="3" s="1"/>
  <c r="B124" i="3"/>
  <c r="B1247" i="3" s="1"/>
  <c r="A124" i="3"/>
  <c r="A1247" i="3" s="1"/>
  <c r="O123" i="3"/>
  <c r="N123" i="3"/>
  <c r="M123" i="3"/>
  <c r="L123" i="3"/>
  <c r="K123" i="3"/>
  <c r="E123" i="3"/>
  <c r="E1246" i="3" s="1"/>
  <c r="D123" i="3"/>
  <c r="D1246" i="3" s="1"/>
  <c r="C123" i="3"/>
  <c r="C1246" i="3" s="1"/>
  <c r="B123" i="3"/>
  <c r="B1246" i="3" s="1"/>
  <c r="A123" i="3"/>
  <c r="A1246" i="3" s="1"/>
  <c r="O122" i="3"/>
  <c r="N122" i="3"/>
  <c r="M122" i="3"/>
  <c r="L122" i="3"/>
  <c r="K122" i="3"/>
  <c r="E122" i="3"/>
  <c r="E1245" i="3" s="1"/>
  <c r="D122" i="3"/>
  <c r="D1245" i="3" s="1"/>
  <c r="C122" i="3"/>
  <c r="C1245" i="3" s="1"/>
  <c r="B122" i="3"/>
  <c r="B1245" i="3" s="1"/>
  <c r="A122" i="3"/>
  <c r="A1245" i="3" s="1"/>
  <c r="O121" i="3"/>
  <c r="N121" i="3"/>
  <c r="M121" i="3"/>
  <c r="L121" i="3"/>
  <c r="K121" i="3"/>
  <c r="E121" i="3"/>
  <c r="E1244" i="3" s="1"/>
  <c r="D121" i="3"/>
  <c r="D1244" i="3" s="1"/>
  <c r="C121" i="3"/>
  <c r="C1244" i="3" s="1"/>
  <c r="B121" i="3"/>
  <c r="B1244" i="3" s="1"/>
  <c r="A121" i="3"/>
  <c r="A1244" i="3" s="1"/>
  <c r="O120" i="3"/>
  <c r="N120" i="3"/>
  <c r="M120" i="3"/>
  <c r="L120" i="3"/>
  <c r="K120" i="3"/>
  <c r="E120" i="3"/>
  <c r="E1243" i="3" s="1"/>
  <c r="D120" i="3"/>
  <c r="D1243" i="3" s="1"/>
  <c r="C120" i="3"/>
  <c r="C1243" i="3" s="1"/>
  <c r="B120" i="3"/>
  <c r="B1243" i="3" s="1"/>
  <c r="A120" i="3"/>
  <c r="A1243" i="3" s="1"/>
  <c r="O119" i="3"/>
  <c r="N119" i="3"/>
  <c r="M119" i="3"/>
  <c r="L119" i="3"/>
  <c r="K119" i="3"/>
  <c r="E119" i="3"/>
  <c r="E1242" i="3" s="1"/>
  <c r="D119" i="3"/>
  <c r="D1242" i="3" s="1"/>
  <c r="C119" i="3"/>
  <c r="C1242" i="3" s="1"/>
  <c r="B119" i="3"/>
  <c r="B1242" i="3" s="1"/>
  <c r="A119" i="3"/>
  <c r="A1242" i="3" s="1"/>
  <c r="O118" i="3"/>
  <c r="N118" i="3"/>
  <c r="M118" i="3"/>
  <c r="L118" i="3"/>
  <c r="K118" i="3"/>
  <c r="E118" i="3"/>
  <c r="E1241" i="3" s="1"/>
  <c r="D118" i="3"/>
  <c r="D1241" i="3" s="1"/>
  <c r="C118" i="3"/>
  <c r="C1241" i="3" s="1"/>
  <c r="B118" i="3"/>
  <c r="B1241" i="3" s="1"/>
  <c r="A118" i="3"/>
  <c r="A1241" i="3" s="1"/>
  <c r="O117" i="3"/>
  <c r="N117" i="3"/>
  <c r="M117" i="3"/>
  <c r="L117" i="3"/>
  <c r="K117" i="3"/>
  <c r="E117" i="3"/>
  <c r="E1240" i="3" s="1"/>
  <c r="D117" i="3"/>
  <c r="D1240" i="3" s="1"/>
  <c r="C117" i="3"/>
  <c r="C1240" i="3" s="1"/>
  <c r="B117" i="3"/>
  <c r="B1240" i="3" s="1"/>
  <c r="A117" i="3"/>
  <c r="A1240" i="3" s="1"/>
  <c r="O116" i="3"/>
  <c r="N116" i="3"/>
  <c r="M116" i="3"/>
  <c r="L116" i="3"/>
  <c r="K116" i="3"/>
  <c r="E116" i="3"/>
  <c r="E1239" i="3" s="1"/>
  <c r="D116" i="3"/>
  <c r="D1239" i="3" s="1"/>
  <c r="C116" i="3"/>
  <c r="C1239" i="3" s="1"/>
  <c r="B116" i="3"/>
  <c r="B1239" i="3" s="1"/>
  <c r="A116" i="3"/>
  <c r="A1239" i="3" s="1"/>
  <c r="O115" i="3"/>
  <c r="N115" i="3"/>
  <c r="M115" i="3"/>
  <c r="L115" i="3"/>
  <c r="K115" i="3"/>
  <c r="E115" i="3"/>
  <c r="E1238" i="3" s="1"/>
  <c r="D115" i="3"/>
  <c r="D1238" i="3" s="1"/>
  <c r="C115" i="3"/>
  <c r="C1238" i="3" s="1"/>
  <c r="B115" i="3"/>
  <c r="B1238" i="3" s="1"/>
  <c r="A115" i="3"/>
  <c r="A1238" i="3" s="1"/>
  <c r="O114" i="3"/>
  <c r="N114" i="3"/>
  <c r="M114" i="3"/>
  <c r="L114" i="3"/>
  <c r="K114" i="3"/>
  <c r="E114" i="3"/>
  <c r="E1237" i="3" s="1"/>
  <c r="D114" i="3"/>
  <c r="D1237" i="3" s="1"/>
  <c r="C114" i="3"/>
  <c r="C1237" i="3" s="1"/>
  <c r="B114" i="3"/>
  <c r="B1237" i="3" s="1"/>
  <c r="A114" i="3"/>
  <c r="A1237" i="3" s="1"/>
  <c r="O113" i="3"/>
  <c r="N113" i="3"/>
  <c r="M113" i="3"/>
  <c r="L113" i="3"/>
  <c r="K113" i="3"/>
  <c r="E113" i="3"/>
  <c r="E1236" i="3" s="1"/>
  <c r="D113" i="3"/>
  <c r="D1236" i="3" s="1"/>
  <c r="C113" i="3"/>
  <c r="C1236" i="3" s="1"/>
  <c r="B113" i="3"/>
  <c r="B1236" i="3" s="1"/>
  <c r="A113" i="3"/>
  <c r="A1236" i="3" s="1"/>
  <c r="O112" i="3"/>
  <c r="N112" i="3"/>
  <c r="M112" i="3"/>
  <c r="L112" i="3"/>
  <c r="K112" i="3"/>
  <c r="E112" i="3"/>
  <c r="E1235" i="3" s="1"/>
  <c r="D112" i="3"/>
  <c r="D1235" i="3" s="1"/>
  <c r="C112" i="3"/>
  <c r="C1235" i="3" s="1"/>
  <c r="B112" i="3"/>
  <c r="B1235" i="3" s="1"/>
  <c r="A112" i="3"/>
  <c r="A1235" i="3" s="1"/>
  <c r="O111" i="3"/>
  <c r="N111" i="3"/>
  <c r="M111" i="3"/>
  <c r="L111" i="3"/>
  <c r="K111" i="3"/>
  <c r="E111" i="3"/>
  <c r="E1234" i="3" s="1"/>
  <c r="D111" i="3"/>
  <c r="D1234" i="3" s="1"/>
  <c r="C111" i="3"/>
  <c r="C1234" i="3" s="1"/>
  <c r="B111" i="3"/>
  <c r="B1234" i="3" s="1"/>
  <c r="A111" i="3"/>
  <c r="A1234" i="3" s="1"/>
  <c r="O110" i="3"/>
  <c r="N110" i="3"/>
  <c r="M110" i="3"/>
  <c r="L110" i="3"/>
  <c r="K110" i="3"/>
  <c r="E110" i="3"/>
  <c r="E1233" i="3" s="1"/>
  <c r="D110" i="3"/>
  <c r="D1233" i="3" s="1"/>
  <c r="C110" i="3"/>
  <c r="C1233" i="3" s="1"/>
  <c r="B110" i="3"/>
  <c r="B1233" i="3" s="1"/>
  <c r="A110" i="3"/>
  <c r="A1233" i="3" s="1"/>
  <c r="O109" i="3"/>
  <c r="N109" i="3"/>
  <c r="M109" i="3"/>
  <c r="L109" i="3"/>
  <c r="K109" i="3"/>
  <c r="E109" i="3"/>
  <c r="E1232" i="3" s="1"/>
  <c r="D109" i="3"/>
  <c r="D1232" i="3" s="1"/>
  <c r="C109" i="3"/>
  <c r="C1232" i="3" s="1"/>
  <c r="B109" i="3"/>
  <c r="B1232" i="3" s="1"/>
  <c r="A109" i="3"/>
  <c r="A1232" i="3" s="1"/>
  <c r="O108" i="3"/>
  <c r="N108" i="3"/>
  <c r="M108" i="3"/>
  <c r="L108" i="3"/>
  <c r="K108" i="3"/>
  <c r="E108" i="3"/>
  <c r="E1231" i="3" s="1"/>
  <c r="D108" i="3"/>
  <c r="D1231" i="3" s="1"/>
  <c r="C108" i="3"/>
  <c r="C1231" i="3" s="1"/>
  <c r="B108" i="3"/>
  <c r="B1231" i="3" s="1"/>
  <c r="A108" i="3"/>
  <c r="A1231" i="3" s="1"/>
  <c r="O107" i="3"/>
  <c r="N107" i="3"/>
  <c r="M107" i="3"/>
  <c r="L107" i="3"/>
  <c r="K107" i="3"/>
  <c r="E107" i="3"/>
  <c r="E1230" i="3" s="1"/>
  <c r="D107" i="3"/>
  <c r="D1230" i="3" s="1"/>
  <c r="C107" i="3"/>
  <c r="C1230" i="3" s="1"/>
  <c r="B107" i="3"/>
  <c r="B1230" i="3" s="1"/>
  <c r="A107" i="3"/>
  <c r="A1230" i="3" s="1"/>
  <c r="O106" i="3"/>
  <c r="N106" i="3"/>
  <c r="M106" i="3"/>
  <c r="L106" i="3"/>
  <c r="K106" i="3"/>
  <c r="E106" i="3"/>
  <c r="E1229" i="3" s="1"/>
  <c r="D106" i="3"/>
  <c r="D1229" i="3" s="1"/>
  <c r="C106" i="3"/>
  <c r="C1229" i="3" s="1"/>
  <c r="B106" i="3"/>
  <c r="B1229" i="3" s="1"/>
  <c r="A106" i="3"/>
  <c r="A1229" i="3" s="1"/>
  <c r="O105" i="3"/>
  <c r="N105" i="3"/>
  <c r="M105" i="3"/>
  <c r="L105" i="3"/>
  <c r="K105" i="3"/>
  <c r="E105" i="3"/>
  <c r="E1228" i="3" s="1"/>
  <c r="D105" i="3"/>
  <c r="D1228" i="3" s="1"/>
  <c r="C105" i="3"/>
  <c r="C1228" i="3" s="1"/>
  <c r="B105" i="3"/>
  <c r="B1228" i="3" s="1"/>
  <c r="A105" i="3"/>
  <c r="A1228" i="3" s="1"/>
  <c r="O104" i="3"/>
  <c r="N104" i="3"/>
  <c r="M104" i="3"/>
  <c r="L104" i="3"/>
  <c r="K104" i="3"/>
  <c r="E104" i="3"/>
  <c r="E1227" i="3" s="1"/>
  <c r="D104" i="3"/>
  <c r="D1227" i="3" s="1"/>
  <c r="C104" i="3"/>
  <c r="C1227" i="3" s="1"/>
  <c r="B104" i="3"/>
  <c r="B1227" i="3" s="1"/>
  <c r="A104" i="3"/>
  <c r="A1227" i="3" s="1"/>
  <c r="O103" i="3"/>
  <c r="N103" i="3"/>
  <c r="M103" i="3"/>
  <c r="L103" i="3"/>
  <c r="K103" i="3"/>
  <c r="E103" i="3"/>
  <c r="E1226" i="3" s="1"/>
  <c r="D103" i="3"/>
  <c r="D1226" i="3" s="1"/>
  <c r="C103" i="3"/>
  <c r="C1226" i="3" s="1"/>
  <c r="B103" i="3"/>
  <c r="B1226" i="3" s="1"/>
  <c r="A103" i="3"/>
  <c r="A1226" i="3" s="1"/>
  <c r="O102" i="3"/>
  <c r="N102" i="3"/>
  <c r="M102" i="3"/>
  <c r="L102" i="3"/>
  <c r="K102" i="3"/>
  <c r="E102" i="3"/>
  <c r="E1225" i="3" s="1"/>
  <c r="D102" i="3"/>
  <c r="D1225" i="3" s="1"/>
  <c r="C102" i="3"/>
  <c r="C1225" i="3" s="1"/>
  <c r="B102" i="3"/>
  <c r="B1225" i="3" s="1"/>
  <c r="A102" i="3"/>
  <c r="A1225" i="3" s="1"/>
  <c r="O101" i="3"/>
  <c r="N101" i="3"/>
  <c r="M101" i="3"/>
  <c r="L101" i="3"/>
  <c r="K101" i="3"/>
  <c r="E101" i="3"/>
  <c r="E1224" i="3" s="1"/>
  <c r="D101" i="3"/>
  <c r="D1224" i="3" s="1"/>
  <c r="C101" i="3"/>
  <c r="C1224" i="3" s="1"/>
  <c r="B101" i="3"/>
  <c r="B1224" i="3" s="1"/>
  <c r="A101" i="3"/>
  <c r="A1224" i="3" s="1"/>
  <c r="O100" i="3"/>
  <c r="N100" i="3"/>
  <c r="M100" i="3"/>
  <c r="L100" i="3"/>
  <c r="K100" i="3"/>
  <c r="E100" i="3"/>
  <c r="E1223" i="3" s="1"/>
  <c r="D100" i="3"/>
  <c r="D1223" i="3" s="1"/>
  <c r="C100" i="3"/>
  <c r="C1223" i="3" s="1"/>
  <c r="B100" i="3"/>
  <c r="B1223" i="3" s="1"/>
  <c r="A100" i="3"/>
  <c r="A1223" i="3" s="1"/>
  <c r="O99" i="3"/>
  <c r="N99" i="3"/>
  <c r="M99" i="3"/>
  <c r="L99" i="3"/>
  <c r="K99" i="3"/>
  <c r="E99" i="3"/>
  <c r="E1222" i="3" s="1"/>
  <c r="D99" i="3"/>
  <c r="D1222" i="3" s="1"/>
  <c r="C99" i="3"/>
  <c r="C1222" i="3" s="1"/>
  <c r="B99" i="3"/>
  <c r="B1222" i="3" s="1"/>
  <c r="A99" i="3"/>
  <c r="A1222" i="3" s="1"/>
  <c r="O98" i="3"/>
  <c r="N98" i="3"/>
  <c r="M98" i="3"/>
  <c r="L98" i="3"/>
  <c r="K98" i="3"/>
  <c r="E98" i="3"/>
  <c r="E1221" i="3" s="1"/>
  <c r="D98" i="3"/>
  <c r="D1221" i="3" s="1"/>
  <c r="C98" i="3"/>
  <c r="C1221" i="3" s="1"/>
  <c r="B98" i="3"/>
  <c r="B1221" i="3" s="1"/>
  <c r="A98" i="3"/>
  <c r="A1221" i="3" s="1"/>
  <c r="O97" i="3"/>
  <c r="N97" i="3"/>
  <c r="M97" i="3"/>
  <c r="L97" i="3"/>
  <c r="K97" i="3"/>
  <c r="E97" i="3"/>
  <c r="E1220" i="3" s="1"/>
  <c r="D97" i="3"/>
  <c r="D1220" i="3" s="1"/>
  <c r="C97" i="3"/>
  <c r="C1220" i="3" s="1"/>
  <c r="B97" i="3"/>
  <c r="B1220" i="3" s="1"/>
  <c r="A97" i="3"/>
  <c r="A1220" i="3" s="1"/>
  <c r="O96" i="3"/>
  <c r="N96" i="3"/>
  <c r="M96" i="3"/>
  <c r="L96" i="3"/>
  <c r="K96" i="3"/>
  <c r="E96" i="3"/>
  <c r="E1219" i="3" s="1"/>
  <c r="D96" i="3"/>
  <c r="D1219" i="3" s="1"/>
  <c r="C96" i="3"/>
  <c r="C1219" i="3" s="1"/>
  <c r="B96" i="3"/>
  <c r="B1219" i="3" s="1"/>
  <c r="A96" i="3"/>
  <c r="A1219" i="3" s="1"/>
  <c r="O95" i="3"/>
  <c r="N95" i="3"/>
  <c r="M95" i="3"/>
  <c r="L95" i="3"/>
  <c r="K95" i="3"/>
  <c r="E95" i="3"/>
  <c r="E1218" i="3" s="1"/>
  <c r="D95" i="3"/>
  <c r="D1218" i="3" s="1"/>
  <c r="C95" i="3"/>
  <c r="C1218" i="3" s="1"/>
  <c r="B95" i="3"/>
  <c r="B1218" i="3" s="1"/>
  <c r="A95" i="3"/>
  <c r="A1218" i="3" s="1"/>
  <c r="O94" i="3"/>
  <c r="N94" i="3"/>
  <c r="M94" i="3"/>
  <c r="L94" i="3"/>
  <c r="K94" i="3"/>
  <c r="E94" i="3"/>
  <c r="E1217" i="3" s="1"/>
  <c r="D94" i="3"/>
  <c r="D1217" i="3" s="1"/>
  <c r="C94" i="3"/>
  <c r="C1217" i="3" s="1"/>
  <c r="B94" i="3"/>
  <c r="B1217" i="3" s="1"/>
  <c r="A94" i="3"/>
  <c r="A1217" i="3" s="1"/>
  <c r="O93" i="3"/>
  <c r="N93" i="3"/>
  <c r="M93" i="3"/>
  <c r="L93" i="3"/>
  <c r="K93" i="3"/>
  <c r="E93" i="3"/>
  <c r="E1216" i="3" s="1"/>
  <c r="D93" i="3"/>
  <c r="D1216" i="3" s="1"/>
  <c r="C93" i="3"/>
  <c r="C1216" i="3" s="1"/>
  <c r="B93" i="3"/>
  <c r="B1216" i="3" s="1"/>
  <c r="A93" i="3"/>
  <c r="A1216" i="3" s="1"/>
  <c r="O92" i="3"/>
  <c r="N92" i="3"/>
  <c r="M92" i="3"/>
  <c r="L92" i="3"/>
  <c r="K92" i="3"/>
  <c r="E92" i="3"/>
  <c r="E1215" i="3" s="1"/>
  <c r="D92" i="3"/>
  <c r="D1215" i="3" s="1"/>
  <c r="C92" i="3"/>
  <c r="C1215" i="3" s="1"/>
  <c r="B92" i="3"/>
  <c r="B1215" i="3" s="1"/>
  <c r="A92" i="3"/>
  <c r="A1215" i="3" s="1"/>
  <c r="O91" i="3"/>
  <c r="N91" i="3"/>
  <c r="M91" i="3"/>
  <c r="L91" i="3"/>
  <c r="K91" i="3"/>
  <c r="E91" i="3"/>
  <c r="E1214" i="3" s="1"/>
  <c r="D91" i="3"/>
  <c r="D1214" i="3" s="1"/>
  <c r="C91" i="3"/>
  <c r="C1214" i="3" s="1"/>
  <c r="B91" i="3"/>
  <c r="B1214" i="3" s="1"/>
  <c r="A91" i="3"/>
  <c r="A1214" i="3" s="1"/>
  <c r="O90" i="3"/>
  <c r="N90" i="3"/>
  <c r="M90" i="3"/>
  <c r="L90" i="3"/>
  <c r="K90" i="3"/>
  <c r="E90" i="3"/>
  <c r="E1213" i="3" s="1"/>
  <c r="D90" i="3"/>
  <c r="D1213" i="3" s="1"/>
  <c r="C90" i="3"/>
  <c r="C1213" i="3" s="1"/>
  <c r="B90" i="3"/>
  <c r="B1213" i="3" s="1"/>
  <c r="A90" i="3"/>
  <c r="A1213" i="3" s="1"/>
  <c r="O89" i="3"/>
  <c r="N89" i="3"/>
  <c r="M89" i="3"/>
  <c r="L89" i="3"/>
  <c r="K89" i="3"/>
  <c r="E89" i="3"/>
  <c r="E1212" i="3" s="1"/>
  <c r="D89" i="3"/>
  <c r="D1212" i="3" s="1"/>
  <c r="C89" i="3"/>
  <c r="C1212" i="3" s="1"/>
  <c r="B89" i="3"/>
  <c r="B1212" i="3" s="1"/>
  <c r="A89" i="3"/>
  <c r="A1212" i="3" s="1"/>
  <c r="O88" i="3"/>
  <c r="N88" i="3"/>
  <c r="M88" i="3"/>
  <c r="L88" i="3"/>
  <c r="K88" i="3"/>
  <c r="E88" i="3"/>
  <c r="E1211" i="3" s="1"/>
  <c r="D88" i="3"/>
  <c r="D1211" i="3" s="1"/>
  <c r="C88" i="3"/>
  <c r="C1211" i="3" s="1"/>
  <c r="B88" i="3"/>
  <c r="B1211" i="3" s="1"/>
  <c r="A88" i="3"/>
  <c r="A1211" i="3" s="1"/>
  <c r="O87" i="3"/>
  <c r="N87" i="3"/>
  <c r="M87" i="3"/>
  <c r="L87" i="3"/>
  <c r="K87" i="3"/>
  <c r="E87" i="3"/>
  <c r="E1210" i="3" s="1"/>
  <c r="D87" i="3"/>
  <c r="D1210" i="3" s="1"/>
  <c r="C87" i="3"/>
  <c r="C1210" i="3" s="1"/>
  <c r="B87" i="3"/>
  <c r="B1210" i="3" s="1"/>
  <c r="A87" i="3"/>
  <c r="A1210" i="3" s="1"/>
  <c r="O86" i="3"/>
  <c r="N86" i="3"/>
  <c r="M86" i="3"/>
  <c r="L86" i="3"/>
  <c r="K86" i="3"/>
  <c r="E86" i="3"/>
  <c r="E1209" i="3" s="1"/>
  <c r="D86" i="3"/>
  <c r="D1209" i="3" s="1"/>
  <c r="C86" i="3"/>
  <c r="C1209" i="3" s="1"/>
  <c r="B86" i="3"/>
  <c r="B1209" i="3" s="1"/>
  <c r="A86" i="3"/>
  <c r="A1209" i="3" s="1"/>
  <c r="O85" i="3"/>
  <c r="N85" i="3"/>
  <c r="M85" i="3"/>
  <c r="L85" i="3"/>
  <c r="K85" i="3"/>
  <c r="E85" i="3"/>
  <c r="E1208" i="3" s="1"/>
  <c r="D85" i="3"/>
  <c r="D1208" i="3" s="1"/>
  <c r="C85" i="3"/>
  <c r="C1208" i="3" s="1"/>
  <c r="B85" i="3"/>
  <c r="B1208" i="3" s="1"/>
  <c r="A85" i="3"/>
  <c r="A1208" i="3" s="1"/>
  <c r="O84" i="3"/>
  <c r="N84" i="3"/>
  <c r="M84" i="3"/>
  <c r="L84" i="3"/>
  <c r="K84" i="3"/>
  <c r="E84" i="3"/>
  <c r="E1207" i="3" s="1"/>
  <c r="D84" i="3"/>
  <c r="D1207" i="3" s="1"/>
  <c r="C84" i="3"/>
  <c r="C1207" i="3" s="1"/>
  <c r="B84" i="3"/>
  <c r="B1207" i="3" s="1"/>
  <c r="A84" i="3"/>
  <c r="A1207" i="3" s="1"/>
  <c r="O83" i="3"/>
  <c r="N83" i="3"/>
  <c r="M83" i="3"/>
  <c r="L83" i="3"/>
  <c r="K83" i="3"/>
  <c r="E83" i="3"/>
  <c r="E1206" i="3" s="1"/>
  <c r="D83" i="3"/>
  <c r="D1206" i="3" s="1"/>
  <c r="C83" i="3"/>
  <c r="C1206" i="3" s="1"/>
  <c r="B83" i="3"/>
  <c r="B1206" i="3" s="1"/>
  <c r="A83" i="3"/>
  <c r="A1206" i="3" s="1"/>
  <c r="O82" i="3"/>
  <c r="N82" i="3"/>
  <c r="M82" i="3"/>
  <c r="L82" i="3"/>
  <c r="K82" i="3"/>
  <c r="E82" i="3"/>
  <c r="E1205" i="3" s="1"/>
  <c r="D82" i="3"/>
  <c r="D1205" i="3" s="1"/>
  <c r="C82" i="3"/>
  <c r="C1205" i="3" s="1"/>
  <c r="B82" i="3"/>
  <c r="B1205" i="3" s="1"/>
  <c r="A82" i="3"/>
  <c r="A1205" i="3" s="1"/>
  <c r="O81" i="3"/>
  <c r="N81" i="3"/>
  <c r="M81" i="3"/>
  <c r="L81" i="3"/>
  <c r="K81" i="3"/>
  <c r="E81" i="3"/>
  <c r="E1204" i="3" s="1"/>
  <c r="D81" i="3"/>
  <c r="D1204" i="3" s="1"/>
  <c r="C81" i="3"/>
  <c r="C1204" i="3" s="1"/>
  <c r="B81" i="3"/>
  <c r="B1204" i="3" s="1"/>
  <c r="A81" i="3"/>
  <c r="A1204" i="3" s="1"/>
  <c r="O80" i="3"/>
  <c r="N80" i="3"/>
  <c r="M80" i="3"/>
  <c r="L80" i="3"/>
  <c r="K80" i="3"/>
  <c r="E80" i="3"/>
  <c r="E1203" i="3" s="1"/>
  <c r="D80" i="3"/>
  <c r="D1203" i="3" s="1"/>
  <c r="C80" i="3"/>
  <c r="C1203" i="3" s="1"/>
  <c r="B80" i="3"/>
  <c r="B1203" i="3" s="1"/>
  <c r="A80" i="3"/>
  <c r="A1203" i="3" s="1"/>
  <c r="O79" i="3"/>
  <c r="N79" i="3"/>
  <c r="M79" i="3"/>
  <c r="L79" i="3"/>
  <c r="K79" i="3"/>
  <c r="E79" i="3"/>
  <c r="E1202" i="3" s="1"/>
  <c r="D79" i="3"/>
  <c r="D1202" i="3" s="1"/>
  <c r="C79" i="3"/>
  <c r="C1202" i="3" s="1"/>
  <c r="B79" i="3"/>
  <c r="B1202" i="3" s="1"/>
  <c r="A79" i="3"/>
  <c r="A1202" i="3" s="1"/>
  <c r="O78" i="3"/>
  <c r="N78" i="3"/>
  <c r="M78" i="3"/>
  <c r="L78" i="3"/>
  <c r="K78" i="3"/>
  <c r="E78" i="3"/>
  <c r="E1201" i="3" s="1"/>
  <c r="D78" i="3"/>
  <c r="D1201" i="3" s="1"/>
  <c r="C78" i="3"/>
  <c r="C1201" i="3" s="1"/>
  <c r="B78" i="3"/>
  <c r="B1201" i="3" s="1"/>
  <c r="A78" i="3"/>
  <c r="A1201" i="3" s="1"/>
  <c r="O77" i="3"/>
  <c r="N77" i="3"/>
  <c r="M77" i="3"/>
  <c r="L77" i="3"/>
  <c r="K77" i="3"/>
  <c r="E77" i="3"/>
  <c r="E1200" i="3" s="1"/>
  <c r="D77" i="3"/>
  <c r="D1200" i="3" s="1"/>
  <c r="C77" i="3"/>
  <c r="C1200" i="3" s="1"/>
  <c r="B77" i="3"/>
  <c r="B1200" i="3" s="1"/>
  <c r="A77" i="3"/>
  <c r="A1200" i="3" s="1"/>
  <c r="O76" i="3"/>
  <c r="N76" i="3"/>
  <c r="M76" i="3"/>
  <c r="L76" i="3"/>
  <c r="K76" i="3"/>
  <c r="E76" i="3"/>
  <c r="E1199" i="3" s="1"/>
  <c r="D76" i="3"/>
  <c r="D1199" i="3" s="1"/>
  <c r="C76" i="3"/>
  <c r="C1199" i="3" s="1"/>
  <c r="B76" i="3"/>
  <c r="B1199" i="3" s="1"/>
  <c r="A76" i="3"/>
  <c r="A1199" i="3" s="1"/>
  <c r="O75" i="3"/>
  <c r="N75" i="3"/>
  <c r="M75" i="3"/>
  <c r="L75" i="3"/>
  <c r="K75" i="3"/>
  <c r="E75" i="3"/>
  <c r="E1198" i="3" s="1"/>
  <c r="D75" i="3"/>
  <c r="D1198" i="3" s="1"/>
  <c r="C75" i="3"/>
  <c r="C1198" i="3" s="1"/>
  <c r="B75" i="3"/>
  <c r="B1198" i="3" s="1"/>
  <c r="A75" i="3"/>
  <c r="A1198" i="3" s="1"/>
  <c r="O74" i="3"/>
  <c r="N74" i="3"/>
  <c r="M74" i="3"/>
  <c r="L74" i="3"/>
  <c r="K74" i="3"/>
  <c r="E74" i="3"/>
  <c r="E1197" i="3" s="1"/>
  <c r="D74" i="3"/>
  <c r="D1197" i="3" s="1"/>
  <c r="C74" i="3"/>
  <c r="C1197" i="3" s="1"/>
  <c r="B74" i="3"/>
  <c r="B1197" i="3" s="1"/>
  <c r="A74" i="3"/>
  <c r="A1197" i="3" s="1"/>
  <c r="O73" i="3"/>
  <c r="N73" i="3"/>
  <c r="M73" i="3"/>
  <c r="L73" i="3"/>
  <c r="K73" i="3"/>
  <c r="E73" i="3"/>
  <c r="E1196" i="3" s="1"/>
  <c r="D73" i="3"/>
  <c r="D1196" i="3" s="1"/>
  <c r="C73" i="3"/>
  <c r="C1196" i="3" s="1"/>
  <c r="B73" i="3"/>
  <c r="B1196" i="3" s="1"/>
  <c r="A73" i="3"/>
  <c r="A1196" i="3" s="1"/>
  <c r="O72" i="3"/>
  <c r="N72" i="3"/>
  <c r="M72" i="3"/>
  <c r="L72" i="3"/>
  <c r="K72" i="3"/>
  <c r="E72" i="3"/>
  <c r="E1195" i="3" s="1"/>
  <c r="D72" i="3"/>
  <c r="D1195" i="3" s="1"/>
  <c r="C72" i="3"/>
  <c r="C1195" i="3" s="1"/>
  <c r="B72" i="3"/>
  <c r="B1195" i="3" s="1"/>
  <c r="A72" i="3"/>
  <c r="A1195" i="3" s="1"/>
  <c r="O71" i="3"/>
  <c r="N71" i="3"/>
  <c r="M71" i="3"/>
  <c r="L71" i="3"/>
  <c r="K71" i="3"/>
  <c r="E71" i="3"/>
  <c r="E1194" i="3" s="1"/>
  <c r="D71" i="3"/>
  <c r="D1194" i="3" s="1"/>
  <c r="C71" i="3"/>
  <c r="C1194" i="3" s="1"/>
  <c r="B71" i="3"/>
  <c r="B1194" i="3" s="1"/>
  <c r="A71" i="3"/>
  <c r="A1194" i="3" s="1"/>
  <c r="O70" i="3"/>
  <c r="N70" i="3"/>
  <c r="M70" i="3"/>
  <c r="L70" i="3"/>
  <c r="K70" i="3"/>
  <c r="E70" i="3"/>
  <c r="E1193" i="3" s="1"/>
  <c r="D70" i="3"/>
  <c r="D1193" i="3" s="1"/>
  <c r="C70" i="3"/>
  <c r="C1193" i="3" s="1"/>
  <c r="B70" i="3"/>
  <c r="B1193" i="3" s="1"/>
  <c r="A70" i="3"/>
  <c r="A1193" i="3" s="1"/>
  <c r="O69" i="3"/>
  <c r="N69" i="3"/>
  <c r="M69" i="3"/>
  <c r="L69" i="3"/>
  <c r="K69" i="3"/>
  <c r="E69" i="3"/>
  <c r="E1192" i="3" s="1"/>
  <c r="D69" i="3"/>
  <c r="D1192" i="3" s="1"/>
  <c r="C69" i="3"/>
  <c r="C1192" i="3" s="1"/>
  <c r="B69" i="3"/>
  <c r="B1192" i="3" s="1"/>
  <c r="A69" i="3"/>
  <c r="A1192" i="3" s="1"/>
  <c r="O68" i="3"/>
  <c r="N68" i="3"/>
  <c r="M68" i="3"/>
  <c r="L68" i="3"/>
  <c r="K68" i="3"/>
  <c r="E68" i="3"/>
  <c r="E1191" i="3" s="1"/>
  <c r="D68" i="3"/>
  <c r="D1191" i="3" s="1"/>
  <c r="C68" i="3"/>
  <c r="C1191" i="3" s="1"/>
  <c r="B68" i="3"/>
  <c r="B1191" i="3" s="1"/>
  <c r="A68" i="3"/>
  <c r="A1191" i="3" s="1"/>
  <c r="O67" i="3"/>
  <c r="N67" i="3"/>
  <c r="M67" i="3"/>
  <c r="L67" i="3"/>
  <c r="K67" i="3"/>
  <c r="E67" i="3"/>
  <c r="E1190" i="3" s="1"/>
  <c r="D67" i="3"/>
  <c r="D1190" i="3" s="1"/>
  <c r="C67" i="3"/>
  <c r="C1190" i="3" s="1"/>
  <c r="B67" i="3"/>
  <c r="B1190" i="3" s="1"/>
  <c r="A67" i="3"/>
  <c r="A1190" i="3" s="1"/>
  <c r="O66" i="3"/>
  <c r="N66" i="3"/>
  <c r="M66" i="3"/>
  <c r="L66" i="3"/>
  <c r="K66" i="3"/>
  <c r="E66" i="3"/>
  <c r="B66" i="3"/>
  <c r="A66" i="3"/>
  <c r="O65" i="3"/>
  <c r="N65" i="3"/>
  <c r="M65" i="3"/>
  <c r="L65" i="3"/>
  <c r="K65" i="3"/>
  <c r="E65" i="3"/>
  <c r="E1189" i="3" s="1"/>
  <c r="D65" i="3"/>
  <c r="D1189" i="3" s="1"/>
  <c r="C65" i="3"/>
  <c r="C1189" i="3" s="1"/>
  <c r="B65" i="3"/>
  <c r="B1189" i="3" s="1"/>
  <c r="A65" i="3"/>
  <c r="A1189" i="3" s="1"/>
  <c r="O64" i="3"/>
  <c r="N64" i="3"/>
  <c r="M64" i="3"/>
  <c r="L64" i="3"/>
  <c r="K64" i="3"/>
  <c r="E64" i="3"/>
  <c r="E1188" i="3" s="1"/>
  <c r="D64" i="3"/>
  <c r="D1188" i="3" s="1"/>
  <c r="C64" i="3"/>
  <c r="C1188" i="3" s="1"/>
  <c r="B64" i="3"/>
  <c r="B1188" i="3" s="1"/>
  <c r="A64" i="3"/>
  <c r="A1188" i="3" s="1"/>
  <c r="O63" i="3"/>
  <c r="N63" i="3"/>
  <c r="M63" i="3"/>
  <c r="L63" i="3"/>
  <c r="K63" i="3"/>
  <c r="E63" i="3"/>
  <c r="E1187" i="3" s="1"/>
  <c r="D63" i="3"/>
  <c r="D1187" i="3" s="1"/>
  <c r="C63" i="3"/>
  <c r="C1187" i="3" s="1"/>
  <c r="B63" i="3"/>
  <c r="B1187" i="3" s="1"/>
  <c r="A63" i="3"/>
  <c r="A1187" i="3" s="1"/>
  <c r="O62" i="3"/>
  <c r="N62" i="3"/>
  <c r="M62" i="3"/>
  <c r="L62" i="3"/>
  <c r="K62" i="3"/>
  <c r="E62" i="3"/>
  <c r="E1186" i="3" s="1"/>
  <c r="D62" i="3"/>
  <c r="D1186" i="3" s="1"/>
  <c r="C62" i="3"/>
  <c r="C1186" i="3" s="1"/>
  <c r="B62" i="3"/>
  <c r="B1186" i="3" s="1"/>
  <c r="A62" i="3"/>
  <c r="A1186" i="3" s="1"/>
  <c r="O61" i="3"/>
  <c r="N61" i="3"/>
  <c r="M61" i="3"/>
  <c r="L61" i="3"/>
  <c r="K61" i="3"/>
  <c r="E61" i="3"/>
  <c r="E1185" i="3" s="1"/>
  <c r="D61" i="3"/>
  <c r="D1185" i="3" s="1"/>
  <c r="C61" i="3"/>
  <c r="C1185" i="3" s="1"/>
  <c r="B61" i="3"/>
  <c r="B1185" i="3" s="1"/>
  <c r="A61" i="3"/>
  <c r="A1185" i="3" s="1"/>
  <c r="O60" i="3"/>
  <c r="N60" i="3"/>
  <c r="M60" i="3"/>
  <c r="L60" i="3"/>
  <c r="K60" i="3"/>
  <c r="E60" i="3"/>
  <c r="E1184" i="3" s="1"/>
  <c r="D60" i="3"/>
  <c r="D1184" i="3" s="1"/>
  <c r="C60" i="3"/>
  <c r="C1184" i="3" s="1"/>
  <c r="B60" i="3"/>
  <c r="B1184" i="3" s="1"/>
  <c r="A60" i="3"/>
  <c r="A1184" i="3" s="1"/>
  <c r="O59" i="3"/>
  <c r="N59" i="3"/>
  <c r="M59" i="3"/>
  <c r="L59" i="3"/>
  <c r="K59" i="3"/>
  <c r="E59" i="3"/>
  <c r="E1183" i="3" s="1"/>
  <c r="D59" i="3"/>
  <c r="D1183" i="3" s="1"/>
  <c r="C59" i="3"/>
  <c r="C1183" i="3" s="1"/>
  <c r="B59" i="3"/>
  <c r="B1183" i="3" s="1"/>
  <c r="A59" i="3"/>
  <c r="A1183" i="3" s="1"/>
  <c r="O58" i="3"/>
  <c r="N58" i="3"/>
  <c r="M58" i="3"/>
  <c r="L58" i="3"/>
  <c r="K58" i="3"/>
  <c r="E58" i="3"/>
  <c r="E1182" i="3" s="1"/>
  <c r="D58" i="3"/>
  <c r="D1182" i="3" s="1"/>
  <c r="C58" i="3"/>
  <c r="C1182" i="3" s="1"/>
  <c r="B58" i="3"/>
  <c r="B1182" i="3" s="1"/>
  <c r="A58" i="3"/>
  <c r="A1182" i="3" s="1"/>
  <c r="O57" i="3"/>
  <c r="N57" i="3"/>
  <c r="M57" i="3"/>
  <c r="L57" i="3"/>
  <c r="K57" i="3"/>
  <c r="E57" i="3"/>
  <c r="E1181" i="3" s="1"/>
  <c r="D57" i="3"/>
  <c r="D1181" i="3" s="1"/>
  <c r="C57" i="3"/>
  <c r="C1181" i="3" s="1"/>
  <c r="B57" i="3"/>
  <c r="B1181" i="3" s="1"/>
  <c r="A57" i="3"/>
  <c r="A1181" i="3" s="1"/>
  <c r="O56" i="3"/>
  <c r="N56" i="3"/>
  <c r="M56" i="3"/>
  <c r="L56" i="3"/>
  <c r="K56" i="3"/>
  <c r="E56" i="3"/>
  <c r="E1180" i="3" s="1"/>
  <c r="D56" i="3"/>
  <c r="D1180" i="3" s="1"/>
  <c r="C56" i="3"/>
  <c r="C1180" i="3" s="1"/>
  <c r="B56" i="3"/>
  <c r="B1180" i="3" s="1"/>
  <c r="A56" i="3"/>
  <c r="A1180" i="3" s="1"/>
  <c r="O55" i="3"/>
  <c r="N55" i="3"/>
  <c r="M55" i="3"/>
  <c r="L55" i="3"/>
  <c r="K55" i="3"/>
  <c r="E55" i="3"/>
  <c r="E1179" i="3" s="1"/>
  <c r="D55" i="3"/>
  <c r="D1179" i="3" s="1"/>
  <c r="C55" i="3"/>
  <c r="C1179" i="3" s="1"/>
  <c r="B55" i="3"/>
  <c r="B1179" i="3" s="1"/>
  <c r="A55" i="3"/>
  <c r="A1179" i="3" s="1"/>
  <c r="O54" i="3"/>
  <c r="N54" i="3"/>
  <c r="M54" i="3"/>
  <c r="L54" i="3"/>
  <c r="K54" i="3"/>
  <c r="E54" i="3"/>
  <c r="E1178" i="3" s="1"/>
  <c r="D54" i="3"/>
  <c r="D1178" i="3" s="1"/>
  <c r="C54" i="3"/>
  <c r="C1178" i="3" s="1"/>
  <c r="B54" i="3"/>
  <c r="B1178" i="3" s="1"/>
  <c r="A54" i="3"/>
  <c r="A1178" i="3" s="1"/>
  <c r="O53" i="3"/>
  <c r="N53" i="3"/>
  <c r="M53" i="3"/>
  <c r="L53" i="3"/>
  <c r="K53" i="3"/>
  <c r="E53" i="3"/>
  <c r="E1177" i="3" s="1"/>
  <c r="D53" i="3"/>
  <c r="D1177" i="3" s="1"/>
  <c r="C53" i="3"/>
  <c r="C1177" i="3" s="1"/>
  <c r="B53" i="3"/>
  <c r="B1177" i="3" s="1"/>
  <c r="A53" i="3"/>
  <c r="A1177" i="3" s="1"/>
  <c r="O52" i="3"/>
  <c r="N52" i="3"/>
  <c r="M52" i="3"/>
  <c r="L52" i="3"/>
  <c r="K52" i="3"/>
  <c r="E52" i="3"/>
  <c r="E1176" i="3" s="1"/>
  <c r="D52" i="3"/>
  <c r="D1176" i="3" s="1"/>
  <c r="C52" i="3"/>
  <c r="C1176" i="3" s="1"/>
  <c r="B52" i="3"/>
  <c r="B1176" i="3" s="1"/>
  <c r="A52" i="3"/>
  <c r="A1176" i="3" s="1"/>
  <c r="O51" i="3"/>
  <c r="N51" i="3"/>
  <c r="M51" i="3"/>
  <c r="L51" i="3"/>
  <c r="K51" i="3"/>
  <c r="E51" i="3"/>
  <c r="E1175" i="3" s="1"/>
  <c r="D51" i="3"/>
  <c r="D1175" i="3" s="1"/>
  <c r="C51" i="3"/>
  <c r="C1175" i="3" s="1"/>
  <c r="B51" i="3"/>
  <c r="B1175" i="3" s="1"/>
  <c r="A51" i="3"/>
  <c r="A1175" i="3" s="1"/>
  <c r="O50" i="3"/>
  <c r="N50" i="3"/>
  <c r="M50" i="3"/>
  <c r="L50" i="3"/>
  <c r="K50" i="3"/>
  <c r="E50" i="3"/>
  <c r="E1174" i="3" s="1"/>
  <c r="D50" i="3"/>
  <c r="D1174" i="3" s="1"/>
  <c r="C50" i="3"/>
  <c r="C1174" i="3" s="1"/>
  <c r="B50" i="3"/>
  <c r="B1174" i="3" s="1"/>
  <c r="A50" i="3"/>
  <c r="A1174" i="3" s="1"/>
  <c r="O49" i="3"/>
  <c r="N49" i="3"/>
  <c r="M49" i="3"/>
  <c r="L49" i="3"/>
  <c r="K49" i="3"/>
  <c r="E49" i="3"/>
  <c r="E1173" i="3" s="1"/>
  <c r="D49" i="3"/>
  <c r="D1173" i="3" s="1"/>
  <c r="C49" i="3"/>
  <c r="C1173" i="3" s="1"/>
  <c r="B49" i="3"/>
  <c r="B1173" i="3" s="1"/>
  <c r="A49" i="3"/>
  <c r="A1173" i="3" s="1"/>
  <c r="O48" i="3"/>
  <c r="N48" i="3"/>
  <c r="M48" i="3"/>
  <c r="L48" i="3"/>
  <c r="K48" i="3"/>
  <c r="E48" i="3"/>
  <c r="E1172" i="3" s="1"/>
  <c r="D48" i="3"/>
  <c r="D1172" i="3" s="1"/>
  <c r="C48" i="3"/>
  <c r="C1172" i="3" s="1"/>
  <c r="B48" i="3"/>
  <c r="B1172" i="3" s="1"/>
  <c r="A48" i="3"/>
  <c r="A1172" i="3" s="1"/>
  <c r="O47" i="3"/>
  <c r="N47" i="3"/>
  <c r="M47" i="3"/>
  <c r="L47" i="3"/>
  <c r="K47" i="3"/>
  <c r="E47" i="3"/>
  <c r="E1171" i="3" s="1"/>
  <c r="D47" i="3"/>
  <c r="D1171" i="3" s="1"/>
  <c r="C47" i="3"/>
  <c r="C1171" i="3" s="1"/>
  <c r="B47" i="3"/>
  <c r="B1171" i="3" s="1"/>
  <c r="A47" i="3"/>
  <c r="A1171" i="3" s="1"/>
  <c r="O46" i="3"/>
  <c r="N46" i="3"/>
  <c r="M46" i="3"/>
  <c r="L46" i="3"/>
  <c r="K46" i="3"/>
  <c r="E46" i="3"/>
  <c r="E1170" i="3" s="1"/>
  <c r="D46" i="3"/>
  <c r="D1170" i="3" s="1"/>
  <c r="C46" i="3"/>
  <c r="C1170" i="3" s="1"/>
  <c r="B46" i="3"/>
  <c r="B1170" i="3" s="1"/>
  <c r="A46" i="3"/>
  <c r="A1170" i="3" s="1"/>
  <c r="O45" i="3"/>
  <c r="N45" i="3"/>
  <c r="M45" i="3"/>
  <c r="L45" i="3"/>
  <c r="K45" i="3"/>
  <c r="E45" i="3"/>
  <c r="E1169" i="3" s="1"/>
  <c r="D45" i="3"/>
  <c r="D1169" i="3" s="1"/>
  <c r="C45" i="3"/>
  <c r="C1169" i="3" s="1"/>
  <c r="B45" i="3"/>
  <c r="B1169" i="3" s="1"/>
  <c r="A45" i="3"/>
  <c r="A1169" i="3" s="1"/>
  <c r="O44" i="3"/>
  <c r="N44" i="3"/>
  <c r="M44" i="3"/>
  <c r="L44" i="3"/>
  <c r="K44" i="3"/>
  <c r="E44" i="3"/>
  <c r="E1168" i="3" s="1"/>
  <c r="D44" i="3"/>
  <c r="D1168" i="3" s="1"/>
  <c r="C44" i="3"/>
  <c r="C1168" i="3" s="1"/>
  <c r="B44" i="3"/>
  <c r="B1168" i="3" s="1"/>
  <c r="A44" i="3"/>
  <c r="A1168" i="3" s="1"/>
  <c r="O43" i="3"/>
  <c r="N43" i="3"/>
  <c r="M43" i="3"/>
  <c r="L43" i="3"/>
  <c r="K43" i="3"/>
  <c r="E43" i="3"/>
  <c r="E1167" i="3" s="1"/>
  <c r="D43" i="3"/>
  <c r="D1167" i="3" s="1"/>
  <c r="C43" i="3"/>
  <c r="C1167" i="3" s="1"/>
  <c r="B43" i="3"/>
  <c r="B1167" i="3" s="1"/>
  <c r="A43" i="3"/>
  <c r="A1167" i="3" s="1"/>
  <c r="O42" i="3"/>
  <c r="N42" i="3"/>
  <c r="M42" i="3"/>
  <c r="L42" i="3"/>
  <c r="K42" i="3"/>
  <c r="E42" i="3"/>
  <c r="E1166" i="3" s="1"/>
  <c r="D42" i="3"/>
  <c r="D1166" i="3" s="1"/>
  <c r="C42" i="3"/>
  <c r="C1166" i="3" s="1"/>
  <c r="B42" i="3"/>
  <c r="B1166" i="3" s="1"/>
  <c r="A42" i="3"/>
  <c r="A1166" i="3" s="1"/>
  <c r="O41" i="3"/>
  <c r="N41" i="3"/>
  <c r="M41" i="3"/>
  <c r="L41" i="3"/>
  <c r="K41" i="3"/>
  <c r="E41" i="3"/>
  <c r="E1165" i="3" s="1"/>
  <c r="D41" i="3"/>
  <c r="D1165" i="3" s="1"/>
  <c r="C41" i="3"/>
  <c r="C1165" i="3" s="1"/>
  <c r="B41" i="3"/>
  <c r="B1165" i="3" s="1"/>
  <c r="A41" i="3"/>
  <c r="A1165" i="3" s="1"/>
  <c r="O40" i="3"/>
  <c r="N40" i="3"/>
  <c r="M40" i="3"/>
  <c r="L40" i="3"/>
  <c r="K40" i="3"/>
  <c r="E40" i="3"/>
  <c r="E1164" i="3" s="1"/>
  <c r="D40" i="3"/>
  <c r="D1164" i="3" s="1"/>
  <c r="C40" i="3"/>
  <c r="C1164" i="3" s="1"/>
  <c r="B40" i="3"/>
  <c r="B1164" i="3" s="1"/>
  <c r="A40" i="3"/>
  <c r="A1164" i="3" s="1"/>
  <c r="O39" i="3"/>
  <c r="N39" i="3"/>
  <c r="M39" i="3"/>
  <c r="L39" i="3"/>
  <c r="K39" i="3"/>
  <c r="E39" i="3"/>
  <c r="E1163" i="3" s="1"/>
  <c r="D39" i="3"/>
  <c r="D1163" i="3" s="1"/>
  <c r="C39" i="3"/>
  <c r="C1163" i="3" s="1"/>
  <c r="B39" i="3"/>
  <c r="B1163" i="3" s="1"/>
  <c r="A39" i="3"/>
  <c r="A1163" i="3" s="1"/>
  <c r="O38" i="3"/>
  <c r="N38" i="3"/>
  <c r="M38" i="3"/>
  <c r="L38" i="3"/>
  <c r="K38" i="3"/>
  <c r="E38" i="3"/>
  <c r="E1162" i="3" s="1"/>
  <c r="D38" i="3"/>
  <c r="D1162" i="3" s="1"/>
  <c r="C38" i="3"/>
  <c r="C1162" i="3" s="1"/>
  <c r="B38" i="3"/>
  <c r="B1162" i="3" s="1"/>
  <c r="A38" i="3"/>
  <c r="A1162" i="3" s="1"/>
  <c r="O37" i="3"/>
  <c r="N37" i="3"/>
  <c r="M37" i="3"/>
  <c r="L37" i="3"/>
  <c r="K37" i="3"/>
  <c r="E37" i="3"/>
  <c r="E1161" i="3" s="1"/>
  <c r="D37" i="3"/>
  <c r="D1161" i="3" s="1"/>
  <c r="C37" i="3"/>
  <c r="C1161" i="3" s="1"/>
  <c r="B37" i="3"/>
  <c r="B1161" i="3" s="1"/>
  <c r="A37" i="3"/>
  <c r="A1161" i="3" s="1"/>
  <c r="O36" i="3"/>
  <c r="N36" i="3"/>
  <c r="M36" i="3"/>
  <c r="L36" i="3"/>
  <c r="K36" i="3"/>
  <c r="E36" i="3"/>
  <c r="E1160" i="3" s="1"/>
  <c r="D36" i="3"/>
  <c r="D1160" i="3" s="1"/>
  <c r="C36" i="3"/>
  <c r="C1160" i="3" s="1"/>
  <c r="B36" i="3"/>
  <c r="B1160" i="3" s="1"/>
  <c r="A36" i="3"/>
  <c r="A1160" i="3" s="1"/>
  <c r="O35" i="3"/>
  <c r="N35" i="3"/>
  <c r="M35" i="3"/>
  <c r="L35" i="3"/>
  <c r="K35" i="3"/>
  <c r="E35" i="3"/>
  <c r="E1159" i="3" s="1"/>
  <c r="D35" i="3"/>
  <c r="D1159" i="3" s="1"/>
  <c r="C35" i="3"/>
  <c r="C1159" i="3" s="1"/>
  <c r="B35" i="3"/>
  <c r="B1159" i="3" s="1"/>
  <c r="A35" i="3"/>
  <c r="A1159" i="3" s="1"/>
  <c r="O34" i="3"/>
  <c r="N34" i="3"/>
  <c r="M34" i="3"/>
  <c r="L34" i="3"/>
  <c r="K34" i="3"/>
  <c r="E34" i="3"/>
  <c r="E1158" i="3" s="1"/>
  <c r="D34" i="3"/>
  <c r="D1158" i="3" s="1"/>
  <c r="C34" i="3"/>
  <c r="C1158" i="3" s="1"/>
  <c r="B34" i="3"/>
  <c r="B1158" i="3" s="1"/>
  <c r="A34" i="3"/>
  <c r="A1158" i="3" s="1"/>
  <c r="O33" i="3"/>
  <c r="N33" i="3"/>
  <c r="M33" i="3"/>
  <c r="L33" i="3"/>
  <c r="K33" i="3"/>
  <c r="E33" i="3"/>
  <c r="E1157" i="3" s="1"/>
  <c r="D33" i="3"/>
  <c r="D1157" i="3" s="1"/>
  <c r="C33" i="3"/>
  <c r="C1157" i="3" s="1"/>
  <c r="B33" i="3"/>
  <c r="B1157" i="3" s="1"/>
  <c r="A33" i="3"/>
  <c r="A1157" i="3" s="1"/>
  <c r="O32" i="3"/>
  <c r="N32" i="3"/>
  <c r="M32" i="3"/>
  <c r="L32" i="3"/>
  <c r="K32" i="3"/>
  <c r="E32" i="3"/>
  <c r="E1156" i="3" s="1"/>
  <c r="D32" i="3"/>
  <c r="D1156" i="3" s="1"/>
  <c r="C32" i="3"/>
  <c r="C1156" i="3" s="1"/>
  <c r="B32" i="3"/>
  <c r="B1156" i="3" s="1"/>
  <c r="A32" i="3"/>
  <c r="A1156" i="3" s="1"/>
  <c r="O31" i="3"/>
  <c r="N31" i="3"/>
  <c r="M31" i="3"/>
  <c r="L31" i="3"/>
  <c r="K31" i="3"/>
  <c r="E31" i="3"/>
  <c r="E1155" i="3" s="1"/>
  <c r="D31" i="3"/>
  <c r="D1155" i="3" s="1"/>
  <c r="C31" i="3"/>
  <c r="C1155" i="3" s="1"/>
  <c r="B31" i="3"/>
  <c r="B1155" i="3" s="1"/>
  <c r="A31" i="3"/>
  <c r="A1155" i="3" s="1"/>
  <c r="O30" i="3"/>
  <c r="N30" i="3"/>
  <c r="M30" i="3"/>
  <c r="L30" i="3"/>
  <c r="K30" i="3"/>
  <c r="E30" i="3"/>
  <c r="E1154" i="3" s="1"/>
  <c r="D30" i="3"/>
  <c r="D1154" i="3" s="1"/>
  <c r="C30" i="3"/>
  <c r="C1154" i="3" s="1"/>
  <c r="B30" i="3"/>
  <c r="B1154" i="3" s="1"/>
  <c r="A30" i="3"/>
  <c r="A1154" i="3" s="1"/>
  <c r="O29" i="3"/>
  <c r="N29" i="3"/>
  <c r="M29" i="3"/>
  <c r="L29" i="3"/>
  <c r="K29" i="3"/>
  <c r="E29" i="3"/>
  <c r="E1153" i="3" s="1"/>
  <c r="D29" i="3"/>
  <c r="D1153" i="3" s="1"/>
  <c r="C29" i="3"/>
  <c r="C1153" i="3" s="1"/>
  <c r="B29" i="3"/>
  <c r="B1153" i="3" s="1"/>
  <c r="A29" i="3"/>
  <c r="A1153" i="3" s="1"/>
  <c r="O28" i="3"/>
  <c r="N28" i="3"/>
  <c r="M28" i="3"/>
  <c r="L28" i="3"/>
  <c r="K28" i="3"/>
  <c r="E28" i="3"/>
  <c r="E1152" i="3" s="1"/>
  <c r="D28" i="3"/>
  <c r="D1152" i="3" s="1"/>
  <c r="C28" i="3"/>
  <c r="C1152" i="3" s="1"/>
  <c r="B28" i="3"/>
  <c r="B1152" i="3" s="1"/>
  <c r="A28" i="3"/>
  <c r="A1152" i="3" s="1"/>
  <c r="O27" i="3"/>
  <c r="N27" i="3"/>
  <c r="M27" i="3"/>
  <c r="L27" i="3"/>
  <c r="K27" i="3"/>
  <c r="E27" i="3"/>
  <c r="E1151" i="3" s="1"/>
  <c r="D27" i="3"/>
  <c r="D1151" i="3" s="1"/>
  <c r="C27" i="3"/>
  <c r="C1151" i="3" s="1"/>
  <c r="B27" i="3"/>
  <c r="B1151" i="3" s="1"/>
  <c r="A27" i="3"/>
  <c r="A1151" i="3" s="1"/>
  <c r="O26" i="3"/>
  <c r="N26" i="3"/>
  <c r="M26" i="3"/>
  <c r="L26" i="3"/>
  <c r="K26" i="3"/>
  <c r="E26" i="3"/>
  <c r="E1150" i="3" s="1"/>
  <c r="D26" i="3"/>
  <c r="D1150" i="3" s="1"/>
  <c r="C26" i="3"/>
  <c r="C1150" i="3" s="1"/>
  <c r="B26" i="3"/>
  <c r="B1150" i="3" s="1"/>
  <c r="A26" i="3"/>
  <c r="A1150" i="3" s="1"/>
  <c r="O25" i="3"/>
  <c r="N25" i="3"/>
  <c r="M25" i="3"/>
  <c r="L25" i="3"/>
  <c r="K25" i="3"/>
  <c r="E25" i="3"/>
  <c r="E1149" i="3" s="1"/>
  <c r="D25" i="3"/>
  <c r="D1149" i="3" s="1"/>
  <c r="C25" i="3"/>
  <c r="C1149" i="3" s="1"/>
  <c r="B25" i="3"/>
  <c r="B1149" i="3" s="1"/>
  <c r="A25" i="3"/>
  <c r="A1149" i="3" s="1"/>
  <c r="O24" i="3"/>
  <c r="N24" i="3"/>
  <c r="M24" i="3"/>
  <c r="L24" i="3"/>
  <c r="K24" i="3"/>
  <c r="E24" i="3"/>
  <c r="E1148" i="3" s="1"/>
  <c r="D24" i="3"/>
  <c r="D1148" i="3" s="1"/>
  <c r="C24" i="3"/>
  <c r="C1148" i="3" s="1"/>
  <c r="B24" i="3"/>
  <c r="B1148" i="3" s="1"/>
  <c r="A24" i="3"/>
  <c r="A1148" i="3" s="1"/>
  <c r="O23" i="3"/>
  <c r="N23" i="3"/>
  <c r="M23" i="3"/>
  <c r="L23" i="3"/>
  <c r="K23" i="3"/>
  <c r="E23" i="3"/>
  <c r="B23" i="3"/>
  <c r="A23" i="3"/>
  <c r="O22" i="3"/>
  <c r="N22" i="3"/>
  <c r="M22" i="3"/>
  <c r="L22" i="3"/>
  <c r="K22" i="3"/>
  <c r="E22" i="3"/>
  <c r="B22" i="3"/>
  <c r="A22" i="3"/>
  <c r="O21" i="3"/>
  <c r="N21" i="3"/>
  <c r="M21" i="3"/>
  <c r="L21" i="3"/>
  <c r="K21" i="3"/>
  <c r="E21" i="3"/>
  <c r="B21" i="3"/>
  <c r="A21" i="3"/>
  <c r="O20" i="3"/>
  <c r="N20" i="3"/>
  <c r="M20" i="3"/>
  <c r="L20" i="3"/>
  <c r="K20" i="3"/>
  <c r="E20" i="3"/>
  <c r="E1147" i="3" s="1"/>
  <c r="D20" i="3"/>
  <c r="D1147" i="3" s="1"/>
  <c r="C20" i="3"/>
  <c r="C1147" i="3" s="1"/>
  <c r="B20" i="3"/>
  <c r="B1147" i="3" s="1"/>
  <c r="A20" i="3"/>
  <c r="A1147" i="3" s="1"/>
  <c r="O19" i="3"/>
  <c r="N19" i="3"/>
  <c r="M19" i="3"/>
  <c r="L19" i="3"/>
  <c r="K19" i="3"/>
  <c r="E19" i="3"/>
  <c r="E1146" i="3" s="1"/>
  <c r="D19" i="3"/>
  <c r="D1146" i="3" s="1"/>
  <c r="C19" i="3"/>
  <c r="C1146" i="3" s="1"/>
  <c r="B19" i="3"/>
  <c r="B1146" i="3" s="1"/>
  <c r="A19" i="3"/>
  <c r="A1146" i="3" s="1"/>
  <c r="O18" i="3"/>
  <c r="N18" i="3"/>
  <c r="M18" i="3"/>
  <c r="L18" i="3"/>
  <c r="K18" i="3"/>
  <c r="E18" i="3"/>
  <c r="E1145" i="3" s="1"/>
  <c r="D18" i="3"/>
  <c r="D1145" i="3" s="1"/>
  <c r="C18" i="3"/>
  <c r="C1145" i="3" s="1"/>
  <c r="B18" i="3"/>
  <c r="B1145" i="3" s="1"/>
  <c r="A18" i="3"/>
  <c r="A1145" i="3" s="1"/>
  <c r="O17" i="3"/>
  <c r="N17" i="3"/>
  <c r="M17" i="3"/>
  <c r="L17" i="3"/>
  <c r="K17" i="3"/>
  <c r="E17" i="3"/>
  <c r="E1144" i="3" s="1"/>
  <c r="D17" i="3"/>
  <c r="D1144" i="3" s="1"/>
  <c r="C17" i="3"/>
  <c r="C1144" i="3" s="1"/>
  <c r="B17" i="3"/>
  <c r="B1144" i="3" s="1"/>
  <c r="A17" i="3"/>
  <c r="A1144" i="3" s="1"/>
  <c r="O16" i="3"/>
  <c r="N16" i="3"/>
  <c r="M16" i="3"/>
  <c r="L16" i="3"/>
  <c r="K16" i="3"/>
  <c r="E16" i="3"/>
  <c r="E1143" i="3" s="1"/>
  <c r="D16" i="3"/>
  <c r="D1143" i="3" s="1"/>
  <c r="C16" i="3"/>
  <c r="C1143" i="3" s="1"/>
  <c r="B16" i="3"/>
  <c r="B1143" i="3" s="1"/>
  <c r="A16" i="3"/>
  <c r="A1143" i="3" s="1"/>
  <c r="O15" i="3"/>
  <c r="N15" i="3"/>
  <c r="M15" i="3"/>
  <c r="L15" i="3"/>
  <c r="K15" i="3"/>
  <c r="E15" i="3"/>
  <c r="E1142" i="3" s="1"/>
  <c r="D15" i="3"/>
  <c r="D1142" i="3" s="1"/>
  <c r="C15" i="3"/>
  <c r="C1142" i="3" s="1"/>
  <c r="B15" i="3"/>
  <c r="B1142" i="3" s="1"/>
  <c r="A15" i="3"/>
  <c r="A1142" i="3" s="1"/>
  <c r="O14" i="3"/>
  <c r="N14" i="3"/>
  <c r="M14" i="3"/>
  <c r="L14" i="3"/>
  <c r="K14" i="3"/>
  <c r="E14" i="3"/>
  <c r="E1141" i="3" s="1"/>
  <c r="D14" i="3"/>
  <c r="D1141" i="3" s="1"/>
  <c r="C14" i="3"/>
  <c r="C1141" i="3" s="1"/>
  <c r="B14" i="3"/>
  <c r="B1141" i="3" s="1"/>
  <c r="A14" i="3"/>
  <c r="A1141" i="3" s="1"/>
  <c r="O13" i="3"/>
  <c r="N13" i="3"/>
  <c r="M13" i="3"/>
  <c r="L13" i="3"/>
  <c r="K13" i="3"/>
  <c r="E13" i="3"/>
  <c r="E1140" i="3" s="1"/>
  <c r="D13" i="3"/>
  <c r="D1140" i="3" s="1"/>
  <c r="C13" i="3"/>
  <c r="C1140" i="3" s="1"/>
  <c r="B13" i="3"/>
  <c r="B1140" i="3" s="1"/>
  <c r="A13" i="3"/>
  <c r="A1140" i="3" s="1"/>
  <c r="O12" i="3"/>
  <c r="N12" i="3"/>
  <c r="M12" i="3"/>
  <c r="L12" i="3"/>
  <c r="K12" i="3"/>
  <c r="E12" i="3"/>
  <c r="E1139" i="3" s="1"/>
  <c r="D12" i="3"/>
  <c r="D1139" i="3" s="1"/>
  <c r="C12" i="3"/>
  <c r="C1139" i="3" s="1"/>
  <c r="B12" i="3"/>
  <c r="B1139" i="3" s="1"/>
  <c r="A12" i="3"/>
  <c r="A1139" i="3" s="1"/>
  <c r="O11" i="3"/>
  <c r="N11" i="3"/>
  <c r="M11" i="3"/>
  <c r="L11" i="3"/>
  <c r="K11" i="3"/>
  <c r="E11" i="3"/>
  <c r="E1138" i="3" s="1"/>
  <c r="D11" i="3"/>
  <c r="D1138" i="3" s="1"/>
  <c r="C11" i="3"/>
  <c r="C1138" i="3" s="1"/>
  <c r="B11" i="3"/>
  <c r="B1138" i="3" s="1"/>
  <c r="A11" i="3"/>
  <c r="A1138" i="3" s="1"/>
  <c r="O10" i="3"/>
  <c r="N10" i="3"/>
  <c r="M10" i="3"/>
  <c r="L10" i="3"/>
  <c r="K10" i="3"/>
  <c r="E10" i="3"/>
  <c r="E1137" i="3" s="1"/>
  <c r="D10" i="3"/>
  <c r="D1137" i="3" s="1"/>
  <c r="C10" i="3"/>
  <c r="C1137" i="3" s="1"/>
  <c r="B10" i="3"/>
  <c r="B1137" i="3" s="1"/>
  <c r="A10" i="3"/>
  <c r="A1137" i="3" s="1"/>
  <c r="O9" i="3"/>
  <c r="N9" i="3"/>
  <c r="M9" i="3"/>
  <c r="L9" i="3"/>
  <c r="K9" i="3"/>
  <c r="E9" i="3"/>
  <c r="E1136" i="3" s="1"/>
  <c r="D9" i="3"/>
  <c r="D1136" i="3" s="1"/>
  <c r="C9" i="3"/>
  <c r="C1136" i="3" s="1"/>
  <c r="B9" i="3"/>
  <c r="B1136" i="3" s="1"/>
  <c r="A9" i="3"/>
  <c r="A1136" i="3" s="1"/>
  <c r="O8" i="3"/>
  <c r="N8" i="3"/>
  <c r="M8" i="3"/>
  <c r="L8" i="3"/>
  <c r="K8" i="3"/>
  <c r="E8" i="3"/>
  <c r="E1135" i="3" s="1"/>
  <c r="D8" i="3"/>
  <c r="D1135" i="3" s="1"/>
  <c r="C8" i="3"/>
  <c r="C1135" i="3" s="1"/>
  <c r="B8" i="3"/>
  <c r="B1135" i="3" s="1"/>
  <c r="A8" i="3"/>
  <c r="A1135" i="3" s="1"/>
  <c r="O7" i="3"/>
  <c r="N7" i="3"/>
  <c r="M7" i="3"/>
  <c r="L7" i="3"/>
  <c r="K7" i="3"/>
  <c r="E7" i="3"/>
  <c r="E1134" i="3" s="1"/>
  <c r="D7" i="3"/>
  <c r="D1134" i="3" s="1"/>
  <c r="C7" i="3"/>
  <c r="C1134" i="3" s="1"/>
  <c r="B7" i="3"/>
  <c r="B1134" i="3" s="1"/>
  <c r="A7" i="3"/>
  <c r="A1134" i="3" s="1"/>
  <c r="O6" i="3"/>
  <c r="N6" i="3"/>
  <c r="M6" i="3"/>
  <c r="L6" i="3"/>
  <c r="K6" i="3"/>
  <c r="E6" i="3"/>
  <c r="B6" i="3"/>
  <c r="A6" i="3"/>
  <c r="O5" i="3"/>
  <c r="N5" i="3"/>
  <c r="M5" i="3"/>
  <c r="L5" i="3"/>
  <c r="K5" i="3"/>
  <c r="J5" i="3"/>
  <c r="I5" i="3"/>
  <c r="H5" i="3"/>
  <c r="G5" i="3"/>
  <c r="F5" i="3"/>
  <c r="E5" i="3"/>
  <c r="B5" i="3"/>
  <c r="A5" i="3"/>
  <c r="O4" i="3"/>
  <c r="N4" i="3"/>
  <c r="M4" i="3"/>
  <c r="L4" i="3"/>
  <c r="K4" i="3"/>
  <c r="E4" i="3"/>
  <c r="B4" i="3"/>
  <c r="A4" i="3"/>
  <c r="O3" i="3"/>
  <c r="N3" i="3"/>
  <c r="M3" i="3"/>
  <c r="L3" i="3"/>
  <c r="K3" i="3"/>
  <c r="E3" i="3"/>
  <c r="B3" i="3"/>
  <c r="A3" i="3"/>
  <c r="E2" i="3"/>
  <c r="D2" i="3"/>
  <c r="C2" i="3"/>
  <c r="B2" i="3"/>
  <c r="A2" i="3"/>
  <c r="E1116" i="2"/>
  <c r="D1116" i="2"/>
  <c r="C1116" i="2"/>
  <c r="B1116" i="2"/>
  <c r="A1116" i="2"/>
  <c r="E1115" i="2"/>
  <c r="D1115" i="2"/>
  <c r="C1115" i="2"/>
  <c r="B1115" i="2"/>
  <c r="A1115" i="2"/>
  <c r="E1114" i="2"/>
  <c r="D1114" i="2"/>
  <c r="C1114" i="2"/>
  <c r="B1114" i="2"/>
  <c r="A1114" i="2"/>
  <c r="E1113" i="2"/>
  <c r="D1113" i="2"/>
  <c r="C1113" i="2"/>
  <c r="B1113" i="2"/>
  <c r="A1113" i="2"/>
  <c r="E1112" i="2"/>
  <c r="D1112" i="2"/>
  <c r="C1112" i="2"/>
  <c r="B1112" i="2"/>
  <c r="A1112" i="2"/>
  <c r="E1111" i="2"/>
  <c r="D1111" i="2"/>
  <c r="C1111" i="2"/>
  <c r="B1111" i="2"/>
  <c r="A1111" i="2"/>
  <c r="E1110" i="2"/>
  <c r="D1110" i="2"/>
  <c r="C1110" i="2"/>
  <c r="B1110" i="2"/>
  <c r="A1110" i="2"/>
  <c r="E1109" i="2"/>
  <c r="D1109" i="2"/>
  <c r="C1109" i="2"/>
  <c r="B1109" i="2"/>
  <c r="A1109" i="2"/>
  <c r="E1108" i="2"/>
  <c r="D1108" i="2"/>
  <c r="C1108" i="2"/>
  <c r="B1108" i="2"/>
  <c r="A1108" i="2"/>
  <c r="E1107" i="2"/>
  <c r="D1107" i="2"/>
  <c r="C1107" i="2"/>
  <c r="B1107" i="2"/>
  <c r="A1107" i="2"/>
  <c r="E1106" i="2"/>
  <c r="D1106" i="2"/>
  <c r="C1106" i="2"/>
  <c r="B1106" i="2"/>
  <c r="A1106" i="2"/>
  <c r="E1105" i="2"/>
  <c r="D1105" i="2"/>
  <c r="C1105" i="2"/>
  <c r="B1105" i="2"/>
  <c r="A1105" i="2"/>
  <c r="E1104" i="2"/>
  <c r="D1104" i="2"/>
  <c r="C1104" i="2"/>
  <c r="B1104" i="2"/>
  <c r="A1104" i="2"/>
  <c r="E1103" i="2"/>
  <c r="D1103" i="2"/>
  <c r="C1103" i="2"/>
  <c r="B1103" i="2"/>
  <c r="A1103" i="2"/>
  <c r="E1102" i="2"/>
  <c r="D1102" i="2"/>
  <c r="C1102" i="2"/>
  <c r="B1102" i="2"/>
  <c r="A1102" i="2"/>
  <c r="E1101" i="2"/>
  <c r="D1101" i="2"/>
  <c r="C1101" i="2"/>
  <c r="B1101" i="2"/>
  <c r="A1101" i="2"/>
  <c r="E1100" i="2"/>
  <c r="D1100" i="2"/>
  <c r="C1100" i="2"/>
  <c r="B1100" i="2"/>
  <c r="A1100" i="2"/>
  <c r="E1099" i="2"/>
  <c r="D1099" i="2"/>
  <c r="C1099" i="2"/>
  <c r="B1099" i="2"/>
  <c r="A1099" i="2"/>
  <c r="E1098" i="2"/>
  <c r="D1098" i="2"/>
  <c r="C1098" i="2"/>
  <c r="B1098" i="2"/>
  <c r="A1098" i="2"/>
  <c r="E1097" i="2"/>
  <c r="D1097" i="2"/>
  <c r="C1097" i="2"/>
  <c r="B1097" i="2"/>
  <c r="A1097" i="2"/>
  <c r="E1096" i="2"/>
  <c r="D1096" i="2"/>
  <c r="C1096" i="2"/>
  <c r="B1096" i="2"/>
  <c r="A1096" i="2"/>
  <c r="E1095" i="2"/>
  <c r="D1095" i="2"/>
  <c r="C1095" i="2"/>
  <c r="B1095" i="2"/>
  <c r="A1095" i="2"/>
  <c r="E1094" i="2"/>
  <c r="D1094" i="2"/>
  <c r="C1094" i="2"/>
  <c r="B1094" i="2"/>
  <c r="A1094" i="2"/>
  <c r="E1093" i="2"/>
  <c r="D1093" i="2"/>
  <c r="C1093" i="2"/>
  <c r="B1093" i="2"/>
  <c r="A1093" i="2"/>
  <c r="E1092" i="2"/>
  <c r="D1092" i="2"/>
  <c r="C1092" i="2"/>
  <c r="B1092" i="2"/>
  <c r="A1092" i="2"/>
  <c r="E1091" i="2"/>
  <c r="D1091" i="2"/>
  <c r="C1091" i="2"/>
  <c r="B1091" i="2"/>
  <c r="A1091" i="2"/>
  <c r="E1090" i="2"/>
  <c r="D1090" i="2"/>
  <c r="C1090" i="2"/>
  <c r="B1090" i="2"/>
  <c r="A1090" i="2"/>
  <c r="E1089" i="2"/>
  <c r="D1089" i="2"/>
  <c r="C1089" i="2"/>
  <c r="B1089" i="2"/>
  <c r="A1089" i="2"/>
  <c r="E1088" i="2"/>
  <c r="D1088" i="2"/>
  <c r="C1088" i="2"/>
  <c r="B1088" i="2"/>
  <c r="A1088" i="2"/>
  <c r="E1087" i="2"/>
  <c r="D1087" i="2"/>
  <c r="C1087" i="2"/>
  <c r="B1087" i="2"/>
  <c r="A1087" i="2"/>
  <c r="E1086" i="2"/>
  <c r="D1086" i="2"/>
  <c r="C1086" i="2"/>
  <c r="B1086" i="2"/>
  <c r="A1086" i="2"/>
  <c r="E1085" i="2"/>
  <c r="D1085" i="2"/>
  <c r="C1085" i="2"/>
  <c r="B1085" i="2"/>
  <c r="A1085" i="2"/>
  <c r="E1084" i="2"/>
  <c r="D1084" i="2"/>
  <c r="C1084" i="2"/>
  <c r="B1084" i="2"/>
  <c r="A1084" i="2"/>
  <c r="E1083" i="2"/>
  <c r="D1083" i="2"/>
  <c r="C1083" i="2"/>
  <c r="B1083" i="2"/>
  <c r="A1083" i="2"/>
  <c r="E1082" i="2"/>
  <c r="D1082" i="2"/>
  <c r="C1082" i="2"/>
  <c r="B1082" i="2"/>
  <c r="A1082" i="2"/>
  <c r="E1081" i="2"/>
  <c r="D1081" i="2"/>
  <c r="C1081" i="2"/>
  <c r="B1081" i="2"/>
  <c r="A1081" i="2"/>
  <c r="E1080" i="2"/>
  <c r="D1080" i="2"/>
  <c r="C1080" i="2"/>
  <c r="B1080" i="2"/>
  <c r="A1080" i="2"/>
  <c r="E1079" i="2"/>
  <c r="D1079" i="2"/>
  <c r="C1079" i="2"/>
  <c r="B1079" i="2"/>
  <c r="A1079" i="2"/>
  <c r="E1078" i="2"/>
  <c r="D1078" i="2"/>
  <c r="C1078" i="2"/>
  <c r="B1078" i="2"/>
  <c r="A1078" i="2"/>
  <c r="E1077" i="2"/>
  <c r="D1077" i="2"/>
  <c r="C1077" i="2"/>
  <c r="B1077" i="2"/>
  <c r="A1077" i="2"/>
  <c r="E1076" i="2"/>
  <c r="D1076" i="2"/>
  <c r="C1076" i="2"/>
  <c r="B1076" i="2"/>
  <c r="A1076" i="2"/>
  <c r="E1075" i="2"/>
  <c r="D1075" i="2"/>
  <c r="C1075" i="2"/>
  <c r="B1075" i="2"/>
  <c r="A1075" i="2"/>
  <c r="E1074" i="2"/>
  <c r="D1074" i="2"/>
  <c r="C1074" i="2"/>
  <c r="B1074" i="2"/>
  <c r="A1074" i="2"/>
  <c r="E1073" i="2"/>
  <c r="D1073" i="2"/>
  <c r="C1073" i="2"/>
  <c r="B1073" i="2"/>
  <c r="A1073" i="2"/>
  <c r="E1072" i="2"/>
  <c r="D1072" i="2"/>
  <c r="C1072" i="2"/>
  <c r="B1072" i="2"/>
  <c r="A1072" i="2"/>
  <c r="E1071" i="2"/>
  <c r="D1071" i="2"/>
  <c r="C1071" i="2"/>
  <c r="B1071" i="2"/>
  <c r="A1071" i="2"/>
  <c r="E1070" i="2"/>
  <c r="D1070" i="2"/>
  <c r="C1070" i="2"/>
  <c r="B1070" i="2"/>
  <c r="A1070" i="2"/>
  <c r="E1069" i="2"/>
  <c r="D1069" i="2"/>
  <c r="C1069" i="2"/>
  <c r="B1069" i="2"/>
  <c r="A1069" i="2"/>
  <c r="E1068" i="2"/>
  <c r="D1068" i="2"/>
  <c r="C1068" i="2"/>
  <c r="B1068" i="2"/>
  <c r="A1068" i="2"/>
  <c r="E1067" i="2"/>
  <c r="D1067" i="2"/>
  <c r="C1067" i="2"/>
  <c r="B1067" i="2"/>
  <c r="A1067" i="2"/>
  <c r="E1066" i="2"/>
  <c r="D1066" i="2"/>
  <c r="C1066" i="2"/>
  <c r="B1066" i="2"/>
  <c r="A1066" i="2"/>
  <c r="E1065" i="2"/>
  <c r="D1065" i="2"/>
  <c r="C1065" i="2"/>
  <c r="B1065" i="2"/>
  <c r="A1065" i="2"/>
  <c r="E1064" i="2"/>
  <c r="D1064" i="2"/>
  <c r="C1064" i="2"/>
  <c r="B1064" i="2"/>
  <c r="A1064" i="2"/>
  <c r="E1063" i="2"/>
  <c r="D1063" i="2"/>
  <c r="C1063" i="2"/>
  <c r="B1063" i="2"/>
  <c r="A1063" i="2"/>
  <c r="E1062" i="2"/>
  <c r="D1062" i="2"/>
  <c r="C1062" i="2"/>
  <c r="B1062" i="2"/>
  <c r="A1062" i="2"/>
  <c r="E1061" i="2"/>
  <c r="D1061" i="2"/>
  <c r="C1061" i="2"/>
  <c r="B1061" i="2"/>
  <c r="A1061" i="2"/>
  <c r="E1060" i="2"/>
  <c r="D1060" i="2"/>
  <c r="C1060" i="2"/>
  <c r="B1060" i="2"/>
  <c r="A1060" i="2"/>
  <c r="E1059" i="2"/>
  <c r="D1059" i="2"/>
  <c r="C1059" i="2"/>
  <c r="B1059" i="2"/>
  <c r="A1059" i="2"/>
  <c r="E1058" i="2"/>
  <c r="D1058" i="2"/>
  <c r="C1058" i="2"/>
  <c r="B1058" i="2"/>
  <c r="A1058" i="2"/>
  <c r="E1057" i="2"/>
  <c r="D1057" i="2"/>
  <c r="C1057" i="2"/>
  <c r="B1057" i="2"/>
  <c r="A1057" i="2"/>
  <c r="E1056" i="2"/>
  <c r="D1056" i="2"/>
  <c r="C1056" i="2"/>
  <c r="B1056" i="2"/>
  <c r="A1056" i="2"/>
  <c r="E1055" i="2"/>
  <c r="D1055" i="2"/>
  <c r="C1055" i="2"/>
  <c r="B1055" i="2"/>
  <c r="A1055" i="2"/>
  <c r="E1054" i="2"/>
  <c r="D1054" i="2"/>
  <c r="C1054" i="2"/>
  <c r="B1054" i="2"/>
  <c r="A1054" i="2"/>
  <c r="E1053" i="2"/>
  <c r="D1053" i="2"/>
  <c r="C1053" i="2"/>
  <c r="B1053" i="2"/>
  <c r="A1053" i="2"/>
  <c r="E1052" i="2"/>
  <c r="D1052" i="2"/>
  <c r="C1052" i="2"/>
  <c r="B1052" i="2"/>
  <c r="A1052" i="2"/>
  <c r="E1051" i="2"/>
  <c r="D1051" i="2"/>
  <c r="C1051" i="2"/>
  <c r="B1051" i="2"/>
  <c r="A1051" i="2"/>
  <c r="E1050" i="2"/>
  <c r="D1050" i="2"/>
  <c r="C1050" i="2"/>
  <c r="B1050" i="2"/>
  <c r="A1050" i="2"/>
  <c r="E1049" i="2"/>
  <c r="D1049" i="2"/>
  <c r="C1049" i="2"/>
  <c r="B1049" i="2"/>
  <c r="A1049" i="2"/>
  <c r="E1048" i="2"/>
  <c r="D1048" i="2"/>
  <c r="C1048" i="2"/>
  <c r="B1048" i="2"/>
  <c r="A1048" i="2"/>
  <c r="E1047" i="2"/>
  <c r="D1047" i="2"/>
  <c r="C1047" i="2"/>
  <c r="B1047" i="2"/>
  <c r="A1047" i="2"/>
  <c r="E1046" i="2"/>
  <c r="D1046" i="2"/>
  <c r="C1046" i="2"/>
  <c r="B1046" i="2"/>
  <c r="A1046" i="2"/>
  <c r="E1045" i="2"/>
  <c r="D1045" i="2"/>
  <c r="C1045" i="2"/>
  <c r="B1045" i="2"/>
  <c r="A1045" i="2"/>
  <c r="E1044" i="2"/>
  <c r="D1044" i="2"/>
  <c r="C1044" i="2"/>
  <c r="B1044" i="2"/>
  <c r="A1044" i="2"/>
  <c r="E1043" i="2"/>
  <c r="D1043" i="2"/>
  <c r="C1043" i="2"/>
  <c r="B1043" i="2"/>
  <c r="A1043" i="2"/>
  <c r="E1042" i="2"/>
  <c r="D1042" i="2"/>
  <c r="C1042" i="2"/>
  <c r="B1042" i="2"/>
  <c r="A1042" i="2"/>
  <c r="E1041" i="2"/>
  <c r="D1041" i="2"/>
  <c r="C1041" i="2"/>
  <c r="B1041" i="2"/>
  <c r="A1041" i="2"/>
  <c r="E1040" i="2"/>
  <c r="D1040" i="2"/>
  <c r="C1040" i="2"/>
  <c r="B1040" i="2"/>
  <c r="A1040" i="2"/>
  <c r="E1039" i="2"/>
  <c r="D1039" i="2"/>
  <c r="C1039" i="2"/>
  <c r="B1039" i="2"/>
  <c r="A1039" i="2"/>
  <c r="E1038" i="2"/>
  <c r="D1038" i="2"/>
  <c r="C1038" i="2"/>
  <c r="B1038" i="2"/>
  <c r="A1038" i="2"/>
  <c r="E1037" i="2"/>
  <c r="D1037" i="2"/>
  <c r="C1037" i="2"/>
  <c r="B1037" i="2"/>
  <c r="A1037" i="2"/>
  <c r="E1036" i="2"/>
  <c r="D1036" i="2"/>
  <c r="C1036" i="2"/>
  <c r="B1036" i="2"/>
  <c r="A1036" i="2"/>
  <c r="E1035" i="2"/>
  <c r="D1035" i="2"/>
  <c r="C1035" i="2"/>
  <c r="B1035" i="2"/>
  <c r="A1035" i="2"/>
  <c r="E1034" i="2"/>
  <c r="D1034" i="2"/>
  <c r="C1034" i="2"/>
  <c r="B1034" i="2"/>
  <c r="A1034" i="2"/>
  <c r="E1033" i="2"/>
  <c r="D1033" i="2"/>
  <c r="C1033" i="2"/>
  <c r="B1033" i="2"/>
  <c r="A1033" i="2"/>
  <c r="E1032" i="2"/>
  <c r="D1032" i="2"/>
  <c r="C1032" i="2"/>
  <c r="B1032" i="2"/>
  <c r="A1032" i="2"/>
  <c r="E1031" i="2"/>
  <c r="D1031" i="2"/>
  <c r="C1031" i="2"/>
  <c r="B1031" i="2"/>
  <c r="A1031" i="2"/>
  <c r="E1030" i="2"/>
  <c r="D1030" i="2"/>
  <c r="C1030" i="2"/>
  <c r="B1030" i="2"/>
  <c r="A1030" i="2"/>
  <c r="E1029" i="2"/>
  <c r="D1029" i="2"/>
  <c r="C1029" i="2"/>
  <c r="B1029" i="2"/>
  <c r="A1029" i="2"/>
  <c r="E1028" i="2"/>
  <c r="D1028" i="2"/>
  <c r="C1028" i="2"/>
  <c r="B1028" i="2"/>
  <c r="A1028" i="2"/>
  <c r="E1027" i="2"/>
  <c r="D1027" i="2"/>
  <c r="C1027" i="2"/>
  <c r="B1027" i="2"/>
  <c r="A1027" i="2"/>
  <c r="E1026" i="2"/>
  <c r="D1026" i="2"/>
  <c r="C1026" i="2"/>
  <c r="B1026" i="2"/>
  <c r="A1026" i="2"/>
  <c r="E1025" i="2"/>
  <c r="D1025" i="2"/>
  <c r="C1025" i="2"/>
  <c r="B1025" i="2"/>
  <c r="A1025" i="2"/>
  <c r="E1024" i="2"/>
  <c r="D1024" i="2"/>
  <c r="C1024" i="2"/>
  <c r="B1024" i="2"/>
  <c r="A1024" i="2"/>
  <c r="E1023" i="2"/>
  <c r="D1023" i="2"/>
  <c r="C1023" i="2"/>
  <c r="B1023" i="2"/>
  <c r="A1023" i="2"/>
  <c r="E1022" i="2"/>
  <c r="D1022" i="2"/>
  <c r="C1022" i="2"/>
  <c r="B1022" i="2"/>
  <c r="A1022" i="2"/>
  <c r="E1021" i="2"/>
  <c r="D1021" i="2"/>
  <c r="C1021" i="2"/>
  <c r="B1021" i="2"/>
  <c r="A1021" i="2"/>
  <c r="E1020" i="2"/>
  <c r="D1020" i="2"/>
  <c r="C1020" i="2"/>
  <c r="B1020" i="2"/>
  <c r="A1020" i="2"/>
  <c r="E1019" i="2"/>
  <c r="D1019" i="2"/>
  <c r="C1019" i="2"/>
  <c r="B1019" i="2"/>
  <c r="A1019" i="2"/>
  <c r="E1018" i="2"/>
  <c r="D1018" i="2"/>
  <c r="C1018" i="2"/>
  <c r="B1018" i="2"/>
  <c r="A1018" i="2"/>
  <c r="E1017" i="2"/>
  <c r="D1017" i="2"/>
  <c r="C1017" i="2"/>
  <c r="B1017" i="2"/>
  <c r="A1017" i="2"/>
  <c r="E1016" i="2"/>
  <c r="D1016" i="2"/>
  <c r="C1016" i="2"/>
  <c r="B1016" i="2"/>
  <c r="A1016" i="2"/>
  <c r="E1015" i="2"/>
  <c r="D1015" i="2"/>
  <c r="C1015" i="2"/>
  <c r="B1015" i="2"/>
  <c r="A1015" i="2"/>
  <c r="E1014" i="2"/>
  <c r="D1014" i="2"/>
  <c r="C1014" i="2"/>
  <c r="B1014" i="2"/>
  <c r="A1014" i="2"/>
  <c r="E1013" i="2"/>
  <c r="D1013" i="2"/>
  <c r="C1013" i="2"/>
  <c r="B1013" i="2"/>
  <c r="A1013" i="2"/>
  <c r="E1012" i="2"/>
  <c r="D1012" i="2"/>
  <c r="C1012" i="2"/>
  <c r="B1012" i="2"/>
  <c r="A1012" i="2"/>
  <c r="E1011" i="2"/>
  <c r="D1011" i="2"/>
  <c r="C1011" i="2"/>
  <c r="B1011" i="2"/>
  <c r="A1011" i="2"/>
  <c r="E1010" i="2"/>
  <c r="D1010" i="2"/>
  <c r="C1010" i="2"/>
  <c r="B1010" i="2"/>
  <c r="A1010" i="2"/>
  <c r="E1009" i="2"/>
  <c r="D1009" i="2"/>
  <c r="C1009" i="2"/>
  <c r="B1009" i="2"/>
  <c r="A1009" i="2"/>
  <c r="E1008" i="2"/>
  <c r="D1008" i="2"/>
  <c r="C1008" i="2"/>
  <c r="B1008" i="2"/>
  <c r="A1008" i="2"/>
  <c r="E1007" i="2"/>
  <c r="D1007" i="2"/>
  <c r="C1007" i="2"/>
  <c r="B1007" i="2"/>
  <c r="A1007" i="2"/>
  <c r="E1006" i="2"/>
  <c r="D1006" i="2"/>
  <c r="C1006" i="2"/>
  <c r="B1006" i="2"/>
  <c r="A1006" i="2"/>
  <c r="E1005" i="2"/>
  <c r="D1005" i="2"/>
  <c r="C1005" i="2"/>
  <c r="B1005" i="2"/>
  <c r="A1005" i="2"/>
  <c r="E1004" i="2"/>
  <c r="D1004" i="2"/>
  <c r="C1004" i="2"/>
  <c r="B1004" i="2"/>
  <c r="A1004" i="2"/>
  <c r="E1003" i="2"/>
  <c r="D1003" i="2"/>
  <c r="C1003" i="2"/>
  <c r="B1003" i="2"/>
  <c r="A1003" i="2"/>
  <c r="E1002" i="2"/>
  <c r="D1002" i="2"/>
  <c r="C1002" i="2"/>
  <c r="B1002" i="2"/>
  <c r="A1002" i="2"/>
  <c r="E1001" i="2"/>
  <c r="D1001" i="2"/>
  <c r="C1001" i="2"/>
  <c r="B1001" i="2"/>
  <c r="A1001" i="2"/>
  <c r="E1000" i="2"/>
  <c r="D1000" i="2"/>
  <c r="C1000" i="2"/>
  <c r="B1000" i="2"/>
  <c r="A1000" i="2"/>
  <c r="E999" i="2"/>
  <c r="D999" i="2"/>
  <c r="C999" i="2"/>
  <c r="B999" i="2"/>
  <c r="A999" i="2"/>
  <c r="E998" i="2"/>
  <c r="D998" i="2"/>
  <c r="C998" i="2"/>
  <c r="B998" i="2"/>
  <c r="A998" i="2"/>
  <c r="E997" i="2"/>
  <c r="D997" i="2"/>
  <c r="C997" i="2"/>
  <c r="B997" i="2"/>
  <c r="A997" i="2"/>
  <c r="E996" i="2"/>
  <c r="D996" i="2"/>
  <c r="C996" i="2"/>
  <c r="B996" i="2"/>
  <c r="A996" i="2"/>
  <c r="E995" i="2"/>
  <c r="D995" i="2"/>
  <c r="C995" i="2"/>
  <c r="B995" i="2"/>
  <c r="A995" i="2"/>
  <c r="E994" i="2"/>
  <c r="D994" i="2"/>
  <c r="C994" i="2"/>
  <c r="B994" i="2"/>
  <c r="A994" i="2"/>
  <c r="E993" i="2"/>
  <c r="D993" i="2"/>
  <c r="C993" i="2"/>
  <c r="B993" i="2"/>
  <c r="A993" i="2"/>
  <c r="E992" i="2"/>
  <c r="D992" i="2"/>
  <c r="C992" i="2"/>
  <c r="B992" i="2"/>
  <c r="A992" i="2"/>
  <c r="E991" i="2"/>
  <c r="D991" i="2"/>
  <c r="C991" i="2"/>
  <c r="B991" i="2"/>
  <c r="A991" i="2"/>
  <c r="E990" i="2"/>
  <c r="D990" i="2"/>
  <c r="C990" i="2"/>
  <c r="B990" i="2"/>
  <c r="A990" i="2"/>
  <c r="E989" i="2"/>
  <c r="D989" i="2"/>
  <c r="C989" i="2"/>
  <c r="B989" i="2"/>
  <c r="A989" i="2"/>
  <c r="E988" i="2"/>
  <c r="D988" i="2"/>
  <c r="C988" i="2"/>
  <c r="B988" i="2"/>
  <c r="A988" i="2"/>
  <c r="E987" i="2"/>
  <c r="D987" i="2"/>
  <c r="C987" i="2"/>
  <c r="B987" i="2"/>
  <c r="A987" i="2"/>
  <c r="E986" i="2"/>
  <c r="D986" i="2"/>
  <c r="C986" i="2"/>
  <c r="B986" i="2"/>
  <c r="A986" i="2"/>
  <c r="E985" i="2"/>
  <c r="D985" i="2"/>
  <c r="C985" i="2"/>
  <c r="B985" i="2"/>
  <c r="A985" i="2"/>
  <c r="E984" i="2"/>
  <c r="D984" i="2"/>
  <c r="C984" i="2"/>
  <c r="B984" i="2"/>
  <c r="A984" i="2"/>
  <c r="E983" i="2"/>
  <c r="D983" i="2"/>
  <c r="C983" i="2"/>
  <c r="B983" i="2"/>
  <c r="A983" i="2"/>
  <c r="E982" i="2"/>
  <c r="D982" i="2"/>
  <c r="C982" i="2"/>
  <c r="B982" i="2"/>
  <c r="A982" i="2"/>
  <c r="E981" i="2"/>
  <c r="D981" i="2"/>
  <c r="C981" i="2"/>
  <c r="B981" i="2"/>
  <c r="A981" i="2"/>
  <c r="E980" i="2"/>
  <c r="D980" i="2"/>
  <c r="C980" i="2"/>
  <c r="B980" i="2"/>
  <c r="A980" i="2"/>
  <c r="E979" i="2"/>
  <c r="D979" i="2"/>
  <c r="C979" i="2"/>
  <c r="B979" i="2"/>
  <c r="A979" i="2"/>
  <c r="E978" i="2"/>
  <c r="D978" i="2"/>
  <c r="C978" i="2"/>
  <c r="B978" i="2"/>
  <c r="A978" i="2"/>
  <c r="E977" i="2"/>
  <c r="D977" i="2"/>
  <c r="C977" i="2"/>
  <c r="B977" i="2"/>
  <c r="A977" i="2"/>
  <c r="E976" i="2"/>
  <c r="D976" i="2"/>
  <c r="C976" i="2"/>
  <c r="B976" i="2"/>
  <c r="A976" i="2"/>
  <c r="E975" i="2"/>
  <c r="D975" i="2"/>
  <c r="C975" i="2"/>
  <c r="B975" i="2"/>
  <c r="A975" i="2"/>
  <c r="E974" i="2"/>
  <c r="D974" i="2"/>
  <c r="C974" i="2"/>
  <c r="B974" i="2"/>
  <c r="A974" i="2"/>
  <c r="E973" i="2"/>
  <c r="D973" i="2"/>
  <c r="C973" i="2"/>
  <c r="B973" i="2"/>
  <c r="A973" i="2"/>
  <c r="E972" i="2"/>
  <c r="D972" i="2"/>
  <c r="C972" i="2"/>
  <c r="B972" i="2"/>
  <c r="A972" i="2"/>
  <c r="E971" i="2"/>
  <c r="D971" i="2"/>
  <c r="C971" i="2"/>
  <c r="B971" i="2"/>
  <c r="A971" i="2"/>
  <c r="E970" i="2"/>
  <c r="D970" i="2"/>
  <c r="C970" i="2"/>
  <c r="B970" i="2"/>
  <c r="A970" i="2"/>
  <c r="E969" i="2"/>
  <c r="D969" i="2"/>
  <c r="C969" i="2"/>
  <c r="B969" i="2"/>
  <c r="A969" i="2"/>
  <c r="E968" i="2"/>
  <c r="D968" i="2"/>
  <c r="C968" i="2"/>
  <c r="B968" i="2"/>
  <c r="A968" i="2"/>
  <c r="E967" i="2"/>
  <c r="D967" i="2"/>
  <c r="C967" i="2"/>
  <c r="B967" i="2"/>
  <c r="A967" i="2"/>
  <c r="E966" i="2"/>
  <c r="D966" i="2"/>
  <c r="C966" i="2"/>
  <c r="B966" i="2"/>
  <c r="A966" i="2"/>
  <c r="E965" i="2"/>
  <c r="D965" i="2"/>
  <c r="C965" i="2"/>
  <c r="B965" i="2"/>
  <c r="A965" i="2"/>
  <c r="E964" i="2"/>
  <c r="D964" i="2"/>
  <c r="C964" i="2"/>
  <c r="B964" i="2"/>
  <c r="A964" i="2"/>
  <c r="E963" i="2"/>
  <c r="D963" i="2"/>
  <c r="C963" i="2"/>
  <c r="B963" i="2"/>
  <c r="A963" i="2"/>
  <c r="E962" i="2"/>
  <c r="D962" i="2"/>
  <c r="C962" i="2"/>
  <c r="B962" i="2"/>
  <c r="A962" i="2"/>
  <c r="E961" i="2"/>
  <c r="D961" i="2"/>
  <c r="C961" i="2"/>
  <c r="B961" i="2"/>
  <c r="A961" i="2"/>
  <c r="E960" i="2"/>
  <c r="D960" i="2"/>
  <c r="C960" i="2"/>
  <c r="B960" i="2"/>
  <c r="A960" i="2"/>
  <c r="E959" i="2"/>
  <c r="D959" i="2"/>
  <c r="C959" i="2"/>
  <c r="B959" i="2"/>
  <c r="A959" i="2"/>
  <c r="E958" i="2"/>
  <c r="D958" i="2"/>
  <c r="C958" i="2"/>
  <c r="B958" i="2"/>
  <c r="A958" i="2"/>
  <c r="E957" i="2"/>
  <c r="D957" i="2"/>
  <c r="C957" i="2"/>
  <c r="B957" i="2"/>
  <c r="A957" i="2"/>
  <c r="E956" i="2"/>
  <c r="D956" i="2"/>
  <c r="C956" i="2"/>
  <c r="B956" i="2"/>
  <c r="A956" i="2"/>
  <c r="E955" i="2"/>
  <c r="D955" i="2"/>
  <c r="C955" i="2"/>
  <c r="B955" i="2"/>
  <c r="A955" i="2"/>
  <c r="E954" i="2"/>
  <c r="D954" i="2"/>
  <c r="C954" i="2"/>
  <c r="B954" i="2"/>
  <c r="A954" i="2"/>
  <c r="E953" i="2"/>
  <c r="D953" i="2"/>
  <c r="C953" i="2"/>
  <c r="B953" i="2"/>
  <c r="A953" i="2"/>
  <c r="E952" i="2"/>
  <c r="D952" i="2"/>
  <c r="C952" i="2"/>
  <c r="B952" i="2"/>
  <c r="A952" i="2"/>
  <c r="E951" i="2"/>
  <c r="D951" i="2"/>
  <c r="C951" i="2"/>
  <c r="B951" i="2"/>
  <c r="A951" i="2"/>
  <c r="E950" i="2"/>
  <c r="D950" i="2"/>
  <c r="C950" i="2"/>
  <c r="B950" i="2"/>
  <c r="A950" i="2"/>
  <c r="E949" i="2"/>
  <c r="D949" i="2"/>
  <c r="C949" i="2"/>
  <c r="B949" i="2"/>
  <c r="A949" i="2"/>
  <c r="E948" i="2"/>
  <c r="D948" i="2"/>
  <c r="C948" i="2"/>
  <c r="B948" i="2"/>
  <c r="A948" i="2"/>
  <c r="E947" i="2"/>
  <c r="D947" i="2"/>
  <c r="C947" i="2"/>
  <c r="B947" i="2"/>
  <c r="A947" i="2"/>
  <c r="E946" i="2"/>
  <c r="D946" i="2"/>
  <c r="C946" i="2"/>
  <c r="B946" i="2"/>
  <c r="A946" i="2"/>
  <c r="E945" i="2"/>
  <c r="D945" i="2"/>
  <c r="C945" i="2"/>
  <c r="B945" i="2"/>
  <c r="A945" i="2"/>
  <c r="E944" i="2"/>
  <c r="D944" i="2"/>
  <c r="C944" i="2"/>
  <c r="B944" i="2"/>
  <c r="A944" i="2"/>
  <c r="E943" i="2"/>
  <c r="D943" i="2"/>
  <c r="C943" i="2"/>
  <c r="B943" i="2"/>
  <c r="A943" i="2"/>
  <c r="E942" i="2"/>
  <c r="D942" i="2"/>
  <c r="C942" i="2"/>
  <c r="B942" i="2"/>
  <c r="A942" i="2"/>
  <c r="E941" i="2"/>
  <c r="D941" i="2"/>
  <c r="C941" i="2"/>
  <c r="B941" i="2"/>
  <c r="A941" i="2"/>
  <c r="E940" i="2"/>
  <c r="D940" i="2"/>
  <c r="C940" i="2"/>
  <c r="B940" i="2"/>
  <c r="A940" i="2"/>
  <c r="E939" i="2"/>
  <c r="D939" i="2"/>
  <c r="C939" i="2"/>
  <c r="B939" i="2"/>
  <c r="A939" i="2"/>
  <c r="E938" i="2"/>
  <c r="D938" i="2"/>
  <c r="C938" i="2"/>
  <c r="B938" i="2"/>
  <c r="A938" i="2"/>
  <c r="E937" i="2"/>
  <c r="D937" i="2"/>
  <c r="C937" i="2"/>
  <c r="B937" i="2"/>
  <c r="A937" i="2"/>
  <c r="E936" i="2"/>
  <c r="D936" i="2"/>
  <c r="C936" i="2"/>
  <c r="B936" i="2"/>
  <c r="A936" i="2"/>
  <c r="E935" i="2"/>
  <c r="D935" i="2"/>
  <c r="C935" i="2"/>
  <c r="B935" i="2"/>
  <c r="A935" i="2"/>
  <c r="E934" i="2"/>
  <c r="D934" i="2"/>
  <c r="C934" i="2"/>
  <c r="B934" i="2"/>
  <c r="A934" i="2"/>
  <c r="E933" i="2"/>
  <c r="D933" i="2"/>
  <c r="C933" i="2"/>
  <c r="B933" i="2"/>
  <c r="A933" i="2"/>
  <c r="E932" i="2"/>
  <c r="D932" i="2"/>
  <c r="C932" i="2"/>
  <c r="B932" i="2"/>
  <c r="A932" i="2"/>
  <c r="E931" i="2"/>
  <c r="D931" i="2"/>
  <c r="C931" i="2"/>
  <c r="B931" i="2"/>
  <c r="A931" i="2"/>
  <c r="E930" i="2"/>
  <c r="D930" i="2"/>
  <c r="C930" i="2"/>
  <c r="B930" i="2"/>
  <c r="A930" i="2"/>
  <c r="E929" i="2"/>
  <c r="D929" i="2"/>
  <c r="C929" i="2"/>
  <c r="B929" i="2"/>
  <c r="A929" i="2"/>
  <c r="E928" i="2"/>
  <c r="D928" i="2"/>
  <c r="C928" i="2"/>
  <c r="B928" i="2"/>
  <c r="A928" i="2"/>
  <c r="E927" i="2"/>
  <c r="D927" i="2"/>
  <c r="C927" i="2"/>
  <c r="B927" i="2"/>
  <c r="A927" i="2"/>
  <c r="E926" i="2"/>
  <c r="D926" i="2"/>
  <c r="C926" i="2"/>
  <c r="B926" i="2"/>
  <c r="A926" i="2"/>
  <c r="E925" i="2"/>
  <c r="D925" i="2"/>
  <c r="C925" i="2"/>
  <c r="B925" i="2"/>
  <c r="A925" i="2"/>
  <c r="E924" i="2"/>
  <c r="D924" i="2"/>
  <c r="C924" i="2"/>
  <c r="B924" i="2"/>
  <c r="A924" i="2"/>
  <c r="E923" i="2"/>
  <c r="D923" i="2"/>
  <c r="C923" i="2"/>
  <c r="B923" i="2"/>
  <c r="A923" i="2"/>
  <c r="E922" i="2"/>
  <c r="D922" i="2"/>
  <c r="C922" i="2"/>
  <c r="B922" i="2"/>
  <c r="A922" i="2"/>
  <c r="E921" i="2"/>
  <c r="D921" i="2"/>
  <c r="C921" i="2"/>
  <c r="B921" i="2"/>
  <c r="A921" i="2"/>
  <c r="E920" i="2"/>
  <c r="D920" i="2"/>
  <c r="C920" i="2"/>
  <c r="B920" i="2"/>
  <c r="A920" i="2"/>
  <c r="E919" i="2"/>
  <c r="D919" i="2"/>
  <c r="C919" i="2"/>
  <c r="B919" i="2"/>
  <c r="A919" i="2"/>
  <c r="E918" i="2"/>
  <c r="D918" i="2"/>
  <c r="C918" i="2"/>
  <c r="B918" i="2"/>
  <c r="A918" i="2"/>
  <c r="E917" i="2"/>
  <c r="D917" i="2"/>
  <c r="C917" i="2"/>
  <c r="B917" i="2"/>
  <c r="A917" i="2"/>
  <c r="E916" i="2"/>
  <c r="D916" i="2"/>
  <c r="C916" i="2"/>
  <c r="B916" i="2"/>
  <c r="A916" i="2"/>
  <c r="E915" i="2"/>
  <c r="D915" i="2"/>
  <c r="C915" i="2"/>
  <c r="B915" i="2"/>
  <c r="A915" i="2"/>
  <c r="E914" i="2"/>
  <c r="D914" i="2"/>
  <c r="C914" i="2"/>
  <c r="B914" i="2"/>
  <c r="A914" i="2"/>
  <c r="E913" i="2"/>
  <c r="D913" i="2"/>
  <c r="C913" i="2"/>
  <c r="B913" i="2"/>
  <c r="A913" i="2"/>
  <c r="E912" i="2"/>
  <c r="D912" i="2"/>
  <c r="C912" i="2"/>
  <c r="B912" i="2"/>
  <c r="A912" i="2"/>
  <c r="E911" i="2"/>
  <c r="D911" i="2"/>
  <c r="C911" i="2"/>
  <c r="B911" i="2"/>
  <c r="A911" i="2"/>
  <c r="E910" i="2"/>
  <c r="D910" i="2"/>
  <c r="C910" i="2"/>
  <c r="B910" i="2"/>
  <c r="A910" i="2"/>
  <c r="E909" i="2"/>
  <c r="D909" i="2"/>
  <c r="C909" i="2"/>
  <c r="B909" i="2"/>
  <c r="A909" i="2"/>
  <c r="E908" i="2"/>
  <c r="D908" i="2"/>
  <c r="C908" i="2"/>
  <c r="B908" i="2"/>
  <c r="A908" i="2"/>
  <c r="E907" i="2"/>
  <c r="D907" i="2"/>
  <c r="C907" i="2"/>
  <c r="B907" i="2"/>
  <c r="A907" i="2"/>
  <c r="E906" i="2"/>
  <c r="D906" i="2"/>
  <c r="C906" i="2"/>
  <c r="B906" i="2"/>
  <c r="A906" i="2"/>
  <c r="E905" i="2"/>
  <c r="D905" i="2"/>
  <c r="C905" i="2"/>
  <c r="B905" i="2"/>
  <c r="A905" i="2"/>
  <c r="E904" i="2"/>
  <c r="D904" i="2"/>
  <c r="C904" i="2"/>
  <c r="B904" i="2"/>
  <c r="A904" i="2"/>
  <c r="E903" i="2"/>
  <c r="D903" i="2"/>
  <c r="C903" i="2"/>
  <c r="B903" i="2"/>
  <c r="A903" i="2"/>
  <c r="E902" i="2"/>
  <c r="D902" i="2"/>
  <c r="C902" i="2"/>
  <c r="B902" i="2"/>
  <c r="A902" i="2"/>
  <c r="E901" i="2"/>
  <c r="D901" i="2"/>
  <c r="C901" i="2"/>
  <c r="B901" i="2"/>
  <c r="A901" i="2"/>
  <c r="E900" i="2"/>
  <c r="D900" i="2"/>
  <c r="C900" i="2"/>
  <c r="B900" i="2"/>
  <c r="A900" i="2"/>
  <c r="E899" i="2"/>
  <c r="D899" i="2"/>
  <c r="C899" i="2"/>
  <c r="B899" i="2"/>
  <c r="A899" i="2"/>
  <c r="E898" i="2"/>
  <c r="D898" i="2"/>
  <c r="C898" i="2"/>
  <c r="B898" i="2"/>
  <c r="A898" i="2"/>
  <c r="E897" i="2"/>
  <c r="D897" i="2"/>
  <c r="C897" i="2"/>
  <c r="B897" i="2"/>
  <c r="A897" i="2"/>
  <c r="E896" i="2"/>
  <c r="D896" i="2"/>
  <c r="C896" i="2"/>
  <c r="B896" i="2"/>
  <c r="A896" i="2"/>
  <c r="E895" i="2"/>
  <c r="D895" i="2"/>
  <c r="C895" i="2"/>
  <c r="B895" i="2"/>
  <c r="A895" i="2"/>
  <c r="E894" i="2"/>
  <c r="D894" i="2"/>
  <c r="C894" i="2"/>
  <c r="B894" i="2"/>
  <c r="A894" i="2"/>
  <c r="E893" i="2"/>
  <c r="D893" i="2"/>
  <c r="C893" i="2"/>
  <c r="B893" i="2"/>
  <c r="A893" i="2"/>
  <c r="E892" i="2"/>
  <c r="D892" i="2"/>
  <c r="C892" i="2"/>
  <c r="B892" i="2"/>
  <c r="A892" i="2"/>
  <c r="E891" i="2"/>
  <c r="D891" i="2"/>
  <c r="C891" i="2"/>
  <c r="B891" i="2"/>
  <c r="A891" i="2"/>
  <c r="E890" i="2"/>
  <c r="D890" i="2"/>
  <c r="C890" i="2"/>
  <c r="B890" i="2"/>
  <c r="A890" i="2"/>
  <c r="E889" i="2"/>
  <c r="D889" i="2"/>
  <c r="C889" i="2"/>
  <c r="B889" i="2"/>
  <c r="A889" i="2"/>
  <c r="E888" i="2"/>
  <c r="D888" i="2"/>
  <c r="C888" i="2"/>
  <c r="B888" i="2"/>
  <c r="A888" i="2"/>
  <c r="E887" i="2"/>
  <c r="D887" i="2"/>
  <c r="C887" i="2"/>
  <c r="B887" i="2"/>
  <c r="A887" i="2"/>
  <c r="E886" i="2"/>
  <c r="D886" i="2"/>
  <c r="C886" i="2"/>
  <c r="B886" i="2"/>
  <c r="A886" i="2"/>
  <c r="E885" i="2"/>
  <c r="D885" i="2"/>
  <c r="C885" i="2"/>
  <c r="B885" i="2"/>
  <c r="A885" i="2"/>
  <c r="E884" i="2"/>
  <c r="D884" i="2"/>
  <c r="C884" i="2"/>
  <c r="B884" i="2"/>
  <c r="A884" i="2"/>
  <c r="E883" i="2"/>
  <c r="D883" i="2"/>
  <c r="C883" i="2"/>
  <c r="B883" i="2"/>
  <c r="A883" i="2"/>
  <c r="E882" i="2"/>
  <c r="D882" i="2"/>
  <c r="C882" i="2"/>
  <c r="B882" i="2"/>
  <c r="A882" i="2"/>
  <c r="E881" i="2"/>
  <c r="D881" i="2"/>
  <c r="C881" i="2"/>
  <c r="B881" i="2"/>
  <c r="A881" i="2"/>
  <c r="E880" i="2"/>
  <c r="D880" i="2"/>
  <c r="C880" i="2"/>
  <c r="B880" i="2"/>
  <c r="A880" i="2"/>
  <c r="E879" i="2"/>
  <c r="D879" i="2"/>
  <c r="C879" i="2"/>
  <c r="B879" i="2"/>
  <c r="A879" i="2"/>
  <c r="E878" i="2"/>
  <c r="D878" i="2"/>
  <c r="C878" i="2"/>
  <c r="B878" i="2"/>
  <c r="A878" i="2"/>
  <c r="E877" i="2"/>
  <c r="D877" i="2"/>
  <c r="C877" i="2"/>
  <c r="B877" i="2"/>
  <c r="A877" i="2"/>
  <c r="E876" i="2"/>
  <c r="D876" i="2"/>
  <c r="C876" i="2"/>
  <c r="B876" i="2"/>
  <c r="A876" i="2"/>
  <c r="E875" i="2"/>
  <c r="D875" i="2"/>
  <c r="C875" i="2"/>
  <c r="B875" i="2"/>
  <c r="A875" i="2"/>
  <c r="E874" i="2"/>
  <c r="D874" i="2"/>
  <c r="C874" i="2"/>
  <c r="B874" i="2"/>
  <c r="A874" i="2"/>
  <c r="E873" i="2"/>
  <c r="D873" i="2"/>
  <c r="C873" i="2"/>
  <c r="B873" i="2"/>
  <c r="A873" i="2"/>
  <c r="E872" i="2"/>
  <c r="D872" i="2"/>
  <c r="C872" i="2"/>
  <c r="B872" i="2"/>
  <c r="A872" i="2"/>
  <c r="E871" i="2"/>
  <c r="D871" i="2"/>
  <c r="C871" i="2"/>
  <c r="B871" i="2"/>
  <c r="A871" i="2"/>
  <c r="E870" i="2"/>
  <c r="D870" i="2"/>
  <c r="C870" i="2"/>
  <c r="B870" i="2"/>
  <c r="A870" i="2"/>
  <c r="E869" i="2"/>
  <c r="D869" i="2"/>
  <c r="C869" i="2"/>
  <c r="B869" i="2"/>
  <c r="A869" i="2"/>
  <c r="E868" i="2"/>
  <c r="D868" i="2"/>
  <c r="C868" i="2"/>
  <c r="B868" i="2"/>
  <c r="A868" i="2"/>
  <c r="E867" i="2"/>
  <c r="D867" i="2"/>
  <c r="C867" i="2"/>
  <c r="B867" i="2"/>
  <c r="A867" i="2"/>
  <c r="E866" i="2"/>
  <c r="D866" i="2"/>
  <c r="C866" i="2"/>
  <c r="B866" i="2"/>
  <c r="A866" i="2"/>
  <c r="E865" i="2"/>
  <c r="D865" i="2"/>
  <c r="C865" i="2"/>
  <c r="B865" i="2"/>
  <c r="A865" i="2"/>
  <c r="E864" i="2"/>
  <c r="D864" i="2"/>
  <c r="C864" i="2"/>
  <c r="B864" i="2"/>
  <c r="A864" i="2"/>
  <c r="E863" i="2"/>
  <c r="D863" i="2"/>
  <c r="C863" i="2"/>
  <c r="B863" i="2"/>
  <c r="A863" i="2"/>
  <c r="E862" i="2"/>
  <c r="D862" i="2"/>
  <c r="C862" i="2"/>
  <c r="B862" i="2"/>
  <c r="A862" i="2"/>
  <c r="E861" i="2"/>
  <c r="D861" i="2"/>
  <c r="C861" i="2"/>
  <c r="B861" i="2"/>
  <c r="A861" i="2"/>
  <c r="E860" i="2"/>
  <c r="D860" i="2"/>
  <c r="C860" i="2"/>
  <c r="B860" i="2"/>
  <c r="A860" i="2"/>
  <c r="E859" i="2"/>
  <c r="D859" i="2"/>
  <c r="C859" i="2"/>
  <c r="B859" i="2"/>
  <c r="A859" i="2"/>
  <c r="E858" i="2"/>
  <c r="D858" i="2"/>
  <c r="C858" i="2"/>
  <c r="B858" i="2"/>
  <c r="A858" i="2"/>
  <c r="E857" i="2"/>
  <c r="D857" i="2"/>
  <c r="C857" i="2"/>
  <c r="B857" i="2"/>
  <c r="A857" i="2"/>
  <c r="E856" i="2"/>
  <c r="D856" i="2"/>
  <c r="C856" i="2"/>
  <c r="B856" i="2"/>
  <c r="A856" i="2"/>
  <c r="E855" i="2"/>
  <c r="D855" i="2"/>
  <c r="C855" i="2"/>
  <c r="B855" i="2"/>
  <c r="A855" i="2"/>
  <c r="E854" i="2"/>
  <c r="D854" i="2"/>
  <c r="C854" i="2"/>
  <c r="B854" i="2"/>
  <c r="A854" i="2"/>
  <c r="E853" i="2"/>
  <c r="D853" i="2"/>
  <c r="C853" i="2"/>
  <c r="B853" i="2"/>
  <c r="A853" i="2"/>
  <c r="E852" i="2"/>
  <c r="D852" i="2"/>
  <c r="C852" i="2"/>
  <c r="B852" i="2"/>
  <c r="A852" i="2"/>
  <c r="E851" i="2"/>
  <c r="D851" i="2"/>
  <c r="C851" i="2"/>
  <c r="B851" i="2"/>
  <c r="A851" i="2"/>
  <c r="E850" i="2"/>
  <c r="D850" i="2"/>
  <c r="C850" i="2"/>
  <c r="B850" i="2"/>
  <c r="A850" i="2"/>
  <c r="E849" i="2"/>
  <c r="D849" i="2"/>
  <c r="C849" i="2"/>
  <c r="B849" i="2"/>
  <c r="A849" i="2"/>
  <c r="E848" i="2"/>
  <c r="D848" i="2"/>
  <c r="C848" i="2"/>
  <c r="B848" i="2"/>
  <c r="A848" i="2"/>
  <c r="E847" i="2"/>
  <c r="D847" i="2"/>
  <c r="C847" i="2"/>
  <c r="B847" i="2"/>
  <c r="A847" i="2"/>
  <c r="E846" i="2"/>
  <c r="D846" i="2"/>
  <c r="C846" i="2"/>
  <c r="B846" i="2"/>
  <c r="A846" i="2"/>
  <c r="E845" i="2"/>
  <c r="D845" i="2"/>
  <c r="C845" i="2"/>
  <c r="B845" i="2"/>
  <c r="A845" i="2"/>
  <c r="E844" i="2"/>
  <c r="D844" i="2"/>
  <c r="C844" i="2"/>
  <c r="B844" i="2"/>
  <c r="A844" i="2"/>
  <c r="E843" i="2"/>
  <c r="D843" i="2"/>
  <c r="C843" i="2"/>
  <c r="B843" i="2"/>
  <c r="A843" i="2"/>
  <c r="E842" i="2"/>
  <c r="D842" i="2"/>
  <c r="C842" i="2"/>
  <c r="B842" i="2"/>
  <c r="A842" i="2"/>
  <c r="E841" i="2"/>
  <c r="D841" i="2"/>
  <c r="C841" i="2"/>
  <c r="B841" i="2"/>
  <c r="A841" i="2"/>
  <c r="E840" i="2"/>
  <c r="D840" i="2"/>
  <c r="C840" i="2"/>
  <c r="B840" i="2"/>
  <c r="A840" i="2"/>
  <c r="E839" i="2"/>
  <c r="D839" i="2"/>
  <c r="C839" i="2"/>
  <c r="B839" i="2"/>
  <c r="A839" i="2"/>
  <c r="E838" i="2"/>
  <c r="D838" i="2"/>
  <c r="C838" i="2"/>
  <c r="B838" i="2"/>
  <c r="A838" i="2"/>
  <c r="E837" i="2"/>
  <c r="D837" i="2"/>
  <c r="C837" i="2"/>
  <c r="B837" i="2"/>
  <c r="A837" i="2"/>
  <c r="E836" i="2"/>
  <c r="D836" i="2"/>
  <c r="C836" i="2"/>
  <c r="B836" i="2"/>
  <c r="A836" i="2"/>
  <c r="E835" i="2"/>
  <c r="D835" i="2"/>
  <c r="C835" i="2"/>
  <c r="B835" i="2"/>
  <c r="A835" i="2"/>
  <c r="E834" i="2"/>
  <c r="D834" i="2"/>
  <c r="C834" i="2"/>
  <c r="B834" i="2"/>
  <c r="A834" i="2"/>
  <c r="E833" i="2"/>
  <c r="D833" i="2"/>
  <c r="C833" i="2"/>
  <c r="B833" i="2"/>
  <c r="A833" i="2"/>
  <c r="E832" i="2"/>
  <c r="D832" i="2"/>
  <c r="C832" i="2"/>
  <c r="B832" i="2"/>
  <c r="A832" i="2"/>
  <c r="E831" i="2"/>
  <c r="D831" i="2"/>
  <c r="C831" i="2"/>
  <c r="B831" i="2"/>
  <c r="A831" i="2"/>
  <c r="E830" i="2"/>
  <c r="D830" i="2"/>
  <c r="C830" i="2"/>
  <c r="B830" i="2"/>
  <c r="A830" i="2"/>
  <c r="E829" i="2"/>
  <c r="D829" i="2"/>
  <c r="C829" i="2"/>
  <c r="B829" i="2"/>
  <c r="A829" i="2"/>
  <c r="E828" i="2"/>
  <c r="D828" i="2"/>
  <c r="C828" i="2"/>
  <c r="B828" i="2"/>
  <c r="A828" i="2"/>
  <c r="E827" i="2"/>
  <c r="D827" i="2"/>
  <c r="C827" i="2"/>
  <c r="B827" i="2"/>
  <c r="A827" i="2"/>
  <c r="E826" i="2"/>
  <c r="D826" i="2"/>
  <c r="C826" i="2"/>
  <c r="B826" i="2"/>
  <c r="A826" i="2"/>
  <c r="E825" i="2"/>
  <c r="D825" i="2"/>
  <c r="C825" i="2"/>
  <c r="B825" i="2"/>
  <c r="A825" i="2"/>
  <c r="E824" i="2"/>
  <c r="D824" i="2"/>
  <c r="C824" i="2"/>
  <c r="B824" i="2"/>
  <c r="A824" i="2"/>
  <c r="E823" i="2"/>
  <c r="D823" i="2"/>
  <c r="C823" i="2"/>
  <c r="B823" i="2"/>
  <c r="A823" i="2"/>
  <c r="E822" i="2"/>
  <c r="D822" i="2"/>
  <c r="C822" i="2"/>
  <c r="B822" i="2"/>
  <c r="A822" i="2"/>
  <c r="E821" i="2"/>
  <c r="D821" i="2"/>
  <c r="C821" i="2"/>
  <c r="B821" i="2"/>
  <c r="A821" i="2"/>
  <c r="E820" i="2"/>
  <c r="D820" i="2"/>
  <c r="C820" i="2"/>
  <c r="B820" i="2"/>
  <c r="A820" i="2"/>
  <c r="E819" i="2"/>
  <c r="D819" i="2"/>
  <c r="C819" i="2"/>
  <c r="B819" i="2"/>
  <c r="A819" i="2"/>
  <c r="E818" i="2"/>
  <c r="D818" i="2"/>
  <c r="C818" i="2"/>
  <c r="B818" i="2"/>
  <c r="A818" i="2"/>
  <c r="E817" i="2"/>
  <c r="D817" i="2"/>
  <c r="C817" i="2"/>
  <c r="B817" i="2"/>
  <c r="A817" i="2"/>
  <c r="E816" i="2"/>
  <c r="D816" i="2"/>
  <c r="C816" i="2"/>
  <c r="B816" i="2"/>
  <c r="A816" i="2"/>
  <c r="E815" i="2"/>
  <c r="D815" i="2"/>
  <c r="C815" i="2"/>
  <c r="B815" i="2"/>
  <c r="A815" i="2"/>
  <c r="E814" i="2"/>
  <c r="D814" i="2"/>
  <c r="C814" i="2"/>
  <c r="B814" i="2"/>
  <c r="A814" i="2"/>
  <c r="E813" i="2"/>
  <c r="D813" i="2"/>
  <c r="C813" i="2"/>
  <c r="B813" i="2"/>
  <c r="A813" i="2"/>
  <c r="E812" i="2"/>
  <c r="D812" i="2"/>
  <c r="C812" i="2"/>
  <c r="B812" i="2"/>
  <c r="A812" i="2"/>
  <c r="E811" i="2"/>
  <c r="D811" i="2"/>
  <c r="C811" i="2"/>
  <c r="B811" i="2"/>
  <c r="A811" i="2"/>
  <c r="E810" i="2"/>
  <c r="D810" i="2"/>
  <c r="C810" i="2"/>
  <c r="B810" i="2"/>
  <c r="A810" i="2"/>
  <c r="E809" i="2"/>
  <c r="D809" i="2"/>
  <c r="C809" i="2"/>
  <c r="B809" i="2"/>
  <c r="A809" i="2"/>
  <c r="E808" i="2"/>
  <c r="D808" i="2"/>
  <c r="C808" i="2"/>
  <c r="B808" i="2"/>
  <c r="A808" i="2"/>
  <c r="E807" i="2"/>
  <c r="D807" i="2"/>
  <c r="C807" i="2"/>
  <c r="B807" i="2"/>
  <c r="A807" i="2"/>
  <c r="E806" i="2"/>
  <c r="D806" i="2"/>
  <c r="C806" i="2"/>
  <c r="B806" i="2"/>
  <c r="A806" i="2"/>
  <c r="E805" i="2"/>
  <c r="D805" i="2"/>
  <c r="C805" i="2"/>
  <c r="B805" i="2"/>
  <c r="A805" i="2"/>
  <c r="E804" i="2"/>
  <c r="D804" i="2"/>
  <c r="C804" i="2"/>
  <c r="B804" i="2"/>
  <c r="A804" i="2"/>
  <c r="E803" i="2"/>
  <c r="D803" i="2"/>
  <c r="C803" i="2"/>
  <c r="B803" i="2"/>
  <c r="A803" i="2"/>
  <c r="E802" i="2"/>
  <c r="D802" i="2"/>
  <c r="C802" i="2"/>
  <c r="B802" i="2"/>
  <c r="A802" i="2"/>
  <c r="E801" i="2"/>
  <c r="D801" i="2"/>
  <c r="C801" i="2"/>
  <c r="B801" i="2"/>
  <c r="A801" i="2"/>
  <c r="E800" i="2"/>
  <c r="D800" i="2"/>
  <c r="C800" i="2"/>
  <c r="B800" i="2"/>
  <c r="A800" i="2"/>
  <c r="E799" i="2"/>
  <c r="D799" i="2"/>
  <c r="C799" i="2"/>
  <c r="B799" i="2"/>
  <c r="A799" i="2"/>
  <c r="E798" i="2"/>
  <c r="D798" i="2"/>
  <c r="C798" i="2"/>
  <c r="B798" i="2"/>
  <c r="A798" i="2"/>
  <c r="E797" i="2"/>
  <c r="D797" i="2"/>
  <c r="C797" i="2"/>
  <c r="B797" i="2"/>
  <c r="A797" i="2"/>
  <c r="E796" i="2"/>
  <c r="D796" i="2"/>
  <c r="C796" i="2"/>
  <c r="B796" i="2"/>
  <c r="A796" i="2"/>
  <c r="E795" i="2"/>
  <c r="D795" i="2"/>
  <c r="C795" i="2"/>
  <c r="B795" i="2"/>
  <c r="A795" i="2"/>
  <c r="E794" i="2"/>
  <c r="D794" i="2"/>
  <c r="C794" i="2"/>
  <c r="B794" i="2"/>
  <c r="A794" i="2"/>
  <c r="E793" i="2"/>
  <c r="D793" i="2"/>
  <c r="C793" i="2"/>
  <c r="B793" i="2"/>
  <c r="A793" i="2"/>
  <c r="E792" i="2"/>
  <c r="D792" i="2"/>
  <c r="C792" i="2"/>
  <c r="B792" i="2"/>
  <c r="A792" i="2"/>
  <c r="E791" i="2"/>
  <c r="D791" i="2"/>
  <c r="C791" i="2"/>
  <c r="B791" i="2"/>
  <c r="A791" i="2"/>
  <c r="E790" i="2"/>
  <c r="D790" i="2"/>
  <c r="C790" i="2"/>
  <c r="B790" i="2"/>
  <c r="A790" i="2"/>
  <c r="E789" i="2"/>
  <c r="D789" i="2"/>
  <c r="C789" i="2"/>
  <c r="B789" i="2"/>
  <c r="A789" i="2"/>
  <c r="E788" i="2"/>
  <c r="D788" i="2"/>
  <c r="C788" i="2"/>
  <c r="B788" i="2"/>
  <c r="A788" i="2"/>
  <c r="E787" i="2"/>
  <c r="D787" i="2"/>
  <c r="C787" i="2"/>
  <c r="B787" i="2"/>
  <c r="A787" i="2"/>
  <c r="E786" i="2"/>
  <c r="D786" i="2"/>
  <c r="C786" i="2"/>
  <c r="B786" i="2"/>
  <c r="A786" i="2"/>
  <c r="E785" i="2"/>
  <c r="D785" i="2"/>
  <c r="C785" i="2"/>
  <c r="B785" i="2"/>
  <c r="A785" i="2"/>
  <c r="E784" i="2"/>
  <c r="D784" i="2"/>
  <c r="C784" i="2"/>
  <c r="B784" i="2"/>
  <c r="A784" i="2"/>
  <c r="E783" i="2"/>
  <c r="D783" i="2"/>
  <c r="C783" i="2"/>
  <c r="B783" i="2"/>
  <c r="A783" i="2"/>
  <c r="E782" i="2"/>
  <c r="D782" i="2"/>
  <c r="C782" i="2"/>
  <c r="B782" i="2"/>
  <c r="A782" i="2"/>
  <c r="E781" i="2"/>
  <c r="D781" i="2"/>
  <c r="C781" i="2"/>
  <c r="B781" i="2"/>
  <c r="A781" i="2"/>
  <c r="E780" i="2"/>
  <c r="D780" i="2"/>
  <c r="C780" i="2"/>
  <c r="B780" i="2"/>
  <c r="A780" i="2"/>
  <c r="E779" i="2"/>
  <c r="D779" i="2"/>
  <c r="C779" i="2"/>
  <c r="B779" i="2"/>
  <c r="A779" i="2"/>
  <c r="E778" i="2"/>
  <c r="D778" i="2"/>
  <c r="C778" i="2"/>
  <c r="B778" i="2"/>
  <c r="A778" i="2"/>
  <c r="E777" i="2"/>
  <c r="D777" i="2"/>
  <c r="C777" i="2"/>
  <c r="B777" i="2"/>
  <c r="A777" i="2"/>
  <c r="E776" i="2"/>
  <c r="D776" i="2"/>
  <c r="C776" i="2"/>
  <c r="B776" i="2"/>
  <c r="A776" i="2"/>
  <c r="E775" i="2"/>
  <c r="D775" i="2"/>
  <c r="C775" i="2"/>
  <c r="B775" i="2"/>
  <c r="A775" i="2"/>
  <c r="E774" i="2"/>
  <c r="D774" i="2"/>
  <c r="C774" i="2"/>
  <c r="B774" i="2"/>
  <c r="A774" i="2"/>
  <c r="E773" i="2"/>
  <c r="D773" i="2"/>
  <c r="C773" i="2"/>
  <c r="B773" i="2"/>
  <c r="A773" i="2"/>
  <c r="E772" i="2"/>
  <c r="D772" i="2"/>
  <c r="C772" i="2"/>
  <c r="B772" i="2"/>
  <c r="A772" i="2"/>
  <c r="E771" i="2"/>
  <c r="D771" i="2"/>
  <c r="C771" i="2"/>
  <c r="B771" i="2"/>
  <c r="A771" i="2"/>
  <c r="E770" i="2"/>
  <c r="D770" i="2"/>
  <c r="C770" i="2"/>
  <c r="B770" i="2"/>
  <c r="A770" i="2"/>
  <c r="E769" i="2"/>
  <c r="D769" i="2"/>
  <c r="C769" i="2"/>
  <c r="B769" i="2"/>
  <c r="A769" i="2"/>
  <c r="E768" i="2"/>
  <c r="D768" i="2"/>
  <c r="C768" i="2"/>
  <c r="B768" i="2"/>
  <c r="A768" i="2"/>
  <c r="E767" i="2"/>
  <c r="D767" i="2"/>
  <c r="C767" i="2"/>
  <c r="B767" i="2"/>
  <c r="A767" i="2"/>
  <c r="E766" i="2"/>
  <c r="D766" i="2"/>
  <c r="C766" i="2"/>
  <c r="B766" i="2"/>
  <c r="A766" i="2"/>
  <c r="E765" i="2"/>
  <c r="D765" i="2"/>
  <c r="C765" i="2"/>
  <c r="B765" i="2"/>
  <c r="A765" i="2"/>
  <c r="E764" i="2"/>
  <c r="D764" i="2"/>
  <c r="C764" i="2"/>
  <c r="B764" i="2"/>
  <c r="A764" i="2"/>
  <c r="E763" i="2"/>
  <c r="D763" i="2"/>
  <c r="C763" i="2"/>
  <c r="B763" i="2"/>
  <c r="A763" i="2"/>
  <c r="E762" i="2"/>
  <c r="D762" i="2"/>
  <c r="C762" i="2"/>
  <c r="B762" i="2"/>
  <c r="A762" i="2"/>
  <c r="E761" i="2"/>
  <c r="D761" i="2"/>
  <c r="C761" i="2"/>
  <c r="B761" i="2"/>
  <c r="A761" i="2"/>
  <c r="E760" i="2"/>
  <c r="D760" i="2"/>
  <c r="C760" i="2"/>
  <c r="B760" i="2"/>
  <c r="A760" i="2"/>
  <c r="E759" i="2"/>
  <c r="D759" i="2"/>
  <c r="C759" i="2"/>
  <c r="B759" i="2"/>
  <c r="A759" i="2"/>
  <c r="E758" i="2"/>
  <c r="D758" i="2"/>
  <c r="C758" i="2"/>
  <c r="B758" i="2"/>
  <c r="A758" i="2"/>
  <c r="E757" i="2"/>
  <c r="D757" i="2"/>
  <c r="C757" i="2"/>
  <c r="B757" i="2"/>
  <c r="A757" i="2"/>
  <c r="E756" i="2"/>
  <c r="D756" i="2"/>
  <c r="C756" i="2"/>
  <c r="B756" i="2"/>
  <c r="A756" i="2"/>
  <c r="E755" i="2"/>
  <c r="D755" i="2"/>
  <c r="C755" i="2"/>
  <c r="B755" i="2"/>
  <c r="A755" i="2"/>
  <c r="E754" i="2"/>
  <c r="D754" i="2"/>
  <c r="C754" i="2"/>
  <c r="B754" i="2"/>
  <c r="A754" i="2"/>
  <c r="E753" i="2"/>
  <c r="D753" i="2"/>
  <c r="C753" i="2"/>
  <c r="B753" i="2"/>
  <c r="A753" i="2"/>
  <c r="E752" i="2"/>
  <c r="D752" i="2"/>
  <c r="C752" i="2"/>
  <c r="B752" i="2"/>
  <c r="A752" i="2"/>
  <c r="E751" i="2"/>
  <c r="D751" i="2"/>
  <c r="C751" i="2"/>
  <c r="B751" i="2"/>
  <c r="A751" i="2"/>
  <c r="E750" i="2"/>
  <c r="D750" i="2"/>
  <c r="C750" i="2"/>
  <c r="B750" i="2"/>
  <c r="A750" i="2"/>
  <c r="E749" i="2"/>
  <c r="D749" i="2"/>
  <c r="C749" i="2"/>
  <c r="B749" i="2"/>
  <c r="A749" i="2"/>
  <c r="E748" i="2"/>
  <c r="D748" i="2"/>
  <c r="C748" i="2"/>
  <c r="B748" i="2"/>
  <c r="A748" i="2"/>
  <c r="E747" i="2"/>
  <c r="D747" i="2"/>
  <c r="C747" i="2"/>
  <c r="B747" i="2"/>
  <c r="A747" i="2"/>
  <c r="E746" i="2"/>
  <c r="D746" i="2"/>
  <c r="C746" i="2"/>
  <c r="B746" i="2"/>
  <c r="A746" i="2"/>
  <c r="E745" i="2"/>
  <c r="D745" i="2"/>
  <c r="C745" i="2"/>
  <c r="B745" i="2"/>
  <c r="A745" i="2"/>
  <c r="E744" i="2"/>
  <c r="D744" i="2"/>
  <c r="C744" i="2"/>
  <c r="B744" i="2"/>
  <c r="A744" i="2"/>
  <c r="E743" i="2"/>
  <c r="D743" i="2"/>
  <c r="C743" i="2"/>
  <c r="B743" i="2"/>
  <c r="A743" i="2"/>
  <c r="E742" i="2"/>
  <c r="D742" i="2"/>
  <c r="C742" i="2"/>
  <c r="B742" i="2"/>
  <c r="A742" i="2"/>
  <c r="E741" i="2"/>
  <c r="D741" i="2"/>
  <c r="C741" i="2"/>
  <c r="B741" i="2"/>
  <c r="A741" i="2"/>
  <c r="E740" i="2"/>
  <c r="D740" i="2"/>
  <c r="C740" i="2"/>
  <c r="B740" i="2"/>
  <c r="A740" i="2"/>
  <c r="E739" i="2"/>
  <c r="D739" i="2"/>
  <c r="C739" i="2"/>
  <c r="B739" i="2"/>
  <c r="A739" i="2"/>
  <c r="E738" i="2"/>
  <c r="D738" i="2"/>
  <c r="C738" i="2"/>
  <c r="B738" i="2"/>
  <c r="A738" i="2"/>
  <c r="E737" i="2"/>
  <c r="D737" i="2"/>
  <c r="C737" i="2"/>
  <c r="B737" i="2"/>
  <c r="A737" i="2"/>
  <c r="E736" i="2"/>
  <c r="D736" i="2"/>
  <c r="C736" i="2"/>
  <c r="B736" i="2"/>
  <c r="A736" i="2"/>
  <c r="E735" i="2"/>
  <c r="D735" i="2"/>
  <c r="C735" i="2"/>
  <c r="B735" i="2"/>
  <c r="A735" i="2"/>
  <c r="E734" i="2"/>
  <c r="D734" i="2"/>
  <c r="C734" i="2"/>
  <c r="B734" i="2"/>
  <c r="A734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E717" i="2"/>
  <c r="D717" i="2"/>
  <c r="C717" i="2"/>
  <c r="B717" i="2"/>
  <c r="A717" i="2"/>
  <c r="E716" i="2"/>
  <c r="D716" i="2"/>
  <c r="C716" i="2"/>
  <c r="B716" i="2"/>
  <c r="A716" i="2"/>
  <c r="E715" i="2"/>
  <c r="D715" i="2"/>
  <c r="C715" i="2"/>
  <c r="B715" i="2"/>
  <c r="A715" i="2"/>
  <c r="E714" i="2"/>
  <c r="D714" i="2"/>
  <c r="C714" i="2"/>
  <c r="B714" i="2"/>
  <c r="A714" i="2"/>
  <c r="E713" i="2"/>
  <c r="D713" i="2"/>
  <c r="C713" i="2"/>
  <c r="B713" i="2"/>
  <c r="A713" i="2"/>
  <c r="E712" i="2"/>
  <c r="D712" i="2"/>
  <c r="C712" i="2"/>
  <c r="B712" i="2"/>
  <c r="A712" i="2"/>
  <c r="E711" i="2"/>
  <c r="D711" i="2"/>
  <c r="C711" i="2"/>
  <c r="B711" i="2"/>
  <c r="A711" i="2"/>
  <c r="E710" i="2"/>
  <c r="D710" i="2"/>
  <c r="C710" i="2"/>
  <c r="B710" i="2"/>
  <c r="A710" i="2"/>
  <c r="E709" i="2"/>
  <c r="D709" i="2"/>
  <c r="C709" i="2"/>
  <c r="B709" i="2"/>
  <c r="A709" i="2"/>
  <c r="E708" i="2"/>
  <c r="D708" i="2"/>
  <c r="C708" i="2"/>
  <c r="B708" i="2"/>
  <c r="A708" i="2"/>
  <c r="E707" i="2"/>
  <c r="D707" i="2"/>
  <c r="C707" i="2"/>
  <c r="B707" i="2"/>
  <c r="A707" i="2"/>
  <c r="E706" i="2"/>
  <c r="D706" i="2"/>
  <c r="C706" i="2"/>
  <c r="B706" i="2"/>
  <c r="A706" i="2"/>
  <c r="E705" i="2"/>
  <c r="D705" i="2"/>
  <c r="C705" i="2"/>
  <c r="B705" i="2"/>
  <c r="A705" i="2"/>
  <c r="E704" i="2"/>
  <c r="D704" i="2"/>
  <c r="C704" i="2"/>
  <c r="B704" i="2"/>
  <c r="A704" i="2"/>
  <c r="E703" i="2"/>
  <c r="D703" i="2"/>
  <c r="C703" i="2"/>
  <c r="B703" i="2"/>
  <c r="A703" i="2"/>
  <c r="E702" i="2"/>
  <c r="D702" i="2"/>
  <c r="C702" i="2"/>
  <c r="B702" i="2"/>
  <c r="A702" i="2"/>
  <c r="E701" i="2"/>
  <c r="D701" i="2"/>
  <c r="C701" i="2"/>
  <c r="B701" i="2"/>
  <c r="A701" i="2"/>
  <c r="E700" i="2"/>
  <c r="D700" i="2"/>
  <c r="C700" i="2"/>
  <c r="B700" i="2"/>
  <c r="A700" i="2"/>
  <c r="E699" i="2"/>
  <c r="D699" i="2"/>
  <c r="C699" i="2"/>
  <c r="B699" i="2"/>
  <c r="A699" i="2"/>
  <c r="E698" i="2"/>
  <c r="D698" i="2"/>
  <c r="C698" i="2"/>
  <c r="B698" i="2"/>
  <c r="A698" i="2"/>
  <c r="E697" i="2"/>
  <c r="D697" i="2"/>
  <c r="C697" i="2"/>
  <c r="B697" i="2"/>
  <c r="A697" i="2"/>
  <c r="E696" i="2"/>
  <c r="D696" i="2"/>
  <c r="C696" i="2"/>
  <c r="B696" i="2"/>
  <c r="A696" i="2"/>
  <c r="E695" i="2"/>
  <c r="D695" i="2"/>
  <c r="C695" i="2"/>
  <c r="B695" i="2"/>
  <c r="A695" i="2"/>
  <c r="E694" i="2"/>
  <c r="D694" i="2"/>
  <c r="C694" i="2"/>
  <c r="B694" i="2"/>
  <c r="A694" i="2"/>
  <c r="E693" i="2"/>
  <c r="D693" i="2"/>
  <c r="C693" i="2"/>
  <c r="B693" i="2"/>
  <c r="A693" i="2"/>
  <c r="E692" i="2"/>
  <c r="D692" i="2"/>
  <c r="C692" i="2"/>
  <c r="B692" i="2"/>
  <c r="A692" i="2"/>
  <c r="E691" i="2"/>
  <c r="D691" i="2"/>
  <c r="C691" i="2"/>
  <c r="B691" i="2"/>
  <c r="A691" i="2"/>
  <c r="E690" i="2"/>
  <c r="D690" i="2"/>
  <c r="C690" i="2"/>
  <c r="B690" i="2"/>
  <c r="A690" i="2"/>
  <c r="E689" i="2"/>
  <c r="D689" i="2"/>
  <c r="C689" i="2"/>
  <c r="B689" i="2"/>
  <c r="A689" i="2"/>
  <c r="E688" i="2"/>
  <c r="D688" i="2"/>
  <c r="C688" i="2"/>
  <c r="B688" i="2"/>
  <c r="A688" i="2"/>
  <c r="E687" i="2"/>
  <c r="D687" i="2"/>
  <c r="C687" i="2"/>
  <c r="B687" i="2"/>
  <c r="A687" i="2"/>
  <c r="E686" i="2"/>
  <c r="D686" i="2"/>
  <c r="C686" i="2"/>
  <c r="B686" i="2"/>
  <c r="A686" i="2"/>
  <c r="E685" i="2"/>
  <c r="D685" i="2"/>
  <c r="C685" i="2"/>
  <c r="B685" i="2"/>
  <c r="A685" i="2"/>
  <c r="E684" i="2"/>
  <c r="D684" i="2"/>
  <c r="C684" i="2"/>
  <c r="B684" i="2"/>
  <c r="A684" i="2"/>
  <c r="E683" i="2"/>
  <c r="D683" i="2"/>
  <c r="C683" i="2"/>
  <c r="B683" i="2"/>
  <c r="A683" i="2"/>
  <c r="E682" i="2"/>
  <c r="D682" i="2"/>
  <c r="C682" i="2"/>
  <c r="B682" i="2"/>
  <c r="A682" i="2"/>
  <c r="E681" i="2"/>
  <c r="D681" i="2"/>
  <c r="C681" i="2"/>
  <c r="B681" i="2"/>
  <c r="A681" i="2"/>
  <c r="E680" i="2"/>
  <c r="D680" i="2"/>
  <c r="C680" i="2"/>
  <c r="B680" i="2"/>
  <c r="A680" i="2"/>
  <c r="E679" i="2"/>
  <c r="D679" i="2"/>
  <c r="C679" i="2"/>
  <c r="B679" i="2"/>
  <c r="A679" i="2"/>
  <c r="E678" i="2"/>
  <c r="D678" i="2"/>
  <c r="C678" i="2"/>
  <c r="B678" i="2"/>
  <c r="A678" i="2"/>
  <c r="E677" i="2"/>
  <c r="D677" i="2"/>
  <c r="C677" i="2"/>
  <c r="B677" i="2"/>
  <c r="A677" i="2"/>
  <c r="E676" i="2"/>
  <c r="D676" i="2"/>
  <c r="C676" i="2"/>
  <c r="B676" i="2"/>
  <c r="A676" i="2"/>
  <c r="E675" i="2"/>
  <c r="D675" i="2"/>
  <c r="C675" i="2"/>
  <c r="B675" i="2"/>
  <c r="A675" i="2"/>
  <c r="E674" i="2"/>
  <c r="D674" i="2"/>
  <c r="C674" i="2"/>
  <c r="B674" i="2"/>
  <c r="A674" i="2"/>
  <c r="E673" i="2"/>
  <c r="D673" i="2"/>
  <c r="C673" i="2"/>
  <c r="B673" i="2"/>
  <c r="A673" i="2"/>
  <c r="E672" i="2"/>
  <c r="D672" i="2"/>
  <c r="C672" i="2"/>
  <c r="B672" i="2"/>
  <c r="A672" i="2"/>
  <c r="E671" i="2"/>
  <c r="D671" i="2"/>
  <c r="C671" i="2"/>
  <c r="B671" i="2"/>
  <c r="A671" i="2"/>
  <c r="E670" i="2"/>
  <c r="D670" i="2"/>
  <c r="C670" i="2"/>
  <c r="B670" i="2"/>
  <c r="A670" i="2"/>
  <c r="E669" i="2"/>
  <c r="D669" i="2"/>
  <c r="C669" i="2"/>
  <c r="B669" i="2"/>
  <c r="A669" i="2"/>
  <c r="E668" i="2"/>
  <c r="D668" i="2"/>
  <c r="C668" i="2"/>
  <c r="B668" i="2"/>
  <c r="A668" i="2"/>
  <c r="E667" i="2"/>
  <c r="D667" i="2"/>
  <c r="C667" i="2"/>
  <c r="B667" i="2"/>
  <c r="A667" i="2"/>
  <c r="E666" i="2"/>
  <c r="D666" i="2"/>
  <c r="C666" i="2"/>
  <c r="B666" i="2"/>
  <c r="A666" i="2"/>
  <c r="E665" i="2"/>
  <c r="D665" i="2"/>
  <c r="C665" i="2"/>
  <c r="B665" i="2"/>
  <c r="A665" i="2"/>
  <c r="E664" i="2"/>
  <c r="D664" i="2"/>
  <c r="C664" i="2"/>
  <c r="B664" i="2"/>
  <c r="A664" i="2"/>
  <c r="E663" i="2"/>
  <c r="D663" i="2"/>
  <c r="C663" i="2"/>
  <c r="B663" i="2"/>
  <c r="A663" i="2"/>
  <c r="E662" i="2"/>
  <c r="D662" i="2"/>
  <c r="C662" i="2"/>
  <c r="B662" i="2"/>
  <c r="A662" i="2"/>
  <c r="E661" i="2"/>
  <c r="D661" i="2"/>
  <c r="C661" i="2"/>
  <c r="B661" i="2"/>
  <c r="A661" i="2"/>
  <c r="E660" i="2"/>
  <c r="D660" i="2"/>
  <c r="C660" i="2"/>
  <c r="B660" i="2"/>
  <c r="A660" i="2"/>
  <c r="E659" i="2"/>
  <c r="D659" i="2"/>
  <c r="C659" i="2"/>
  <c r="B659" i="2"/>
  <c r="A659" i="2"/>
  <c r="E658" i="2"/>
  <c r="D658" i="2"/>
  <c r="C658" i="2"/>
  <c r="B658" i="2"/>
  <c r="A658" i="2"/>
  <c r="E657" i="2"/>
  <c r="D657" i="2"/>
  <c r="C657" i="2"/>
  <c r="B657" i="2"/>
  <c r="A657" i="2"/>
  <c r="E656" i="2"/>
  <c r="D656" i="2"/>
  <c r="C656" i="2"/>
  <c r="B656" i="2"/>
  <c r="A656" i="2"/>
  <c r="E655" i="2"/>
  <c r="D655" i="2"/>
  <c r="C655" i="2"/>
  <c r="B655" i="2"/>
  <c r="A655" i="2"/>
  <c r="E654" i="2"/>
  <c r="D654" i="2"/>
  <c r="C654" i="2"/>
  <c r="B654" i="2"/>
  <c r="A654" i="2"/>
  <c r="E653" i="2"/>
  <c r="D653" i="2"/>
  <c r="C653" i="2"/>
  <c r="B653" i="2"/>
  <c r="A653" i="2"/>
  <c r="E652" i="2"/>
  <c r="D652" i="2"/>
  <c r="C652" i="2"/>
  <c r="B652" i="2"/>
  <c r="A652" i="2"/>
  <c r="E651" i="2"/>
  <c r="D651" i="2"/>
  <c r="C651" i="2"/>
  <c r="B651" i="2"/>
  <c r="A651" i="2"/>
  <c r="E650" i="2"/>
  <c r="D650" i="2"/>
  <c r="C650" i="2"/>
  <c r="B650" i="2"/>
  <c r="A650" i="2"/>
  <c r="E649" i="2"/>
  <c r="D649" i="2"/>
  <c r="C649" i="2"/>
  <c r="B649" i="2"/>
  <c r="A649" i="2"/>
  <c r="E648" i="2"/>
  <c r="D648" i="2"/>
  <c r="C648" i="2"/>
  <c r="B648" i="2"/>
  <c r="A648" i="2"/>
  <c r="E647" i="2"/>
  <c r="D647" i="2"/>
  <c r="C647" i="2"/>
  <c r="B647" i="2"/>
  <c r="A647" i="2"/>
  <c r="E646" i="2"/>
  <c r="D646" i="2"/>
  <c r="C646" i="2"/>
  <c r="B646" i="2"/>
  <c r="A646" i="2"/>
  <c r="E645" i="2"/>
  <c r="D645" i="2"/>
  <c r="C645" i="2"/>
  <c r="B645" i="2"/>
  <c r="A645" i="2"/>
  <c r="E644" i="2"/>
  <c r="D644" i="2"/>
  <c r="C644" i="2"/>
  <c r="B644" i="2"/>
  <c r="A644" i="2"/>
  <c r="E643" i="2"/>
  <c r="D643" i="2"/>
  <c r="C643" i="2"/>
  <c r="B643" i="2"/>
  <c r="A643" i="2"/>
  <c r="E642" i="2"/>
  <c r="D642" i="2"/>
  <c r="C642" i="2"/>
  <c r="B642" i="2"/>
  <c r="A642" i="2"/>
  <c r="E641" i="2"/>
  <c r="D641" i="2"/>
  <c r="C641" i="2"/>
  <c r="B641" i="2"/>
  <c r="A641" i="2"/>
  <c r="E640" i="2"/>
  <c r="D640" i="2"/>
  <c r="C640" i="2"/>
  <c r="B640" i="2"/>
  <c r="A640" i="2"/>
  <c r="E639" i="2"/>
  <c r="D639" i="2"/>
  <c r="C639" i="2"/>
  <c r="B639" i="2"/>
  <c r="A639" i="2"/>
  <c r="E638" i="2"/>
  <c r="D638" i="2"/>
  <c r="C638" i="2"/>
  <c r="B638" i="2"/>
  <c r="A638" i="2"/>
  <c r="E637" i="2"/>
  <c r="D637" i="2"/>
  <c r="C637" i="2"/>
  <c r="B637" i="2"/>
  <c r="A637" i="2"/>
  <c r="E636" i="2"/>
  <c r="D636" i="2"/>
  <c r="C636" i="2"/>
  <c r="B636" i="2"/>
  <c r="A636" i="2"/>
  <c r="E635" i="2"/>
  <c r="D635" i="2"/>
  <c r="C635" i="2"/>
  <c r="B635" i="2"/>
  <c r="A635" i="2"/>
  <c r="E634" i="2"/>
  <c r="D634" i="2"/>
  <c r="C634" i="2"/>
  <c r="B634" i="2"/>
  <c r="A634" i="2"/>
  <c r="E633" i="2"/>
  <c r="D633" i="2"/>
  <c r="C633" i="2"/>
  <c r="B633" i="2"/>
  <c r="A633" i="2"/>
  <c r="E632" i="2"/>
  <c r="D632" i="2"/>
  <c r="C632" i="2"/>
  <c r="B632" i="2"/>
  <c r="A632" i="2"/>
  <c r="E631" i="2"/>
  <c r="D631" i="2"/>
  <c r="C631" i="2"/>
  <c r="B631" i="2"/>
  <c r="A631" i="2"/>
  <c r="E630" i="2"/>
  <c r="D630" i="2"/>
  <c r="C630" i="2"/>
  <c r="B630" i="2"/>
  <c r="A630" i="2"/>
  <c r="E629" i="2"/>
  <c r="D629" i="2"/>
  <c r="C629" i="2"/>
  <c r="B629" i="2"/>
  <c r="A629" i="2"/>
  <c r="E628" i="2"/>
  <c r="D628" i="2"/>
  <c r="C628" i="2"/>
  <c r="B628" i="2"/>
  <c r="A628" i="2"/>
  <c r="E627" i="2"/>
  <c r="D627" i="2"/>
  <c r="C627" i="2"/>
  <c r="B627" i="2"/>
  <c r="A627" i="2"/>
  <c r="E626" i="2"/>
  <c r="D626" i="2"/>
  <c r="C626" i="2"/>
  <c r="B626" i="2"/>
  <c r="A626" i="2"/>
  <c r="E625" i="2"/>
  <c r="D625" i="2"/>
  <c r="C625" i="2"/>
  <c r="B625" i="2"/>
  <c r="A625" i="2"/>
  <c r="E624" i="2"/>
  <c r="D624" i="2"/>
  <c r="C624" i="2"/>
  <c r="B624" i="2"/>
  <c r="A624" i="2"/>
  <c r="E623" i="2"/>
  <c r="D623" i="2"/>
  <c r="C623" i="2"/>
  <c r="B623" i="2"/>
  <c r="A623" i="2"/>
  <c r="E622" i="2"/>
  <c r="D622" i="2"/>
  <c r="C622" i="2"/>
  <c r="B622" i="2"/>
  <c r="A622" i="2"/>
  <c r="E621" i="2"/>
  <c r="D621" i="2"/>
  <c r="C621" i="2"/>
  <c r="B621" i="2"/>
  <c r="A621" i="2"/>
  <c r="E620" i="2"/>
  <c r="D620" i="2"/>
  <c r="C620" i="2"/>
  <c r="B620" i="2"/>
  <c r="A620" i="2"/>
  <c r="E619" i="2"/>
  <c r="D619" i="2"/>
  <c r="C619" i="2"/>
  <c r="B619" i="2"/>
  <c r="A619" i="2"/>
  <c r="E618" i="2"/>
  <c r="D618" i="2"/>
  <c r="C618" i="2"/>
  <c r="B618" i="2"/>
  <c r="A618" i="2"/>
  <c r="E617" i="2"/>
  <c r="D617" i="2"/>
  <c r="C617" i="2"/>
  <c r="B617" i="2"/>
  <c r="A617" i="2"/>
  <c r="E616" i="2"/>
  <c r="D616" i="2"/>
  <c r="C616" i="2"/>
  <c r="B616" i="2"/>
  <c r="A616" i="2"/>
  <c r="E615" i="2"/>
  <c r="D615" i="2"/>
  <c r="C615" i="2"/>
  <c r="B615" i="2"/>
  <c r="A615" i="2"/>
  <c r="E614" i="2"/>
  <c r="D614" i="2"/>
  <c r="C614" i="2"/>
  <c r="B614" i="2"/>
  <c r="A614" i="2"/>
  <c r="E613" i="2"/>
  <c r="D613" i="2"/>
  <c r="C613" i="2"/>
  <c r="B613" i="2"/>
  <c r="A613" i="2"/>
  <c r="E612" i="2"/>
  <c r="D612" i="2"/>
  <c r="C612" i="2"/>
  <c r="B612" i="2"/>
  <c r="A612" i="2"/>
  <c r="E611" i="2"/>
  <c r="D611" i="2"/>
  <c r="C611" i="2"/>
  <c r="B611" i="2"/>
  <c r="A611" i="2"/>
  <c r="E610" i="2"/>
  <c r="D610" i="2"/>
  <c r="C610" i="2"/>
  <c r="B610" i="2"/>
  <c r="A610" i="2"/>
  <c r="E609" i="2"/>
  <c r="D609" i="2"/>
  <c r="C609" i="2"/>
  <c r="B609" i="2"/>
  <c r="A609" i="2"/>
  <c r="E608" i="2"/>
  <c r="D608" i="2"/>
  <c r="C608" i="2"/>
  <c r="B608" i="2"/>
  <c r="A608" i="2"/>
  <c r="E607" i="2"/>
  <c r="D607" i="2"/>
  <c r="C607" i="2"/>
  <c r="B607" i="2"/>
  <c r="A607" i="2"/>
  <c r="E606" i="2"/>
  <c r="D606" i="2"/>
  <c r="C606" i="2"/>
  <c r="B606" i="2"/>
  <c r="A606" i="2"/>
  <c r="E605" i="2"/>
  <c r="D605" i="2"/>
  <c r="C605" i="2"/>
  <c r="B605" i="2"/>
  <c r="A605" i="2"/>
  <c r="E604" i="2"/>
  <c r="D604" i="2"/>
  <c r="C604" i="2"/>
  <c r="B604" i="2"/>
  <c r="A604" i="2"/>
  <c r="E603" i="2"/>
  <c r="D603" i="2"/>
  <c r="C603" i="2"/>
  <c r="B603" i="2"/>
  <c r="A603" i="2"/>
  <c r="E602" i="2"/>
  <c r="D602" i="2"/>
  <c r="C602" i="2"/>
  <c r="B602" i="2"/>
  <c r="A602" i="2"/>
  <c r="E601" i="2"/>
  <c r="D601" i="2"/>
  <c r="C601" i="2"/>
  <c r="B601" i="2"/>
  <c r="A601" i="2"/>
  <c r="E600" i="2"/>
  <c r="D600" i="2"/>
  <c r="C600" i="2"/>
  <c r="B600" i="2"/>
  <c r="A600" i="2"/>
  <c r="E599" i="2"/>
  <c r="D599" i="2"/>
  <c r="C599" i="2"/>
  <c r="B599" i="2"/>
  <c r="A599" i="2"/>
  <c r="E598" i="2"/>
  <c r="D598" i="2"/>
  <c r="C598" i="2"/>
  <c r="B598" i="2"/>
  <c r="A598" i="2"/>
  <c r="E597" i="2"/>
  <c r="D597" i="2"/>
  <c r="C597" i="2"/>
  <c r="B597" i="2"/>
  <c r="A597" i="2"/>
  <c r="E596" i="2"/>
  <c r="D596" i="2"/>
  <c r="C596" i="2"/>
  <c r="B596" i="2"/>
  <c r="A596" i="2"/>
  <c r="E595" i="2"/>
  <c r="D595" i="2"/>
  <c r="C595" i="2"/>
  <c r="B595" i="2"/>
  <c r="A595" i="2"/>
  <c r="E594" i="2"/>
  <c r="D594" i="2"/>
  <c r="C594" i="2"/>
  <c r="B594" i="2"/>
  <c r="A594" i="2"/>
  <c r="E593" i="2"/>
  <c r="D593" i="2"/>
  <c r="C593" i="2"/>
  <c r="B593" i="2"/>
  <c r="A593" i="2"/>
  <c r="E592" i="2"/>
  <c r="D592" i="2"/>
  <c r="C592" i="2"/>
  <c r="B592" i="2"/>
  <c r="A592" i="2"/>
  <c r="E591" i="2"/>
  <c r="D591" i="2"/>
  <c r="C591" i="2"/>
  <c r="B591" i="2"/>
  <c r="A591" i="2"/>
  <c r="E590" i="2"/>
  <c r="D590" i="2"/>
  <c r="C590" i="2"/>
  <c r="B590" i="2"/>
  <c r="A590" i="2"/>
  <c r="E589" i="2"/>
  <c r="D589" i="2"/>
  <c r="C589" i="2"/>
  <c r="B589" i="2"/>
  <c r="A589" i="2"/>
  <c r="E588" i="2"/>
  <c r="D588" i="2"/>
  <c r="C588" i="2"/>
  <c r="B588" i="2"/>
  <c r="A588" i="2"/>
  <c r="E587" i="2"/>
  <c r="D587" i="2"/>
  <c r="C587" i="2"/>
  <c r="B587" i="2"/>
  <c r="A587" i="2"/>
  <c r="E586" i="2"/>
  <c r="D586" i="2"/>
  <c r="C586" i="2"/>
  <c r="B586" i="2"/>
  <c r="A586" i="2"/>
  <c r="E585" i="2"/>
  <c r="D585" i="2"/>
  <c r="C585" i="2"/>
  <c r="B585" i="2"/>
  <c r="A585" i="2"/>
  <c r="E584" i="2"/>
  <c r="D584" i="2"/>
  <c r="C584" i="2"/>
  <c r="B584" i="2"/>
  <c r="A584" i="2"/>
  <c r="E583" i="2"/>
  <c r="D583" i="2"/>
  <c r="C583" i="2"/>
  <c r="B583" i="2"/>
  <c r="A583" i="2"/>
  <c r="E582" i="2"/>
  <c r="D582" i="2"/>
  <c r="C582" i="2"/>
  <c r="B582" i="2"/>
  <c r="A582" i="2"/>
  <c r="E581" i="2"/>
  <c r="D581" i="2"/>
  <c r="C581" i="2"/>
  <c r="B581" i="2"/>
  <c r="A581" i="2"/>
  <c r="E580" i="2"/>
  <c r="D580" i="2"/>
  <c r="C580" i="2"/>
  <c r="B580" i="2"/>
  <c r="A580" i="2"/>
  <c r="E579" i="2"/>
  <c r="D579" i="2"/>
  <c r="C579" i="2"/>
  <c r="B579" i="2"/>
  <c r="A579" i="2"/>
  <c r="E578" i="2"/>
  <c r="D578" i="2"/>
  <c r="C578" i="2"/>
  <c r="B578" i="2"/>
  <c r="A578" i="2"/>
  <c r="E577" i="2"/>
  <c r="D577" i="2"/>
  <c r="C577" i="2"/>
  <c r="B577" i="2"/>
  <c r="A577" i="2"/>
  <c r="E576" i="2"/>
  <c r="D576" i="2"/>
  <c r="C576" i="2"/>
  <c r="B576" i="2"/>
  <c r="A576" i="2"/>
  <c r="E575" i="2"/>
  <c r="D575" i="2"/>
  <c r="C575" i="2"/>
  <c r="B575" i="2"/>
  <c r="A575" i="2"/>
  <c r="E574" i="2"/>
  <c r="D574" i="2"/>
  <c r="C574" i="2"/>
  <c r="B574" i="2"/>
  <c r="A574" i="2"/>
  <c r="E573" i="2"/>
  <c r="D573" i="2"/>
  <c r="C573" i="2"/>
  <c r="B573" i="2"/>
  <c r="A573" i="2"/>
  <c r="E572" i="2"/>
  <c r="D572" i="2"/>
  <c r="C572" i="2"/>
  <c r="B572" i="2"/>
  <c r="A572" i="2"/>
  <c r="E571" i="2"/>
  <c r="D571" i="2"/>
  <c r="C571" i="2"/>
  <c r="B571" i="2"/>
  <c r="A571" i="2"/>
  <c r="E570" i="2"/>
  <c r="D570" i="2"/>
  <c r="C570" i="2"/>
  <c r="B570" i="2"/>
  <c r="A570" i="2"/>
  <c r="E569" i="2"/>
  <c r="D569" i="2"/>
  <c r="C569" i="2"/>
  <c r="B569" i="2"/>
  <c r="A569" i="2"/>
  <c r="E568" i="2"/>
  <c r="D568" i="2"/>
  <c r="C568" i="2"/>
  <c r="B568" i="2"/>
  <c r="A568" i="2"/>
  <c r="E567" i="2"/>
  <c r="D567" i="2"/>
  <c r="C567" i="2"/>
  <c r="B567" i="2"/>
  <c r="A567" i="2"/>
  <c r="E566" i="2"/>
  <c r="D566" i="2"/>
  <c r="C566" i="2"/>
  <c r="B566" i="2"/>
  <c r="A566" i="2"/>
  <c r="E565" i="2"/>
  <c r="D565" i="2"/>
  <c r="C565" i="2"/>
  <c r="B565" i="2"/>
  <c r="A565" i="2"/>
  <c r="E564" i="2"/>
  <c r="D564" i="2"/>
  <c r="C564" i="2"/>
  <c r="B564" i="2"/>
  <c r="A564" i="2"/>
  <c r="E563" i="2"/>
  <c r="D563" i="2"/>
  <c r="C563" i="2"/>
  <c r="B563" i="2"/>
  <c r="A563" i="2"/>
  <c r="E562" i="2"/>
  <c r="D562" i="2"/>
  <c r="C562" i="2"/>
  <c r="B562" i="2"/>
  <c r="A562" i="2"/>
  <c r="E561" i="2"/>
  <c r="D561" i="2"/>
  <c r="C561" i="2"/>
  <c r="B561" i="2"/>
  <c r="A561" i="2"/>
  <c r="E560" i="2"/>
  <c r="D560" i="2"/>
  <c r="C560" i="2"/>
  <c r="B560" i="2"/>
  <c r="A560" i="2"/>
  <c r="E559" i="2"/>
  <c r="D559" i="2"/>
  <c r="C559" i="2"/>
  <c r="B559" i="2"/>
  <c r="A559" i="2"/>
  <c r="E558" i="2"/>
  <c r="D558" i="2"/>
  <c r="C558" i="2"/>
  <c r="B558" i="2"/>
  <c r="A558" i="2"/>
  <c r="E557" i="2"/>
  <c r="D557" i="2"/>
  <c r="C557" i="2"/>
  <c r="B557" i="2"/>
  <c r="A557" i="2"/>
  <c r="E556" i="2"/>
  <c r="D556" i="2"/>
  <c r="C556" i="2"/>
  <c r="B556" i="2"/>
  <c r="A556" i="2"/>
  <c r="E555" i="2"/>
  <c r="D555" i="2"/>
  <c r="C555" i="2"/>
  <c r="B555" i="2"/>
  <c r="A555" i="2"/>
  <c r="E554" i="2"/>
  <c r="D554" i="2"/>
  <c r="C554" i="2"/>
  <c r="B554" i="2"/>
  <c r="A554" i="2"/>
  <c r="E553" i="2"/>
  <c r="D553" i="2"/>
  <c r="C553" i="2"/>
  <c r="B553" i="2"/>
  <c r="A553" i="2"/>
  <c r="E552" i="2"/>
  <c r="D552" i="2"/>
  <c r="C552" i="2"/>
  <c r="B552" i="2"/>
  <c r="A552" i="2"/>
  <c r="E551" i="2"/>
  <c r="D551" i="2"/>
  <c r="C551" i="2"/>
  <c r="B551" i="2"/>
  <c r="A551" i="2"/>
  <c r="E550" i="2"/>
  <c r="D550" i="2"/>
  <c r="C550" i="2"/>
  <c r="B550" i="2"/>
  <c r="A550" i="2"/>
  <c r="E549" i="2"/>
  <c r="D549" i="2"/>
  <c r="C549" i="2"/>
  <c r="B549" i="2"/>
  <c r="A549" i="2"/>
  <c r="E548" i="2"/>
  <c r="D548" i="2"/>
  <c r="C548" i="2"/>
  <c r="B548" i="2"/>
  <c r="A548" i="2"/>
  <c r="E547" i="2"/>
  <c r="D547" i="2"/>
  <c r="C547" i="2"/>
  <c r="B547" i="2"/>
  <c r="A547" i="2"/>
  <c r="E546" i="2"/>
  <c r="D546" i="2"/>
  <c r="C546" i="2"/>
  <c r="B546" i="2"/>
  <c r="A546" i="2"/>
  <c r="E545" i="2"/>
  <c r="D545" i="2"/>
  <c r="C545" i="2"/>
  <c r="B545" i="2"/>
  <c r="A545" i="2"/>
  <c r="E544" i="2"/>
  <c r="D544" i="2"/>
  <c r="C544" i="2"/>
  <c r="B544" i="2"/>
  <c r="A544" i="2"/>
  <c r="E543" i="2"/>
  <c r="D543" i="2"/>
  <c r="C543" i="2"/>
  <c r="B543" i="2"/>
  <c r="A543" i="2"/>
  <c r="E542" i="2"/>
  <c r="D542" i="2"/>
  <c r="C542" i="2"/>
  <c r="B542" i="2"/>
  <c r="A542" i="2"/>
  <c r="E541" i="2"/>
  <c r="D541" i="2"/>
  <c r="C541" i="2"/>
  <c r="B541" i="2"/>
  <c r="A541" i="2"/>
  <c r="E540" i="2"/>
  <c r="D540" i="2"/>
  <c r="C540" i="2"/>
  <c r="B540" i="2"/>
  <c r="A540" i="2"/>
  <c r="E539" i="2"/>
  <c r="D539" i="2"/>
  <c r="C539" i="2"/>
  <c r="B539" i="2"/>
  <c r="A539" i="2"/>
  <c r="E538" i="2"/>
  <c r="D538" i="2"/>
  <c r="C538" i="2"/>
  <c r="B538" i="2"/>
  <c r="A538" i="2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F1312" i="3"/>
  <c r="F1405" i="3"/>
  <c r="F1309" i="3"/>
  <c r="F1190" i="3"/>
  <c r="F1256" i="3"/>
  <c r="F1664" i="3"/>
  <c r="F1586" i="3"/>
  <c r="F1446" i="3"/>
  <c r="F1442" i="3"/>
  <c r="F1323" i="3"/>
  <c r="F1503" i="3"/>
  <c r="F1531" i="3"/>
  <c r="F1863" i="3"/>
  <c r="F1560" i="3"/>
  <c r="F1528" i="3"/>
  <c r="F1547" i="3"/>
  <c r="F1626" i="3"/>
  <c r="F1955" i="3"/>
  <c r="F1708" i="3"/>
  <c r="F1880" i="3"/>
  <c r="F1889" i="3"/>
  <c r="F1834" i="3"/>
  <c r="F1835" i="3"/>
  <c r="F2153" i="3"/>
  <c r="F1962" i="3"/>
  <c r="F2061" i="3"/>
  <c r="F1993" i="3"/>
  <c r="F1996" i="3"/>
  <c r="F2113" i="3"/>
  <c r="F2177" i="3"/>
  <c r="F1150" i="3"/>
  <c r="F1282" i="3"/>
  <c r="F1289" i="3"/>
  <c r="F1184" i="3"/>
  <c r="F1148" i="3"/>
  <c r="F1137" i="3"/>
  <c r="F1221" i="3"/>
  <c r="F1315" i="3"/>
  <c r="F1173" i="3"/>
  <c r="F1257" i="3"/>
  <c r="F1278" i="3"/>
  <c r="F1375" i="3"/>
  <c r="F1411" i="3"/>
  <c r="F1339" i="3"/>
  <c r="F1262" i="3"/>
  <c r="F1293" i="3"/>
  <c r="F1298" i="3"/>
  <c r="F1226" i="3"/>
  <c r="F1304" i="3"/>
  <c r="F1484" i="3"/>
  <c r="F1279" i="3"/>
  <c r="F1592" i="3"/>
  <c r="F1556" i="3"/>
  <c r="F1520" i="3"/>
  <c r="F1380" i="3"/>
  <c r="F1448" i="3"/>
  <c r="F1416" i="3"/>
  <c r="F1308" i="3"/>
  <c r="F1412" i="3"/>
  <c r="F1344" i="3"/>
  <c r="F1340" i="3"/>
  <c r="F1376" i="3"/>
  <c r="F1447" i="3"/>
  <c r="F1343" i="3"/>
  <c r="F1379" i="3"/>
  <c r="F1452" i="3"/>
  <c r="F1451" i="3"/>
  <c r="F1426" i="3"/>
  <c r="F1462" i="3"/>
  <c r="F1390" i="3"/>
  <c r="F1354" i="3"/>
  <c r="F1318" i="3"/>
  <c r="F1415" i="3"/>
  <c r="F1365" i="3"/>
  <c r="F1545" i="3"/>
  <c r="F1401" i="3"/>
  <c r="F1501" i="3"/>
  <c r="F1509" i="3"/>
  <c r="F1617" i="3"/>
  <c r="F1581" i="3"/>
  <c r="F1437" i="3"/>
  <c r="F1473" i="3"/>
  <c r="F1329" i="3"/>
  <c r="F1602" i="3"/>
  <c r="F1643" i="3"/>
  <c r="F1570" i="3"/>
  <c r="F1566" i="3"/>
  <c r="F1494" i="3"/>
  <c r="F1606" i="3"/>
  <c r="F1609" i="3"/>
  <c r="F1660" i="3"/>
  <c r="F1573" i="3"/>
  <c r="F1537" i="3"/>
  <c r="F1641" i="3"/>
  <c r="F1589" i="3"/>
  <c r="F1553" i="3"/>
  <c r="F1481" i="3"/>
  <c r="F1530" i="3"/>
  <c r="F1706" i="3"/>
  <c r="F1625" i="3"/>
  <c r="F1634" i="3"/>
  <c r="F1534" i="3"/>
  <c r="F1670" i="3"/>
  <c r="F1517" i="3"/>
  <c r="F1498" i="3"/>
  <c r="F1742" i="3"/>
  <c r="F1737" i="3"/>
  <c r="F1773" i="3"/>
  <c r="F1864" i="3"/>
  <c r="F1701" i="3"/>
  <c r="F1699" i="3"/>
  <c r="F1632" i="3"/>
  <c r="F1645" i="3"/>
  <c r="F1668" i="3"/>
  <c r="F1778" i="3"/>
  <c r="F1804" i="3"/>
  <c r="F1771" i="3"/>
  <c r="F1840" i="3"/>
  <c r="F1735" i="3"/>
  <c r="F1734" i="3"/>
  <c r="F1697" i="3"/>
  <c r="F1841" i="3"/>
  <c r="F1805" i="3"/>
  <c r="F1869" i="3"/>
  <c r="F1733" i="3"/>
  <c r="F1770" i="3"/>
  <c r="F1698" i="3"/>
  <c r="F1856" i="3"/>
  <c r="F1849" i="3"/>
  <c r="F1797" i="3"/>
  <c r="F1678" i="3"/>
  <c r="F1833" i="3"/>
  <c r="F1714" i="3"/>
  <c r="F1769" i="3"/>
  <c r="F1813" i="3"/>
  <c r="F1820" i="3"/>
  <c r="F1750" i="3"/>
  <c r="F1786" i="3"/>
  <c r="F1860" i="3"/>
  <c r="F2040" i="3"/>
  <c r="F1824" i="3"/>
  <c r="F1890" i="3"/>
  <c r="F1893" i="3"/>
  <c r="F1933" i="3"/>
  <c r="F1898" i="3"/>
  <c r="F1886" i="3"/>
  <c r="F2004" i="3"/>
  <c r="F1984" i="3"/>
  <c r="F1932" i="3"/>
  <c r="F1948" i="3"/>
  <c r="F1995" i="3"/>
  <c r="F1912" i="3"/>
  <c r="F1961" i="3"/>
  <c r="F1969" i="3"/>
  <c r="F1925" i="3"/>
  <c r="F1895" i="3"/>
  <c r="F1885" i="3"/>
  <c r="F2066" i="3"/>
  <c r="F2051" i="3"/>
  <c r="F1999" i="3"/>
  <c r="F2015" i="3"/>
  <c r="F1964" i="3"/>
  <c r="F2081" i="3"/>
  <c r="F2068" i="3"/>
  <c r="F2035" i="3"/>
  <c r="F2097" i="3"/>
  <c r="F2086" i="3"/>
  <c r="F2096" i="3"/>
  <c r="F2123" i="3"/>
  <c r="F2133" i="3"/>
  <c r="F2002" i="3"/>
  <c r="F2077" i="3"/>
  <c r="F2159" i="3"/>
  <c r="F2167" i="3"/>
  <c r="F2138" i="3"/>
  <c r="F2183" i="3"/>
  <c r="F2130" i="3"/>
  <c r="F2119" i="3"/>
  <c r="F2174" i="3"/>
  <c r="F2088" i="3"/>
  <c r="F1193" i="3"/>
  <c r="F2166" i="3"/>
  <c r="F1229" i="3"/>
  <c r="F2176" i="3"/>
  <c r="F1157" i="3"/>
  <c r="F2155" i="3"/>
  <c r="F1180" i="3"/>
  <c r="F2140" i="3"/>
  <c r="F1242" i="3"/>
  <c r="F1206" i="3"/>
  <c r="F1147" i="3"/>
  <c r="F1144" i="3"/>
  <c r="F1211" i="3"/>
  <c r="F1261" i="3"/>
  <c r="F1224" i="3"/>
  <c r="F1273" i="3"/>
  <c r="F1478" i="3"/>
  <c r="F1370" i="3"/>
  <c r="F1251" i="3"/>
  <c r="F1179" i="3"/>
  <c r="F1410" i="3"/>
  <c r="F1183" i="3"/>
  <c r="F1467" i="3"/>
  <c r="F1524" i="3"/>
  <c r="F1654" i="3"/>
  <c r="F1637" i="3"/>
  <c r="F1772" i="3"/>
  <c r="F1495" i="3"/>
  <c r="F1445" i="3"/>
  <c r="F1456" i="3"/>
  <c r="F1764" i="3"/>
  <c r="F1807" i="3"/>
  <c r="F1887" i="3"/>
  <c r="F1871" i="3"/>
  <c r="F1765" i="3"/>
  <c r="F1763" i="3"/>
  <c r="F1731" i="3"/>
  <c r="F1475" i="3"/>
  <c r="F1231" i="3"/>
  <c r="F1283" i="3"/>
  <c r="F1167" i="3"/>
  <c r="F2161" i="3"/>
  <c r="F2124" i="3"/>
  <c r="F2075" i="3"/>
  <c r="F2091" i="3"/>
  <c r="F1978" i="3"/>
  <c r="F1227" i="3"/>
  <c r="F1264" i="3"/>
  <c r="F1178" i="3"/>
  <c r="F1248" i="3"/>
  <c r="F1276" i="3"/>
  <c r="F1142" i="3"/>
  <c r="F1284" i="3"/>
  <c r="F1321" i="3"/>
  <c r="F1285" i="3"/>
  <c r="F1232" i="3"/>
  <c r="F1299" i="3"/>
  <c r="F1263" i="3"/>
  <c r="F1453" i="3"/>
  <c r="F1598" i="3"/>
  <c r="F1310" i="3"/>
  <c r="F1345" i="3"/>
  <c r="F1314" i="3"/>
  <c r="F1417" i="3"/>
  <c r="F1381" i="3"/>
  <c r="F1268" i="3"/>
  <c r="F1307" i="3"/>
  <c r="F1454" i="3"/>
  <c r="F1490" i="3"/>
  <c r="F1562" i="3"/>
  <c r="F1382" i="3"/>
  <c r="F1526" i="3"/>
  <c r="F1458" i="3"/>
  <c r="F1421" i="3"/>
  <c r="F1422" i="3"/>
  <c r="F1349" i="3"/>
  <c r="F1386" i="3"/>
  <c r="F1350" i="3"/>
  <c r="F1385" i="3"/>
  <c r="F1418" i="3"/>
  <c r="F1346" i="3"/>
  <c r="F1335" i="3"/>
  <c r="F1468" i="3"/>
  <c r="F1457" i="3"/>
  <c r="F1432" i="3"/>
  <c r="F1396" i="3"/>
  <c r="F1551" i="3"/>
  <c r="F1360" i="3"/>
  <c r="F1324" i="3"/>
  <c r="F1536" i="3"/>
  <c r="F1587" i="3"/>
  <c r="F1479" i="3"/>
  <c r="F1443" i="3"/>
  <c r="F1371" i="3"/>
  <c r="F1407" i="3"/>
  <c r="F1504" i="3"/>
  <c r="F1576" i="3"/>
  <c r="F1500" i="3"/>
  <c r="F1572" i="3"/>
  <c r="F1543" i="3"/>
  <c r="F1579" i="3"/>
  <c r="F1507" i="3"/>
  <c r="F1515" i="3"/>
  <c r="F1559" i="3"/>
  <c r="F1595" i="3"/>
  <c r="F1487" i="3"/>
  <c r="F1608" i="3"/>
  <c r="F1523" i="3"/>
  <c r="F1676" i="3"/>
  <c r="F1540" i="3"/>
  <c r="F1712" i="3"/>
  <c r="F1748" i="3"/>
  <c r="F1640" i="3"/>
  <c r="F1784" i="3"/>
  <c r="F1649" i="3"/>
  <c r="F1666" i="3"/>
  <c r="F1651" i="3"/>
  <c r="F1612" i="3"/>
  <c r="F1779" i="3"/>
  <c r="F1743" i="3"/>
  <c r="F1671" i="3"/>
  <c r="F1705" i="3"/>
  <c r="F1707" i="3"/>
  <c r="F1638" i="3"/>
  <c r="F1777" i="3"/>
  <c r="F1739" i="3"/>
  <c r="F1810" i="3"/>
  <c r="F1811" i="3"/>
  <c r="F1703" i="3"/>
  <c r="F1826" i="3"/>
  <c r="F1704" i="3"/>
  <c r="F1870" i="3"/>
  <c r="F1741" i="3"/>
  <c r="F1862" i="3"/>
  <c r="F1892" i="3"/>
  <c r="F1830" i="3"/>
  <c r="F1792" i="3"/>
  <c r="F1775" i="3"/>
  <c r="F1839" i="3"/>
  <c r="F1855" i="3"/>
  <c r="F1803" i="3"/>
  <c r="F1819" i="3"/>
  <c r="F1756" i="3"/>
  <c r="F1776" i="3"/>
  <c r="F1720" i="3"/>
  <c r="F1740" i="3"/>
  <c r="F1684" i="3"/>
  <c r="F1846" i="3"/>
  <c r="F1847" i="3"/>
  <c r="F1866" i="3"/>
  <c r="F1876" i="3"/>
  <c r="F1904" i="3"/>
  <c r="F1938" i="3"/>
  <c r="F1963" i="3"/>
  <c r="F1901" i="3"/>
  <c r="F1896" i="3"/>
  <c r="F1974" i="3"/>
  <c r="F2010" i="3"/>
  <c r="F1891" i="3"/>
  <c r="F2046" i="3"/>
  <c r="F1928" i="3"/>
  <c r="F1931" i="3"/>
  <c r="F1977" i="3"/>
  <c r="F1905" i="3"/>
  <c r="F1975" i="3"/>
  <c r="F1967" i="3"/>
  <c r="F1918" i="3"/>
  <c r="F1939" i="3"/>
  <c r="F2087" i="3"/>
  <c r="F2169" i="3"/>
  <c r="F2163" i="3"/>
  <c r="F2057" i="3"/>
  <c r="F2008" i="3"/>
  <c r="F1934" i="3"/>
  <c r="F2005" i="3"/>
  <c r="F1941" i="3"/>
  <c r="F2021" i="3"/>
  <c r="F2012" i="3"/>
  <c r="F2067" i="3"/>
  <c r="F2001" i="3"/>
  <c r="F2129" i="3"/>
  <c r="F2103" i="3"/>
  <c r="F2044" i="3"/>
  <c r="F2092" i="3"/>
  <c r="F2139" i="3"/>
  <c r="F2102" i="3"/>
  <c r="F2034" i="3"/>
  <c r="F2048" i="3"/>
  <c r="F2125" i="3"/>
  <c r="F2083" i="3"/>
  <c r="F2108" i="3"/>
  <c r="F2094" i="3"/>
  <c r="F2136" i="3"/>
  <c r="F1174" i="3"/>
  <c r="F2146" i="3"/>
  <c r="F1622" i="3"/>
  <c r="F2172" i="3"/>
  <c r="F2144" i="3"/>
  <c r="F1187" i="3"/>
  <c r="F1141" i="3"/>
  <c r="F1441" i="3"/>
  <c r="F1292" i="3"/>
  <c r="F1138" i="3"/>
  <c r="F1207" i="3"/>
  <c r="F1288" i="3"/>
  <c r="F2182" i="3"/>
  <c r="F2110" i="3"/>
  <c r="F1628" i="3"/>
  <c r="F1647" i="3"/>
  <c r="F1215" i="3"/>
  <c r="F1204" i="3"/>
  <c r="F1302" i="3"/>
  <c r="F1177" i="3"/>
  <c r="F1240" i="3"/>
  <c r="F1151" i="3"/>
  <c r="F1222" i="3"/>
  <c r="F1258" i="3"/>
  <c r="F1492" i="3"/>
  <c r="F1575" i="3"/>
  <c r="F1348" i="3"/>
  <c r="F1511" i="3"/>
  <c r="F1798" i="3"/>
  <c r="F1488" i="3"/>
  <c r="F1639" i="3"/>
  <c r="F1767" i="3"/>
  <c r="F1359" i="3"/>
  <c r="F1672" i="3"/>
  <c r="F2090" i="3"/>
  <c r="F1213" i="3"/>
  <c r="F1827" i="3"/>
  <c r="F1879" i="3"/>
  <c r="F1799" i="3"/>
  <c r="F2032" i="3"/>
  <c r="F2082" i="3"/>
  <c r="F1246" i="3"/>
  <c r="F1843" i="3"/>
  <c r="F1965" i="3"/>
  <c r="F1900" i="3"/>
  <c r="F2029" i="3"/>
  <c r="F2045" i="3"/>
  <c r="F1919" i="3"/>
  <c r="F1202" i="3"/>
  <c r="F1172" i="3"/>
  <c r="F1136" i="3"/>
  <c r="F1277" i="3"/>
  <c r="F2160" i="3"/>
  <c r="F1238" i="3"/>
  <c r="F1269" i="3"/>
  <c r="F1270" i="3"/>
  <c r="F1254" i="3"/>
  <c r="F1161" i="3"/>
  <c r="F1352" i="3"/>
  <c r="F1464" i="3"/>
  <c r="F1233" i="3"/>
  <c r="F1274" i="3"/>
  <c r="F1316" i="3"/>
  <c r="F1197" i="3"/>
  <c r="F1604" i="3"/>
  <c r="F1290" i="3"/>
  <c r="F1459" i="3"/>
  <c r="F1532" i="3"/>
  <c r="F1387" i="3"/>
  <c r="F1423" i="3"/>
  <c r="F1291" i="3"/>
  <c r="F1351" i="3"/>
  <c r="F1313" i="3"/>
  <c r="F1388" i="3"/>
  <c r="F1424" i="3"/>
  <c r="F1485" i="3"/>
  <c r="F1320" i="3"/>
  <c r="F1496" i="3"/>
  <c r="F1568" i="3"/>
  <c r="F1392" i="3"/>
  <c r="F1428" i="3"/>
  <c r="F1330" i="3"/>
  <c r="F1355" i="3"/>
  <c r="F1391" i="3"/>
  <c r="F1356" i="3"/>
  <c r="F1427" i="3"/>
  <c r="F1463" i="3"/>
  <c r="F1460" i="3"/>
  <c r="F1366" i="3"/>
  <c r="F1305" i="3"/>
  <c r="F1621" i="3"/>
  <c r="F1557" i="3"/>
  <c r="F1377" i="3"/>
  <c r="F1341" i="3"/>
  <c r="F1521" i="3"/>
  <c r="F1337" i="3"/>
  <c r="F1438" i="3"/>
  <c r="F1413" i="3"/>
  <c r="F1402" i="3"/>
  <c r="F1477" i="3"/>
  <c r="F1513" i="3"/>
  <c r="F1593" i="3"/>
  <c r="F1449" i="3"/>
  <c r="F1549" i="3"/>
  <c r="F1542" i="3"/>
  <c r="F1546" i="3"/>
  <c r="F1493" i="3"/>
  <c r="F1585" i="3"/>
  <c r="F1506" i="3"/>
  <c r="F1718" i="3"/>
  <c r="F1529" i="3"/>
  <c r="F1618" i="3"/>
  <c r="F1636" i="3"/>
  <c r="F1225" i="3"/>
  <c r="F1582" i="3"/>
  <c r="F1510" i="3"/>
  <c r="F1565" i="3"/>
  <c r="F1601" i="3"/>
  <c r="F1653" i="3"/>
  <c r="F1614" i="3"/>
  <c r="F1578" i="3"/>
  <c r="F1711" i="3"/>
  <c r="F1832" i="3"/>
  <c r="F1790" i="3"/>
  <c r="F1677" i="3"/>
  <c r="F1657" i="3"/>
  <c r="F1749" i="3"/>
  <c r="F1785" i="3"/>
  <c r="F1754" i="3"/>
  <c r="F1747" i="3"/>
  <c r="F1682" i="3"/>
  <c r="F1655" i="3"/>
  <c r="F1646" i="3"/>
  <c r="F1474" i="3"/>
  <c r="F2089" i="3"/>
  <c r="F2131" i="3"/>
  <c r="F2106" i="3"/>
  <c r="F2100" i="3"/>
  <c r="F2178" i="3"/>
  <c r="F2179" i="3"/>
  <c r="F2142" i="3"/>
  <c r="F2116" i="3"/>
  <c r="F2114" i="3"/>
  <c r="F2109" i="3"/>
  <c r="F1916" i="3"/>
  <c r="F1930" i="3"/>
  <c r="F2018" i="3"/>
  <c r="F2145" i="3"/>
  <c r="F2098" i="3"/>
  <c r="F2054" i="3"/>
  <c r="F2027" i="3"/>
  <c r="F2063" i="3"/>
  <c r="F1991" i="3"/>
  <c r="F2072" i="3"/>
  <c r="F1160" i="3"/>
  <c r="F2181" i="3"/>
  <c r="F2050" i="3"/>
  <c r="F2093" i="3"/>
  <c r="F2135" i="3"/>
  <c r="F2173" i="3"/>
  <c r="F2073" i="3"/>
  <c r="F1976" i="3"/>
  <c r="F1911" i="3"/>
  <c r="F1983" i="3"/>
  <c r="F1960" i="3"/>
  <c r="F2014" i="3"/>
  <c r="F1924" i="3"/>
  <c r="F1947" i="3"/>
  <c r="F1717" i="3"/>
  <c r="F1937" i="3"/>
  <c r="F1973" i="3"/>
  <c r="F1909" i="3"/>
  <c r="F2016" i="3"/>
  <c r="F1981" i="3"/>
  <c r="F1940" i="3"/>
  <c r="F1902" i="3"/>
  <c r="F1929" i="3"/>
  <c r="F1897" i="3"/>
  <c r="F1980" i="3"/>
  <c r="F1944" i="3"/>
  <c r="F1908" i="3"/>
  <c r="F1945" i="3"/>
  <c r="F2052" i="3"/>
  <c r="F1800" i="3"/>
  <c r="F1861" i="3"/>
  <c r="F1836" i="3"/>
  <c r="F1845" i="3"/>
  <c r="F1825" i="3"/>
  <c r="F1882" i="3"/>
  <c r="F1809" i="3"/>
  <c r="F1796" i="3"/>
  <c r="F1868" i="3"/>
  <c r="F1872" i="3"/>
  <c r="F1781" i="3"/>
  <c r="F1690" i="3"/>
  <c r="F1745" i="3"/>
  <c r="F1762" i="3"/>
  <c r="F1817" i="3"/>
  <c r="F1673" i="3"/>
  <c r="F1726" i="3"/>
  <c r="F1816" i="3"/>
  <c r="F1853" i="3"/>
  <c r="F1709" i="3"/>
  <c r="F1710" i="3"/>
  <c r="F1782" i="3"/>
  <c r="F1783" i="3"/>
  <c r="F1675" i="3"/>
  <c r="F1746" i="3"/>
  <c r="F1674" i="3"/>
  <c r="F1623" i="3"/>
  <c r="F1644" i="3"/>
  <c r="F1713" i="3"/>
  <c r="F1223" i="3"/>
  <c r="F1255" i="3"/>
  <c r="F1241" i="3"/>
  <c r="F1145" i="3"/>
  <c r="F2152" i="3"/>
  <c r="F1236" i="3"/>
  <c r="F2150" i="3"/>
  <c r="F1200" i="3"/>
  <c r="F1181" i="3"/>
  <c r="F1218" i="3"/>
  <c r="F1168" i="3"/>
  <c r="F1287" i="3"/>
  <c r="F1265" i="3"/>
  <c r="F1205" i="3"/>
  <c r="F1514" i="3"/>
  <c r="F1171" i="3"/>
  <c r="F1338" i="3"/>
  <c r="F1135" i="3"/>
  <c r="F1295" i="3"/>
  <c r="F1143" i="3"/>
  <c r="F1700" i="3"/>
  <c r="F1567" i="3"/>
  <c r="F1395" i="3"/>
  <c r="F1333" i="3"/>
  <c r="F1539" i="3"/>
  <c r="F1373" i="3"/>
  <c r="F1334" i="3"/>
  <c r="F1818" i="3"/>
  <c r="F1691" i="3"/>
  <c r="F1814" i="3"/>
  <c r="F1662" i="3"/>
  <c r="F1596" i="3"/>
  <c r="F2065" i="3"/>
  <c r="F1564" i="3"/>
  <c r="F1583" i="3"/>
  <c r="F1384" i="3"/>
  <c r="F1954" i="3"/>
  <c r="F1926" i="3"/>
  <c r="F2011" i="3"/>
  <c r="F1744" i="3"/>
  <c r="F1210" i="3"/>
  <c r="F1692" i="3"/>
  <c r="F1922" i="3"/>
  <c r="F1693" i="3"/>
  <c r="F2117" i="3"/>
  <c r="F1989" i="3"/>
  <c r="F1163" i="3"/>
  <c r="F1906" i="3"/>
  <c r="F1935" i="3"/>
  <c r="F2007" i="3"/>
  <c r="F2170" i="3"/>
  <c r="F1884" i="3"/>
  <c r="F2149" i="3"/>
  <c r="F2127" i="3"/>
  <c r="F1260" i="3"/>
  <c r="F1275" i="3"/>
  <c r="F1239" i="3"/>
  <c r="F1153" i="3"/>
  <c r="F1191" i="3"/>
  <c r="F1271" i="3"/>
  <c r="F1166" i="3"/>
  <c r="F1300" i="3"/>
  <c r="F1155" i="3"/>
  <c r="F2168" i="3"/>
  <c r="F1319" i="3"/>
  <c r="F1393" i="3"/>
  <c r="F1244" i="3"/>
  <c r="F1297" i="3"/>
  <c r="F1208" i="3"/>
  <c r="F1203" i="3"/>
  <c r="F1357" i="3"/>
  <c r="F1296" i="3"/>
  <c r="F1538" i="3"/>
  <c r="F1610" i="3"/>
  <c r="F1502" i="3"/>
  <c r="F1574" i="3"/>
  <c r="F1429" i="3"/>
  <c r="F1465" i="3"/>
  <c r="F1280" i="3"/>
  <c r="F1358" i="3"/>
  <c r="F1394" i="3"/>
  <c r="F1466" i="3"/>
  <c r="F1398" i="3"/>
  <c r="F1362" i="3"/>
  <c r="F1434" i="3"/>
  <c r="F1430" i="3"/>
  <c r="F1326" i="3"/>
  <c r="F1322" i="3"/>
  <c r="F1336" i="3"/>
  <c r="F1433" i="3"/>
  <c r="F1444" i="3"/>
  <c r="F1469" i="3"/>
  <c r="F1408" i="3"/>
  <c r="F1361" i="3"/>
  <c r="F1397" i="3"/>
  <c r="F1470" i="3"/>
  <c r="F1419" i="3"/>
  <c r="F1383" i="3"/>
  <c r="F1311" i="3"/>
  <c r="F1347" i="3"/>
  <c r="F1455" i="3"/>
  <c r="F1491" i="3"/>
  <c r="F1372" i="3"/>
  <c r="F1483" i="3"/>
  <c r="F1519" i="3"/>
  <c r="F1599" i="3"/>
  <c r="F1527" i="3"/>
  <c r="F1512" i="3"/>
  <c r="F1584" i="3"/>
  <c r="F1555" i="3"/>
  <c r="F1563" i="3"/>
  <c r="F1591" i="3"/>
  <c r="F1659" i="3"/>
  <c r="F1476" i="3"/>
  <c r="F1552" i="3"/>
  <c r="F1620" i="3"/>
  <c r="F1535" i="3"/>
  <c r="F1548" i="3"/>
  <c r="F1499" i="3"/>
  <c r="F1688" i="3"/>
  <c r="F1630" i="3"/>
  <c r="F1516" i="3"/>
  <c r="F1624" i="3"/>
  <c r="F1661" i="3"/>
  <c r="F1760" i="3"/>
  <c r="F1724" i="3"/>
  <c r="F1607" i="3"/>
  <c r="F1588" i="3"/>
  <c r="F1480" i="3"/>
  <c r="F1571" i="3"/>
  <c r="F1755" i="3"/>
  <c r="F1650" i="3"/>
  <c r="F1719" i="3"/>
  <c r="F1683" i="3"/>
  <c r="F1663" i="3"/>
  <c r="F1627" i="3"/>
  <c r="F1652" i="3"/>
  <c r="F1791" i="3"/>
  <c r="F1753" i="3"/>
  <c r="F1681" i="3"/>
  <c r="F1716" i="3"/>
  <c r="F1788" i="3"/>
  <c r="F1680" i="3"/>
  <c r="F1752" i="3"/>
  <c r="F1789" i="3"/>
  <c r="F1822" i="3"/>
  <c r="F1802" i="3"/>
  <c r="F1715" i="3"/>
  <c r="F1851" i="3"/>
  <c r="F1732" i="3"/>
  <c r="F1787" i="3"/>
  <c r="F1751" i="3"/>
  <c r="F1679" i="3"/>
  <c r="F1823" i="3"/>
  <c r="F1768" i="3"/>
  <c r="F1859" i="3"/>
  <c r="F1986" i="3"/>
  <c r="F1806" i="3"/>
  <c r="F1875" i="3"/>
  <c r="F1815" i="3"/>
  <c r="F1838" i="3"/>
  <c r="F1867" i="3"/>
  <c r="F1899" i="3"/>
  <c r="F1874" i="3"/>
  <c r="F2058" i="3"/>
  <c r="F1903" i="3"/>
  <c r="F1888" i="3"/>
  <c r="F1914" i="3"/>
  <c r="F1842" i="3"/>
  <c r="F1950" i="3"/>
  <c r="F2000" i="3"/>
  <c r="F1951" i="3"/>
  <c r="F1968" i="3"/>
  <c r="F1943" i="3"/>
  <c r="F1877" i="3"/>
  <c r="F1917" i="3"/>
  <c r="F1979" i="3"/>
  <c r="F1953" i="3"/>
  <c r="F1915" i="3"/>
  <c r="F1966" i="3"/>
  <c r="F1907" i="3"/>
  <c r="F2033" i="3"/>
  <c r="F1997" i="3"/>
  <c r="F2056" i="3"/>
  <c r="F2017" i="3"/>
  <c r="F1910" i="3"/>
  <c r="F2020" i="3"/>
  <c r="F1982" i="3"/>
  <c r="F2175" i="3"/>
  <c r="F2038" i="3"/>
  <c r="F2053" i="3"/>
  <c r="F1946" i="3"/>
  <c r="F2099" i="3"/>
  <c r="F2031" i="3"/>
  <c r="F2060" i="3"/>
  <c r="F2115" i="3"/>
  <c r="F2049" i="3"/>
  <c r="F2141" i="3"/>
  <c r="F2013" i="3"/>
  <c r="F2078" i="3"/>
  <c r="F2151" i="3"/>
  <c r="F2104" i="3"/>
  <c r="F1988" i="3"/>
  <c r="F2070" i="3"/>
  <c r="F2079" i="3"/>
  <c r="F2095" i="3"/>
  <c r="F2105" i="3"/>
  <c r="F2165" i="3"/>
  <c r="F1219" i="3"/>
  <c r="F1406" i="3"/>
  <c r="F2156" i="3"/>
  <c r="F2158" i="3"/>
  <c r="F2137" i="3"/>
  <c r="F1175" i="3"/>
  <c r="F1259" i="3"/>
  <c r="F2112" i="3"/>
  <c r="F1198" i="3"/>
  <c r="F1201" i="3"/>
  <c r="F1237" i="3"/>
  <c r="F1162" i="3"/>
  <c r="F2120" i="3"/>
  <c r="F1234" i="3"/>
  <c r="F1858" i="3"/>
  <c r="F1139" i="3"/>
  <c r="F2122" i="3"/>
  <c r="F2148" i="3"/>
  <c r="F1272" i="3"/>
  <c r="F1369" i="3"/>
  <c r="F1550" i="3"/>
  <c r="F1216" i="3"/>
  <c r="F1220" i="3"/>
  <c r="F1154" i="3"/>
  <c r="F2042" i="3"/>
  <c r="F1165" i="3"/>
  <c r="F1252" i="3"/>
  <c r="F1374" i="3"/>
  <c r="F1420" i="3"/>
  <c r="F1409" i="3"/>
  <c r="F1431" i="3"/>
  <c r="F1635" i="3"/>
  <c r="F1600" i="3"/>
  <c r="F1611" i="3"/>
  <c r="F1247" i="3"/>
  <c r="F1854" i="3"/>
  <c r="F1727" i="3"/>
  <c r="F2080" i="3"/>
  <c r="F1958" i="3"/>
  <c r="F1780" i="3"/>
  <c r="F1927" i="3"/>
  <c r="F1998" i="3"/>
  <c r="F1603" i="3"/>
  <c r="F1619" i="3"/>
  <c r="F1695" i="3"/>
  <c r="F1729" i="3"/>
  <c r="F1736" i="3"/>
  <c r="F1728" i="3"/>
  <c r="F2071" i="3"/>
  <c r="F1228" i="3"/>
  <c r="F2025" i="3"/>
  <c r="F1189" i="3"/>
  <c r="F1942" i="3"/>
  <c r="F2134" i="3"/>
  <c r="F2009" i="3"/>
  <c r="F2132" i="3"/>
  <c r="F1850" i="3"/>
  <c r="F1301" i="3"/>
  <c r="F1186" i="3"/>
  <c r="F1294" i="3"/>
  <c r="F1185" i="3"/>
  <c r="F1196" i="3"/>
  <c r="F1149" i="3"/>
  <c r="F1435" i="3"/>
  <c r="F1508" i="3"/>
  <c r="F1544" i="3"/>
  <c r="F1580" i="3"/>
  <c r="F1363" i="3"/>
  <c r="F1436" i="3"/>
  <c r="F1214" i="3"/>
  <c r="F1327" i="3"/>
  <c r="F1303" i="3"/>
  <c r="F1471" i="3"/>
  <c r="F1250" i="3"/>
  <c r="F1281" i="3"/>
  <c r="F1266" i="3"/>
  <c r="F1245" i="3"/>
  <c r="F1209" i="3"/>
  <c r="F1615" i="3"/>
  <c r="F1440" i="3"/>
  <c r="F1364" i="3"/>
  <c r="F1328" i="3"/>
  <c r="F1472" i="3"/>
  <c r="F1325" i="3"/>
  <c r="F1400" i="3"/>
  <c r="F1616" i="3"/>
  <c r="F1399" i="3"/>
  <c r="F1332" i="3"/>
  <c r="F1286" i="3"/>
  <c r="F1367" i="3"/>
  <c r="F1331" i="3"/>
  <c r="F1404" i="3"/>
  <c r="F1368" i="3"/>
  <c r="F1403" i="3"/>
  <c r="F1414" i="3"/>
  <c r="F1342" i="3"/>
  <c r="F1461" i="3"/>
  <c r="F1561" i="3"/>
  <c r="F1533" i="3"/>
  <c r="F1597" i="3"/>
  <c r="F1425" i="3"/>
  <c r="F1518" i="3"/>
  <c r="F1450" i="3"/>
  <c r="F1605" i="3"/>
  <c r="F1353" i="3"/>
  <c r="F1378" i="3"/>
  <c r="F1569" i="3"/>
  <c r="F1389" i="3"/>
  <c r="F1306" i="3"/>
  <c r="F1439" i="3"/>
  <c r="F1317" i="3"/>
  <c r="F1665" i="3"/>
  <c r="F1629" i="3"/>
  <c r="F1505" i="3"/>
  <c r="F1554" i="3"/>
  <c r="F1590" i="3"/>
  <c r="F1482" i="3"/>
  <c r="F1489" i="3"/>
  <c r="F1525" i="3"/>
  <c r="F1497" i="3"/>
  <c r="F1577" i="3"/>
  <c r="F1613" i="3"/>
  <c r="F1541" i="3"/>
  <c r="F1648" i="3"/>
  <c r="F1486" i="3"/>
  <c r="F1522" i="3"/>
  <c r="F1759" i="3"/>
  <c r="F1812" i="3"/>
  <c r="F1852" i="3"/>
  <c r="F1761" i="3"/>
  <c r="F1687" i="3"/>
  <c r="F1658" i="3"/>
  <c r="F1633" i="3"/>
  <c r="F1689" i="3"/>
  <c r="F1774" i="3"/>
  <c r="F1730" i="3"/>
  <c r="F1667" i="3"/>
  <c r="F1594" i="3"/>
  <c r="F1766" i="3"/>
  <c r="F1669" i="3"/>
  <c r="F1558" i="3"/>
  <c r="F1694" i="3"/>
  <c r="F1631" i="3"/>
  <c r="F1685" i="3"/>
  <c r="F1794" i="3"/>
  <c r="F1686" i="3"/>
  <c r="F1725" i="3"/>
  <c r="F1828" i="3"/>
  <c r="F1795" i="3"/>
  <c r="F1723" i="3"/>
  <c r="F1656" i="3"/>
  <c r="F1857" i="3"/>
  <c r="F1758" i="3"/>
  <c r="F1757" i="3"/>
  <c r="F1829" i="3"/>
  <c r="F1722" i="3"/>
  <c r="F1844" i="3"/>
  <c r="F1848" i="3"/>
  <c r="F1808" i="3"/>
  <c r="F2043" i="3"/>
  <c r="F2028" i="3"/>
  <c r="F1865" i="3"/>
  <c r="F1821" i="3"/>
  <c r="F1878" i="3"/>
  <c r="F1920" i="3"/>
  <c r="F1801" i="3"/>
  <c r="F1793" i="3"/>
  <c r="F1881" i="3"/>
  <c r="F1721" i="3"/>
  <c r="F2037" i="3"/>
  <c r="F1702" i="3"/>
  <c r="F2064" i="3"/>
  <c r="F1642" i="3"/>
  <c r="F1936" i="3"/>
  <c r="F2069" i="3"/>
  <c r="F1949" i="3"/>
  <c r="F1972" i="3"/>
  <c r="F1957" i="3"/>
  <c r="F1873" i="3"/>
  <c r="F1992" i="3"/>
  <c r="F1921" i="3"/>
  <c r="F1894" i="3"/>
  <c r="F1956" i="3"/>
  <c r="F1883" i="3"/>
  <c r="F1837" i="3"/>
  <c r="F1738" i="3"/>
  <c r="F1959" i="3"/>
  <c r="F1971" i="3"/>
  <c r="F1913" i="3"/>
  <c r="F1985" i="3"/>
  <c r="F1156" i="3"/>
  <c r="F2026" i="3"/>
  <c r="F2041" i="3"/>
  <c r="F2126" i="3"/>
  <c r="F2047" i="3"/>
  <c r="F2022" i="3"/>
  <c r="F2154" i="3"/>
  <c r="F2143" i="3"/>
  <c r="F2059" i="3"/>
  <c r="F2162" i="3"/>
  <c r="F2076" i="3"/>
  <c r="F2147" i="3"/>
  <c r="F2107" i="3"/>
  <c r="F2157" i="3"/>
  <c r="F2085" i="3"/>
  <c r="F2128" i="3"/>
  <c r="F2101" i="3"/>
  <c r="F2118" i="3"/>
  <c r="F2180" i="3"/>
  <c r="F1169" i="3"/>
  <c r="F2121" i="3"/>
  <c r="F2030" i="3"/>
  <c r="F2074" i="3"/>
  <c r="F1696" i="3"/>
  <c r="F2055" i="3"/>
  <c r="F1990" i="3"/>
  <c r="F2036" i="3"/>
  <c r="F2062" i="3"/>
  <c r="F2084" i="3"/>
  <c r="F2039" i="3"/>
  <c r="F2111" i="3"/>
  <c r="F1923" i="3"/>
  <c r="F1994" i="3"/>
  <c r="F1952" i="3"/>
  <c r="F2006" i="3"/>
  <c r="F1970" i="3"/>
  <c r="F2019" i="3"/>
  <c r="F2003" i="3"/>
  <c r="F2024" i="3"/>
  <c r="F1987" i="3"/>
  <c r="F2023" i="3"/>
  <c r="F1235" i="3"/>
  <c r="F1176" i="3"/>
  <c r="F1146" i="3"/>
  <c r="F1253" i="3"/>
  <c r="F1158" i="3"/>
  <c r="F2164" i="3"/>
  <c r="F1243" i="3"/>
  <c r="F1188" i="3"/>
  <c r="F1159" i="3"/>
  <c r="F1249" i="3"/>
  <c r="F1267" i="3"/>
  <c r="F1230" i="3"/>
  <c r="F1192" i="3"/>
  <c r="F1164" i="3"/>
  <c r="F1140" i="3"/>
  <c r="F1195" i="3"/>
  <c r="F1134" i="3"/>
  <c r="F1199" i="3"/>
  <c r="F1831" i="3"/>
  <c r="F2171" i="3"/>
  <c r="F1217" i="3"/>
  <c r="F1170" i="3"/>
  <c r="F1152" i="3"/>
  <c r="F1194" i="3"/>
  <c r="F1182" i="3"/>
  <c r="F1212" i="3"/>
  <c r="C2206" i="3"/>
  <c r="C2208" i="3"/>
  <c r="C2204" i="3"/>
  <c r="A1126" i="3"/>
  <c r="B2192" i="3" l="1"/>
  <c r="B2198" i="3"/>
  <c r="B2206" i="3"/>
  <c r="B2200" i="3"/>
  <c r="B2208" i="3"/>
  <c r="B2196" i="3"/>
  <c r="B2204" i="3"/>
  <c r="D2202" i="3" l="1"/>
  <c r="D2203" i="3" s="1"/>
  <c r="C2202" i="3"/>
  <c r="C2203" i="3" s="1"/>
  <c r="B2202" i="3"/>
  <c r="B2203" i="3" s="1"/>
  <c r="F2202" i="3"/>
  <c r="F2203" i="3" s="1"/>
  <c r="G2202" i="3"/>
  <c r="G2203" i="3" s="1"/>
  <c r="E2202" i="3"/>
  <c r="E2203" i="3" s="1"/>
  <c r="D2210" i="3"/>
  <c r="D2211" i="3" s="1"/>
  <c r="C2210" i="3"/>
  <c r="C2211" i="3" s="1"/>
  <c r="B2210" i="3"/>
  <c r="B2211" i="3" s="1"/>
  <c r="G2210" i="3"/>
  <c r="G2211" i="3" s="1"/>
  <c r="F2210" i="3"/>
  <c r="F2211" i="3" s="1"/>
  <c r="E2210" i="3"/>
  <c r="E2211" i="3" s="1"/>
  <c r="L2" i="3" l="1"/>
  <c r="G2" i="3"/>
  <c r="H2" i="3"/>
  <c r="M2" i="3"/>
  <c r="J2" i="3"/>
  <c r="O2" i="3"/>
  <c r="I2" i="3"/>
  <c r="N2" i="3"/>
  <c r="F2" i="3"/>
  <c r="K2" i="3"/>
  <c r="J151" i="3"/>
  <c r="J153" i="3"/>
  <c r="J155" i="3"/>
  <c r="J157" i="3"/>
  <c r="J159" i="3"/>
  <c r="J161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J213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343" i="3"/>
  <c r="J345" i="3"/>
  <c r="J347" i="3"/>
  <c r="J349" i="3"/>
  <c r="J351" i="3"/>
  <c r="J353" i="3"/>
  <c r="J355" i="3"/>
  <c r="J357" i="3"/>
  <c r="J359" i="3"/>
  <c r="J361" i="3"/>
  <c r="J363" i="3"/>
  <c r="J365" i="3"/>
  <c r="J368" i="3"/>
  <c r="J376" i="3"/>
  <c r="J377" i="3"/>
  <c r="J877" i="3"/>
  <c r="J8" i="3"/>
  <c r="J10" i="3"/>
  <c r="J12" i="3"/>
  <c r="J14" i="3"/>
  <c r="J16" i="3"/>
  <c r="J18" i="3"/>
  <c r="J20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240" i="3"/>
  <c r="J242" i="3"/>
  <c r="J244" i="3"/>
  <c r="J246" i="3"/>
  <c r="J248" i="3"/>
  <c r="J250" i="3"/>
  <c r="J252" i="3"/>
  <c r="J254" i="3"/>
  <c r="J256" i="3"/>
  <c r="J258" i="3"/>
  <c r="J260" i="3"/>
  <c r="J262" i="3"/>
  <c r="J264" i="3"/>
  <c r="J266" i="3"/>
  <c r="J268" i="3"/>
  <c r="J270" i="3"/>
  <c r="J272" i="3"/>
  <c r="J274" i="3"/>
  <c r="J276" i="3"/>
  <c r="J278" i="3"/>
  <c r="J280" i="3"/>
  <c r="J282" i="3"/>
  <c r="J284" i="3"/>
  <c r="J286" i="3"/>
  <c r="J288" i="3"/>
  <c r="J290" i="3"/>
  <c r="J292" i="3"/>
  <c r="J294" i="3"/>
  <c r="J296" i="3"/>
  <c r="J298" i="3"/>
  <c r="J300" i="3"/>
  <c r="J302" i="3"/>
  <c r="J304" i="3"/>
  <c r="J306" i="3"/>
  <c r="J308" i="3"/>
  <c r="J310" i="3"/>
  <c r="J312" i="3"/>
  <c r="J314" i="3"/>
  <c r="J316" i="3"/>
  <c r="J318" i="3"/>
  <c r="J320" i="3"/>
  <c r="J322" i="3"/>
  <c r="J324" i="3"/>
  <c r="J326" i="3"/>
  <c r="J328" i="3"/>
  <c r="J330" i="3"/>
  <c r="J332" i="3"/>
  <c r="J334" i="3"/>
  <c r="J336" i="3"/>
  <c r="J338" i="3"/>
  <c r="J369" i="3"/>
  <c r="J378" i="3"/>
  <c r="J379" i="3"/>
  <c r="J658" i="3"/>
  <c r="J738" i="3"/>
  <c r="J744" i="3"/>
  <c r="J750" i="3"/>
  <c r="J756" i="3"/>
  <c r="J762" i="3"/>
  <c r="J768" i="3"/>
  <c r="J774" i="3"/>
  <c r="J780" i="3"/>
  <c r="J786" i="3"/>
  <c r="J792" i="3"/>
  <c r="J798" i="3"/>
  <c r="J804" i="3"/>
  <c r="J816" i="3"/>
  <c r="J822" i="3"/>
  <c r="J828" i="3"/>
  <c r="J883" i="3"/>
  <c r="J67" i="3"/>
  <c r="J69" i="3"/>
  <c r="J71" i="3"/>
  <c r="J73" i="3"/>
  <c r="J75" i="3"/>
  <c r="J77" i="3"/>
  <c r="J79" i="3"/>
  <c r="J81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147" i="3"/>
  <c r="J370" i="3"/>
  <c r="J380" i="3"/>
  <c r="J150" i="3"/>
  <c r="J152" i="3"/>
  <c r="J154" i="3"/>
  <c r="J156" i="3"/>
  <c r="J158" i="3"/>
  <c r="J160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190" i="3"/>
  <c r="J192" i="3"/>
  <c r="J194" i="3"/>
  <c r="J196" i="3"/>
  <c r="J198" i="3"/>
  <c r="J200" i="3"/>
  <c r="J202" i="3"/>
  <c r="J204" i="3"/>
  <c r="J206" i="3"/>
  <c r="J208" i="3"/>
  <c r="J210" i="3"/>
  <c r="J212" i="3"/>
  <c r="J214" i="3"/>
  <c r="J216" i="3"/>
  <c r="J218" i="3"/>
  <c r="J220" i="3"/>
  <c r="J222" i="3"/>
  <c r="J224" i="3"/>
  <c r="J226" i="3"/>
  <c r="J228" i="3"/>
  <c r="J230" i="3"/>
  <c r="J232" i="3"/>
  <c r="J234" i="3"/>
  <c r="J236" i="3"/>
  <c r="J342" i="3"/>
  <c r="J344" i="3"/>
  <c r="J346" i="3"/>
  <c r="J348" i="3"/>
  <c r="J350" i="3"/>
  <c r="J352" i="3"/>
  <c r="J354" i="3"/>
  <c r="J356" i="3"/>
  <c r="J358" i="3"/>
  <c r="J360" i="3"/>
  <c r="J362" i="3"/>
  <c r="J364" i="3"/>
  <c r="J366" i="3"/>
  <c r="J371" i="3"/>
  <c r="J524" i="3"/>
  <c r="J736" i="3"/>
  <c r="J742" i="3"/>
  <c r="J748" i="3"/>
  <c r="J754" i="3"/>
  <c r="J760" i="3"/>
  <c r="J766" i="3"/>
  <c r="J772" i="3"/>
  <c r="J778" i="3"/>
  <c r="J784" i="3"/>
  <c r="J790" i="3"/>
  <c r="J796" i="3"/>
  <c r="J802" i="3"/>
  <c r="J814" i="3"/>
  <c r="J820" i="3"/>
  <c r="J826" i="3"/>
  <c r="J832" i="3"/>
  <c r="J7" i="3"/>
  <c r="J9" i="3"/>
  <c r="J11" i="3"/>
  <c r="J13" i="3"/>
  <c r="J15" i="3"/>
  <c r="J17" i="3"/>
  <c r="J19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239" i="3"/>
  <c r="J241" i="3"/>
  <c r="J243" i="3"/>
  <c r="J245" i="3"/>
  <c r="J247" i="3"/>
  <c r="J249" i="3"/>
  <c r="J251" i="3"/>
  <c r="J253" i="3"/>
  <c r="J255" i="3"/>
  <c r="J257" i="3"/>
  <c r="J259" i="3"/>
  <c r="J261" i="3"/>
  <c r="J263" i="3"/>
  <c r="J265" i="3"/>
  <c r="J267" i="3"/>
  <c r="J269" i="3"/>
  <c r="J271" i="3"/>
  <c r="J273" i="3"/>
  <c r="J275" i="3"/>
  <c r="J277" i="3"/>
  <c r="J279" i="3"/>
  <c r="J281" i="3"/>
  <c r="J283" i="3"/>
  <c r="J285" i="3"/>
  <c r="J287" i="3"/>
  <c r="J289" i="3"/>
  <c r="J291" i="3"/>
  <c r="J293" i="3"/>
  <c r="J295" i="3"/>
  <c r="J297" i="3"/>
  <c r="J299" i="3"/>
  <c r="J301" i="3"/>
  <c r="J303" i="3"/>
  <c r="J305" i="3"/>
  <c r="J307" i="3"/>
  <c r="J309" i="3"/>
  <c r="J311" i="3"/>
  <c r="J313" i="3"/>
  <c r="J315" i="3"/>
  <c r="J317" i="3"/>
  <c r="J319" i="3"/>
  <c r="J321" i="3"/>
  <c r="J323" i="3"/>
  <c r="J325" i="3"/>
  <c r="J327" i="3"/>
  <c r="J329" i="3"/>
  <c r="J331" i="3"/>
  <c r="J333" i="3"/>
  <c r="J335" i="3"/>
  <c r="J337" i="3"/>
  <c r="J339" i="3"/>
  <c r="J372" i="3"/>
  <c r="J373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  <c r="J148" i="3"/>
  <c r="J367" i="3"/>
  <c r="J374" i="3"/>
  <c r="J375" i="3"/>
  <c r="J522" i="3"/>
  <c r="J660" i="3"/>
  <c r="J734" i="3"/>
  <c r="J740" i="3"/>
  <c r="J746" i="3"/>
  <c r="J752" i="3"/>
  <c r="J758" i="3"/>
  <c r="J764" i="3"/>
  <c r="J770" i="3"/>
  <c r="J776" i="3"/>
  <c r="J782" i="3"/>
  <c r="J788" i="3"/>
  <c r="J794" i="3"/>
  <c r="J800" i="3"/>
  <c r="J812" i="3"/>
  <c r="J818" i="3"/>
  <c r="J824" i="3"/>
  <c r="J830" i="3"/>
  <c r="J381" i="3"/>
  <c r="J383" i="3"/>
  <c r="J385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53" i="3"/>
  <c r="J547" i="3"/>
  <c r="J549" i="3"/>
  <c r="J551" i="3"/>
  <c r="J553" i="3"/>
  <c r="J555" i="3"/>
  <c r="J557" i="3"/>
  <c r="J559" i="3"/>
  <c r="J561" i="3"/>
  <c r="J563" i="3"/>
  <c r="J565" i="3"/>
  <c r="J567" i="3"/>
  <c r="J569" i="3"/>
  <c r="J571" i="3"/>
  <c r="J573" i="3"/>
  <c r="J575" i="3"/>
  <c r="J577" i="3"/>
  <c r="J579" i="3"/>
  <c r="J581" i="3"/>
  <c r="J583" i="3"/>
  <c r="J585" i="3"/>
  <c r="J587" i="3"/>
  <c r="J589" i="3"/>
  <c r="J591" i="3"/>
  <c r="J593" i="3"/>
  <c r="J595" i="3"/>
  <c r="J597" i="3"/>
  <c r="J599" i="3"/>
  <c r="J601" i="3"/>
  <c r="J603" i="3"/>
  <c r="J605" i="3"/>
  <c r="J607" i="3"/>
  <c r="J609" i="3"/>
  <c r="J611" i="3"/>
  <c r="J613" i="3"/>
  <c r="J615" i="3"/>
  <c r="J617" i="3"/>
  <c r="J619" i="3"/>
  <c r="J621" i="3"/>
  <c r="J623" i="3"/>
  <c r="J625" i="3"/>
  <c r="J627" i="3"/>
  <c r="J629" i="3"/>
  <c r="J631" i="3"/>
  <c r="J633" i="3"/>
  <c r="J635" i="3"/>
  <c r="J637" i="3"/>
  <c r="J641" i="3"/>
  <c r="J643" i="3"/>
  <c r="J645" i="3"/>
  <c r="J647" i="3"/>
  <c r="J649" i="3"/>
  <c r="J651" i="3"/>
  <c r="J653" i="3"/>
  <c r="J655" i="3"/>
  <c r="J665" i="3"/>
  <c r="J667" i="3"/>
  <c r="J669" i="3"/>
  <c r="J671" i="3"/>
  <c r="J673" i="3"/>
  <c r="J675" i="3"/>
  <c r="J677" i="3"/>
  <c r="J679" i="3"/>
  <c r="J681" i="3"/>
  <c r="J683" i="3"/>
  <c r="J685" i="3"/>
  <c r="J687" i="3"/>
  <c r="J693" i="3"/>
  <c r="J695" i="3"/>
  <c r="J697" i="3"/>
  <c r="J699" i="3"/>
  <c r="J701" i="3"/>
  <c r="J703" i="3"/>
  <c r="J705" i="3"/>
  <c r="J707" i="3"/>
  <c r="J709" i="3"/>
  <c r="J711" i="3"/>
  <c r="J713" i="3"/>
  <c r="J715" i="3"/>
  <c r="J717" i="3"/>
  <c r="J719" i="3"/>
  <c r="J721" i="3"/>
  <c r="J723" i="3"/>
  <c r="J725" i="3"/>
  <c r="J727" i="3"/>
  <c r="J729" i="3"/>
  <c r="J731" i="3"/>
  <c r="J834" i="3"/>
  <c r="J837" i="3"/>
  <c r="J925" i="3"/>
  <c r="J949" i="3"/>
  <c r="J955" i="3"/>
  <c r="J961" i="3"/>
  <c r="J459" i="3"/>
  <c r="J461" i="3"/>
  <c r="J463" i="3"/>
  <c r="J465" i="3"/>
  <c r="J467" i="3"/>
  <c r="J469" i="3"/>
  <c r="J471" i="3"/>
  <c r="J473" i="3"/>
  <c r="J475" i="3"/>
  <c r="J477" i="3"/>
  <c r="J483" i="3"/>
  <c r="J485" i="3"/>
  <c r="J487" i="3"/>
  <c r="J489" i="3"/>
  <c r="J491" i="3"/>
  <c r="J493" i="3"/>
  <c r="J495" i="3"/>
  <c r="J497" i="3"/>
  <c r="J499" i="3"/>
  <c r="J501" i="3"/>
  <c r="J503" i="3"/>
  <c r="J509" i="3"/>
  <c r="J511" i="3"/>
  <c r="J513" i="3"/>
  <c r="J515" i="3"/>
  <c r="J517" i="3"/>
  <c r="J527" i="3"/>
  <c r="J529" i="3"/>
  <c r="J531" i="3"/>
  <c r="J533" i="3"/>
  <c r="J535" i="3"/>
  <c r="J537" i="3"/>
  <c r="J539" i="3"/>
  <c r="J541" i="3"/>
  <c r="J543" i="3"/>
  <c r="J545" i="3"/>
  <c r="J807" i="3"/>
  <c r="J809" i="3"/>
  <c r="J835" i="3"/>
  <c r="J838" i="3"/>
  <c r="J929" i="3"/>
  <c r="J947" i="3"/>
  <c r="J953" i="3"/>
  <c r="J959" i="3"/>
  <c r="J382" i="3"/>
  <c r="J384" i="3"/>
  <c r="J386" i="3"/>
  <c r="J388" i="3"/>
  <c r="J390" i="3"/>
  <c r="J392" i="3"/>
  <c r="J394" i="3"/>
  <c r="J396" i="3"/>
  <c r="J398" i="3"/>
  <c r="J400" i="3"/>
  <c r="J402" i="3"/>
  <c r="J404" i="3"/>
  <c r="J406" i="3"/>
  <c r="J408" i="3"/>
  <c r="J410" i="3"/>
  <c r="J412" i="3"/>
  <c r="J414" i="3"/>
  <c r="J416" i="3"/>
  <c r="J418" i="3"/>
  <c r="J420" i="3"/>
  <c r="J422" i="3"/>
  <c r="J424" i="3"/>
  <c r="J426" i="3"/>
  <c r="J428" i="3"/>
  <c r="J430" i="3"/>
  <c r="J432" i="3"/>
  <c r="J434" i="3"/>
  <c r="J436" i="3"/>
  <c r="J438" i="3"/>
  <c r="J440" i="3"/>
  <c r="J442" i="3"/>
  <c r="J444" i="3"/>
  <c r="J446" i="3"/>
  <c r="J448" i="3"/>
  <c r="J450" i="3"/>
  <c r="J452" i="3"/>
  <c r="J548" i="3"/>
  <c r="J550" i="3"/>
  <c r="J552" i="3"/>
  <c r="J554" i="3"/>
  <c r="J556" i="3"/>
  <c r="J558" i="3"/>
  <c r="J560" i="3"/>
  <c r="J562" i="3"/>
  <c r="J564" i="3"/>
  <c r="J566" i="3"/>
  <c r="J568" i="3"/>
  <c r="J570" i="3"/>
  <c r="J572" i="3"/>
  <c r="J574" i="3"/>
  <c r="J576" i="3"/>
  <c r="J578" i="3"/>
  <c r="J580" i="3"/>
  <c r="J582" i="3"/>
  <c r="J584" i="3"/>
  <c r="J586" i="3"/>
  <c r="J588" i="3"/>
  <c r="J590" i="3"/>
  <c r="J592" i="3"/>
  <c r="J594" i="3"/>
  <c r="J596" i="3"/>
  <c r="J598" i="3"/>
  <c r="J600" i="3"/>
  <c r="J602" i="3"/>
  <c r="J604" i="3"/>
  <c r="J606" i="3"/>
  <c r="J608" i="3"/>
  <c r="J610" i="3"/>
  <c r="J612" i="3"/>
  <c r="J614" i="3"/>
  <c r="J616" i="3"/>
  <c r="J618" i="3"/>
  <c r="J620" i="3"/>
  <c r="J622" i="3"/>
  <c r="J624" i="3"/>
  <c r="J626" i="3"/>
  <c r="J628" i="3"/>
  <c r="J630" i="3"/>
  <c r="J632" i="3"/>
  <c r="J634" i="3"/>
  <c r="J636" i="3"/>
  <c r="J642" i="3"/>
  <c r="J644" i="3"/>
  <c r="J646" i="3"/>
  <c r="J648" i="3"/>
  <c r="J650" i="3"/>
  <c r="J652" i="3"/>
  <c r="J654" i="3"/>
  <c r="J664" i="3"/>
  <c r="J666" i="3"/>
  <c r="J668" i="3"/>
  <c r="J670" i="3"/>
  <c r="J672" i="3"/>
  <c r="J674" i="3"/>
  <c r="J676" i="3"/>
  <c r="J678" i="3"/>
  <c r="J680" i="3"/>
  <c r="J682" i="3"/>
  <c r="J684" i="3"/>
  <c r="J686" i="3"/>
  <c r="J688" i="3"/>
  <c r="J692" i="3"/>
  <c r="J694" i="3"/>
  <c r="J696" i="3"/>
  <c r="J698" i="3"/>
  <c r="J700" i="3"/>
  <c r="J702" i="3"/>
  <c r="J704" i="3"/>
  <c r="J706" i="3"/>
  <c r="J708" i="3"/>
  <c r="J710" i="3"/>
  <c r="J712" i="3"/>
  <c r="J714" i="3"/>
  <c r="J716" i="3"/>
  <c r="J718" i="3"/>
  <c r="J720" i="3"/>
  <c r="J722" i="3"/>
  <c r="J724" i="3"/>
  <c r="J726" i="3"/>
  <c r="J728" i="3"/>
  <c r="J730" i="3"/>
  <c r="J732" i="3"/>
  <c r="J875" i="3"/>
  <c r="J881" i="3"/>
  <c r="J521" i="3"/>
  <c r="J523" i="3"/>
  <c r="J525" i="3"/>
  <c r="J657" i="3"/>
  <c r="J659" i="3"/>
  <c r="J661" i="3"/>
  <c r="J735" i="3"/>
  <c r="J737" i="3"/>
  <c r="J739" i="3"/>
  <c r="J741" i="3"/>
  <c r="J743" i="3"/>
  <c r="J745" i="3"/>
  <c r="J747" i="3"/>
  <c r="J749" i="3"/>
  <c r="J751" i="3"/>
  <c r="J753" i="3"/>
  <c r="J755" i="3"/>
  <c r="J757" i="3"/>
  <c r="J759" i="3"/>
  <c r="J761" i="3"/>
  <c r="J763" i="3"/>
  <c r="J765" i="3"/>
  <c r="J767" i="3"/>
  <c r="J769" i="3"/>
  <c r="J771" i="3"/>
  <c r="J773" i="3"/>
  <c r="J775" i="3"/>
  <c r="J777" i="3"/>
  <c r="J779" i="3"/>
  <c r="J781" i="3"/>
  <c r="J783" i="3"/>
  <c r="J785" i="3"/>
  <c r="J787" i="3"/>
  <c r="J789" i="3"/>
  <c r="J791" i="3"/>
  <c r="J793" i="3"/>
  <c r="J795" i="3"/>
  <c r="J797" i="3"/>
  <c r="J799" i="3"/>
  <c r="J801" i="3"/>
  <c r="J803" i="3"/>
  <c r="J813" i="3"/>
  <c r="J815" i="3"/>
  <c r="J817" i="3"/>
  <c r="J819" i="3"/>
  <c r="J821" i="3"/>
  <c r="J823" i="3"/>
  <c r="J825" i="3"/>
  <c r="J827" i="3"/>
  <c r="J829" i="3"/>
  <c r="J831" i="3"/>
  <c r="J833" i="3"/>
  <c r="J836" i="3"/>
  <c r="J839" i="3"/>
  <c r="J927" i="3"/>
  <c r="J951" i="3"/>
  <c r="J957" i="3"/>
  <c r="J460" i="3"/>
  <c r="J462" i="3"/>
  <c r="J464" i="3"/>
  <c r="J466" i="3"/>
  <c r="J468" i="3"/>
  <c r="J470" i="3"/>
  <c r="J472" i="3"/>
  <c r="J474" i="3"/>
  <c r="J476" i="3"/>
  <c r="J478" i="3"/>
  <c r="J482" i="3"/>
  <c r="J484" i="3"/>
  <c r="J486" i="3"/>
  <c r="J488" i="3"/>
  <c r="J490" i="3"/>
  <c r="J492" i="3"/>
  <c r="J494" i="3"/>
  <c r="J496" i="3"/>
  <c r="J498" i="3"/>
  <c r="J500" i="3"/>
  <c r="J502" i="3"/>
  <c r="J504" i="3"/>
  <c r="J508" i="3"/>
  <c r="J510" i="3"/>
  <c r="J512" i="3"/>
  <c r="J514" i="3"/>
  <c r="J516" i="3"/>
  <c r="J518" i="3"/>
  <c r="J528" i="3"/>
  <c r="J530" i="3"/>
  <c r="J532" i="3"/>
  <c r="J534" i="3"/>
  <c r="J536" i="3"/>
  <c r="J538" i="3"/>
  <c r="J540" i="3"/>
  <c r="J542" i="3"/>
  <c r="J544" i="3"/>
  <c r="J806" i="3"/>
  <c r="J808" i="3"/>
  <c r="J879" i="3"/>
  <c r="J885" i="3"/>
  <c r="J842" i="3"/>
  <c r="J844" i="3"/>
  <c r="J888" i="3"/>
  <c r="J890" i="3"/>
  <c r="J892" i="3"/>
  <c r="J894" i="3"/>
  <c r="J896" i="3"/>
  <c r="J898" i="3"/>
  <c r="J900" i="3"/>
  <c r="J902" i="3"/>
  <c r="J904" i="3"/>
  <c r="J906" i="3"/>
  <c r="J908" i="3"/>
  <c r="J964" i="3"/>
  <c r="J966" i="3"/>
  <c r="J968" i="3"/>
  <c r="J970" i="3"/>
  <c r="J972" i="3"/>
  <c r="J974" i="3"/>
  <c r="J976" i="3"/>
  <c r="J978" i="3"/>
  <c r="J1022" i="3"/>
  <c r="J1024" i="3"/>
  <c r="J1026" i="3"/>
  <c r="J1028" i="3"/>
  <c r="J1030" i="3"/>
  <c r="J1032" i="3"/>
  <c r="J1034" i="3"/>
  <c r="J1036" i="3"/>
  <c r="J1038" i="3"/>
  <c r="J1040" i="3"/>
  <c r="J1042" i="3"/>
  <c r="J1044" i="3"/>
  <c r="J1046" i="3"/>
  <c r="J1048" i="3"/>
  <c r="J1050" i="3"/>
  <c r="J1052" i="3"/>
  <c r="J1054" i="3"/>
  <c r="J1056" i="3"/>
  <c r="J847" i="3"/>
  <c r="J849" i="3"/>
  <c r="J851" i="3"/>
  <c r="J853" i="3"/>
  <c r="J855" i="3"/>
  <c r="J857" i="3"/>
  <c r="J859" i="3"/>
  <c r="J861" i="3"/>
  <c r="J863" i="3"/>
  <c r="J865" i="3"/>
  <c r="J867" i="3"/>
  <c r="J869" i="3"/>
  <c r="J871" i="3"/>
  <c r="J873" i="3"/>
  <c r="J911" i="3"/>
  <c r="J913" i="3"/>
  <c r="J915" i="3"/>
  <c r="J917" i="3"/>
  <c r="J919" i="3"/>
  <c r="J921" i="3"/>
  <c r="J933" i="3"/>
  <c r="J935" i="3"/>
  <c r="J937" i="3"/>
  <c r="J939" i="3"/>
  <c r="J941" i="3"/>
  <c r="J981" i="3"/>
  <c r="J983" i="3"/>
  <c r="J985" i="3"/>
  <c r="J987" i="3"/>
  <c r="J989" i="3"/>
  <c r="J991" i="3"/>
  <c r="J997" i="3"/>
  <c r="J999" i="3"/>
  <c r="J1001" i="3"/>
  <c r="J1003" i="3"/>
  <c r="J1005" i="3"/>
  <c r="J1007" i="3"/>
  <c r="J1009" i="3"/>
  <c r="J1011" i="3"/>
  <c r="J1013" i="3"/>
  <c r="J1015" i="3"/>
  <c r="J1017" i="3"/>
  <c r="J1019" i="3"/>
  <c r="J1059" i="3"/>
  <c r="J1061" i="3"/>
  <c r="J1063" i="3"/>
  <c r="J1065" i="3"/>
  <c r="J1067" i="3"/>
  <c r="J1069" i="3"/>
  <c r="J1071" i="3"/>
  <c r="J1073" i="3"/>
  <c r="J1075" i="3"/>
  <c r="J1077" i="3"/>
  <c r="J1079" i="3"/>
  <c r="J1081" i="3"/>
  <c r="J1083" i="3"/>
  <c r="J1085" i="3"/>
  <c r="J1087" i="3"/>
  <c r="J1089" i="3"/>
  <c r="J1091" i="3"/>
  <c r="J1093" i="3"/>
  <c r="J1095" i="3"/>
  <c r="J1097" i="3"/>
  <c r="J1099" i="3"/>
  <c r="J1101" i="3"/>
  <c r="J840" i="3"/>
  <c r="J876" i="3"/>
  <c r="J878" i="3"/>
  <c r="J880" i="3"/>
  <c r="J882" i="3"/>
  <c r="J884" i="3"/>
  <c r="J886" i="3"/>
  <c r="J924" i="3"/>
  <c r="J926" i="3"/>
  <c r="J928" i="3"/>
  <c r="J942" i="3"/>
  <c r="J946" i="3"/>
  <c r="J948" i="3"/>
  <c r="J950" i="3"/>
  <c r="J952" i="3"/>
  <c r="J954" i="3"/>
  <c r="J956" i="3"/>
  <c r="J958" i="3"/>
  <c r="J960" i="3"/>
  <c r="J962" i="3"/>
  <c r="J1104" i="3"/>
  <c r="J1106" i="3"/>
  <c r="J1108" i="3"/>
  <c r="J1110" i="3"/>
  <c r="J1112" i="3"/>
  <c r="J1114" i="3"/>
  <c r="J843" i="3"/>
  <c r="J889" i="3"/>
  <c r="J891" i="3"/>
  <c r="J893" i="3"/>
  <c r="J895" i="3"/>
  <c r="J897" i="3"/>
  <c r="J899" i="3"/>
  <c r="J901" i="3"/>
  <c r="J903" i="3"/>
  <c r="J905" i="3"/>
  <c r="J907" i="3"/>
  <c r="J909" i="3"/>
  <c r="J965" i="3"/>
  <c r="J967" i="3"/>
  <c r="J969" i="3"/>
  <c r="J971" i="3"/>
  <c r="J973" i="3"/>
  <c r="J975" i="3"/>
  <c r="J977" i="3"/>
  <c r="J979" i="3"/>
  <c r="J1023" i="3"/>
  <c r="J1025" i="3"/>
  <c r="J1027" i="3"/>
  <c r="J1029" i="3"/>
  <c r="J1031" i="3"/>
  <c r="J1033" i="3"/>
  <c r="J1035" i="3"/>
  <c r="J1037" i="3"/>
  <c r="J1039" i="3"/>
  <c r="J1041" i="3"/>
  <c r="J1043" i="3"/>
  <c r="J1045" i="3"/>
  <c r="J1047" i="3"/>
  <c r="J1049" i="3"/>
  <c r="J1051" i="3"/>
  <c r="J1053" i="3"/>
  <c r="J1055" i="3"/>
  <c r="J1057" i="3"/>
  <c r="J846" i="3"/>
  <c r="J848" i="3"/>
  <c r="J850" i="3"/>
  <c r="J852" i="3"/>
  <c r="J854" i="3"/>
  <c r="J856" i="3"/>
  <c r="J858" i="3"/>
  <c r="J860" i="3"/>
  <c r="J862" i="3"/>
  <c r="J864" i="3"/>
  <c r="J866" i="3"/>
  <c r="J868" i="3"/>
  <c r="J870" i="3"/>
  <c r="J872" i="3"/>
  <c r="J912" i="3"/>
  <c r="J914" i="3"/>
  <c r="J916" i="3"/>
  <c r="J918" i="3"/>
  <c r="J920" i="3"/>
  <c r="J922" i="3"/>
  <c r="J932" i="3"/>
  <c r="J934" i="3"/>
  <c r="J936" i="3"/>
  <c r="J938" i="3"/>
  <c r="J940" i="3"/>
  <c r="J982" i="3"/>
  <c r="J984" i="3"/>
  <c r="J986" i="3"/>
  <c r="J988" i="3"/>
  <c r="J990" i="3"/>
  <c r="J992" i="3"/>
  <c r="J996" i="3"/>
  <c r="J998" i="3"/>
  <c r="J1000" i="3"/>
  <c r="J1002" i="3"/>
  <c r="J1004" i="3"/>
  <c r="J1006" i="3"/>
  <c r="J1008" i="3"/>
  <c r="J1010" i="3"/>
  <c r="J1012" i="3"/>
  <c r="J1014" i="3"/>
  <c r="J1016" i="3"/>
  <c r="J1018" i="3"/>
  <c r="J1060" i="3"/>
  <c r="J1062" i="3"/>
  <c r="J1064" i="3"/>
  <c r="J1066" i="3"/>
  <c r="J1068" i="3"/>
  <c r="J1070" i="3"/>
  <c r="J1072" i="3"/>
  <c r="J1074" i="3"/>
  <c r="J1076" i="3"/>
  <c r="J1078" i="3"/>
  <c r="J1080" i="3"/>
  <c r="J1082" i="3"/>
  <c r="J1084" i="3"/>
  <c r="J1086" i="3"/>
  <c r="J1088" i="3"/>
  <c r="J1090" i="3"/>
  <c r="J1092" i="3"/>
  <c r="J1094" i="3"/>
  <c r="J1096" i="3"/>
  <c r="J1098" i="3"/>
  <c r="J1100" i="3"/>
  <c r="J1102" i="3"/>
  <c r="J1115" i="3"/>
  <c r="J1105" i="3"/>
  <c r="J1107" i="3"/>
  <c r="J1109" i="3"/>
  <c r="J1111" i="3"/>
  <c r="J1113" i="3"/>
  <c r="J1116" i="3"/>
  <c r="I8" i="3"/>
  <c r="I10" i="3"/>
  <c r="I12" i="3"/>
  <c r="I14" i="3"/>
  <c r="I16" i="3"/>
  <c r="I18" i="3"/>
  <c r="I20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240" i="3"/>
  <c r="I242" i="3"/>
  <c r="I244" i="3"/>
  <c r="I246" i="3"/>
  <c r="I248" i="3"/>
  <c r="I250" i="3"/>
  <c r="I252" i="3"/>
  <c r="I254" i="3"/>
  <c r="I256" i="3"/>
  <c r="I258" i="3"/>
  <c r="I260" i="3"/>
  <c r="I262" i="3"/>
  <c r="I264" i="3"/>
  <c r="I266" i="3"/>
  <c r="I268" i="3"/>
  <c r="I270" i="3"/>
  <c r="I272" i="3"/>
  <c r="I274" i="3"/>
  <c r="I276" i="3"/>
  <c r="I278" i="3"/>
  <c r="I280" i="3"/>
  <c r="I282" i="3"/>
  <c r="I284" i="3"/>
  <c r="I286" i="3"/>
  <c r="I288" i="3"/>
  <c r="I290" i="3"/>
  <c r="I292" i="3"/>
  <c r="I294" i="3"/>
  <c r="I296" i="3"/>
  <c r="I298" i="3"/>
  <c r="I300" i="3"/>
  <c r="I302" i="3"/>
  <c r="I304" i="3"/>
  <c r="I306" i="3"/>
  <c r="I308" i="3"/>
  <c r="I310" i="3"/>
  <c r="I312" i="3"/>
  <c r="I314" i="3"/>
  <c r="I316" i="3"/>
  <c r="I318" i="3"/>
  <c r="I320" i="3"/>
  <c r="I322" i="3"/>
  <c r="I324" i="3"/>
  <c r="I326" i="3"/>
  <c r="I328" i="3"/>
  <c r="I330" i="3"/>
  <c r="I332" i="3"/>
  <c r="I334" i="3"/>
  <c r="I336" i="3"/>
  <c r="I338" i="3"/>
  <c r="I485" i="3"/>
  <c r="I491" i="3"/>
  <c r="I497" i="3"/>
  <c r="I503" i="3"/>
  <c r="I531" i="3"/>
  <c r="I537" i="3"/>
  <c r="I543" i="3"/>
  <c r="I809" i="3"/>
  <c r="I970" i="3"/>
  <c r="I67" i="3"/>
  <c r="I69" i="3"/>
  <c r="I71" i="3"/>
  <c r="I73" i="3"/>
  <c r="I75" i="3"/>
  <c r="I77" i="3"/>
  <c r="I79" i="3"/>
  <c r="I81" i="3"/>
  <c r="I83" i="3"/>
  <c r="I85" i="3"/>
  <c r="I87" i="3"/>
  <c r="I89" i="3"/>
  <c r="I91" i="3"/>
  <c r="I93" i="3"/>
  <c r="I95" i="3"/>
  <c r="I97" i="3"/>
  <c r="I99" i="3"/>
  <c r="I101" i="3"/>
  <c r="I103" i="3"/>
  <c r="I105" i="3"/>
  <c r="I107" i="3"/>
  <c r="I109" i="3"/>
  <c r="I111" i="3"/>
  <c r="I113" i="3"/>
  <c r="I115" i="3"/>
  <c r="I117" i="3"/>
  <c r="I119" i="3"/>
  <c r="I121" i="3"/>
  <c r="I123" i="3"/>
  <c r="I125" i="3"/>
  <c r="I127" i="3"/>
  <c r="I129" i="3"/>
  <c r="I131" i="3"/>
  <c r="I133" i="3"/>
  <c r="I135" i="3"/>
  <c r="I137" i="3"/>
  <c r="I139" i="3"/>
  <c r="I141" i="3"/>
  <c r="I143" i="3"/>
  <c r="I145" i="3"/>
  <c r="I147" i="3"/>
  <c r="I461" i="3"/>
  <c r="I467" i="3"/>
  <c r="I473" i="3"/>
  <c r="I513" i="3"/>
  <c r="I838" i="3"/>
  <c r="I976" i="3"/>
  <c r="I150" i="3"/>
  <c r="I152" i="3"/>
  <c r="I154" i="3"/>
  <c r="I156" i="3"/>
  <c r="I158" i="3"/>
  <c r="I160" i="3"/>
  <c r="I166" i="3"/>
  <c r="I168" i="3"/>
  <c r="I170" i="3"/>
  <c r="I172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4" i="3"/>
  <c r="I216" i="3"/>
  <c r="I218" i="3"/>
  <c r="I220" i="3"/>
  <c r="I222" i="3"/>
  <c r="I224" i="3"/>
  <c r="I226" i="3"/>
  <c r="I228" i="3"/>
  <c r="I230" i="3"/>
  <c r="I232" i="3"/>
  <c r="I234" i="3"/>
  <c r="I236" i="3"/>
  <c r="I342" i="3"/>
  <c r="I344" i="3"/>
  <c r="I346" i="3"/>
  <c r="I348" i="3"/>
  <c r="I350" i="3"/>
  <c r="I352" i="3"/>
  <c r="I354" i="3"/>
  <c r="I356" i="3"/>
  <c r="I358" i="3"/>
  <c r="I360" i="3"/>
  <c r="I362" i="3"/>
  <c r="I364" i="3"/>
  <c r="I366" i="3"/>
  <c r="I483" i="3"/>
  <c r="I489" i="3"/>
  <c r="I495" i="3"/>
  <c r="I501" i="3"/>
  <c r="I529" i="3"/>
  <c r="I535" i="3"/>
  <c r="I541" i="3"/>
  <c r="I807" i="3"/>
  <c r="I7" i="3"/>
  <c r="I9" i="3"/>
  <c r="I11" i="3"/>
  <c r="I13" i="3"/>
  <c r="I15" i="3"/>
  <c r="I17" i="3"/>
  <c r="I19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57" i="3"/>
  <c r="I59" i="3"/>
  <c r="I61" i="3"/>
  <c r="I63" i="3"/>
  <c r="I65" i="3"/>
  <c r="I239" i="3"/>
  <c r="I241" i="3"/>
  <c r="I243" i="3"/>
  <c r="I245" i="3"/>
  <c r="I247" i="3"/>
  <c r="I249" i="3"/>
  <c r="I251" i="3"/>
  <c r="I253" i="3"/>
  <c r="I255" i="3"/>
  <c r="I257" i="3"/>
  <c r="I259" i="3"/>
  <c r="I261" i="3"/>
  <c r="I263" i="3"/>
  <c r="I265" i="3"/>
  <c r="I267" i="3"/>
  <c r="I269" i="3"/>
  <c r="I271" i="3"/>
  <c r="I273" i="3"/>
  <c r="I275" i="3"/>
  <c r="I277" i="3"/>
  <c r="I279" i="3"/>
  <c r="I281" i="3"/>
  <c r="I283" i="3"/>
  <c r="I285" i="3"/>
  <c r="I287" i="3"/>
  <c r="I289" i="3"/>
  <c r="I291" i="3"/>
  <c r="I293" i="3"/>
  <c r="I295" i="3"/>
  <c r="I297" i="3"/>
  <c r="I299" i="3"/>
  <c r="I301" i="3"/>
  <c r="I303" i="3"/>
  <c r="I305" i="3"/>
  <c r="I307" i="3"/>
  <c r="I309" i="3"/>
  <c r="I311" i="3"/>
  <c r="I313" i="3"/>
  <c r="I315" i="3"/>
  <c r="I317" i="3"/>
  <c r="I319" i="3"/>
  <c r="I321" i="3"/>
  <c r="I323" i="3"/>
  <c r="I325" i="3"/>
  <c r="I327" i="3"/>
  <c r="I329" i="3"/>
  <c r="I331" i="3"/>
  <c r="I333" i="3"/>
  <c r="I335" i="3"/>
  <c r="I337" i="3"/>
  <c r="I339" i="3"/>
  <c r="I459" i="3"/>
  <c r="I465" i="3"/>
  <c r="I471" i="3"/>
  <c r="I477" i="3"/>
  <c r="I511" i="3"/>
  <c r="I517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367" i="3"/>
  <c r="I487" i="3"/>
  <c r="I493" i="3"/>
  <c r="I499" i="3"/>
  <c r="I527" i="3"/>
  <c r="I533" i="3"/>
  <c r="I539" i="3"/>
  <c r="I545" i="3"/>
  <c r="I151" i="3"/>
  <c r="I153" i="3"/>
  <c r="I155" i="3"/>
  <c r="I157" i="3"/>
  <c r="I159" i="3"/>
  <c r="I161" i="3"/>
  <c r="I165" i="3"/>
  <c r="I167" i="3"/>
  <c r="I169" i="3"/>
  <c r="I171" i="3"/>
  <c r="I173" i="3"/>
  <c r="I175" i="3"/>
  <c r="I177" i="3"/>
  <c r="I179" i="3"/>
  <c r="I181" i="3"/>
  <c r="I183" i="3"/>
  <c r="I185" i="3"/>
  <c r="I187" i="3"/>
  <c r="I189" i="3"/>
  <c r="I191" i="3"/>
  <c r="I193" i="3"/>
  <c r="I195" i="3"/>
  <c r="I197" i="3"/>
  <c r="I199" i="3"/>
  <c r="I201" i="3"/>
  <c r="I203" i="3"/>
  <c r="I205" i="3"/>
  <c r="I207" i="3"/>
  <c r="I209" i="3"/>
  <c r="I211" i="3"/>
  <c r="I213" i="3"/>
  <c r="I215" i="3"/>
  <c r="I217" i="3"/>
  <c r="I219" i="3"/>
  <c r="I221" i="3"/>
  <c r="I223" i="3"/>
  <c r="I225" i="3"/>
  <c r="I227" i="3"/>
  <c r="I229" i="3"/>
  <c r="I231" i="3"/>
  <c r="I233" i="3"/>
  <c r="I235" i="3"/>
  <c r="I237" i="3"/>
  <c r="I343" i="3"/>
  <c r="I345" i="3"/>
  <c r="I347" i="3"/>
  <c r="I349" i="3"/>
  <c r="I351" i="3"/>
  <c r="I353" i="3"/>
  <c r="I355" i="3"/>
  <c r="I357" i="3"/>
  <c r="I359" i="3"/>
  <c r="I361" i="3"/>
  <c r="I363" i="3"/>
  <c r="I365" i="3"/>
  <c r="I463" i="3"/>
  <c r="I469" i="3"/>
  <c r="I475" i="3"/>
  <c r="I509" i="3"/>
  <c r="I515" i="3"/>
  <c r="I835" i="3"/>
  <c r="I964" i="3"/>
  <c r="I522" i="3"/>
  <c r="I524" i="3"/>
  <c r="I658" i="3"/>
  <c r="I660" i="3"/>
  <c r="I734" i="3"/>
  <c r="I736" i="3"/>
  <c r="I738" i="3"/>
  <c r="I740" i="3"/>
  <c r="I742" i="3"/>
  <c r="I744" i="3"/>
  <c r="I746" i="3"/>
  <c r="I748" i="3"/>
  <c r="I750" i="3"/>
  <c r="I752" i="3"/>
  <c r="I754" i="3"/>
  <c r="I756" i="3"/>
  <c r="I758" i="3"/>
  <c r="I760" i="3"/>
  <c r="I762" i="3"/>
  <c r="I764" i="3"/>
  <c r="I766" i="3"/>
  <c r="I768" i="3"/>
  <c r="I770" i="3"/>
  <c r="I772" i="3"/>
  <c r="I774" i="3"/>
  <c r="I776" i="3"/>
  <c r="I778" i="3"/>
  <c r="I780" i="3"/>
  <c r="I782" i="3"/>
  <c r="I784" i="3"/>
  <c r="I786" i="3"/>
  <c r="I788" i="3"/>
  <c r="I790" i="3"/>
  <c r="I792" i="3"/>
  <c r="I794" i="3"/>
  <c r="I796" i="3"/>
  <c r="I798" i="3"/>
  <c r="I800" i="3"/>
  <c r="I802" i="3"/>
  <c r="I804" i="3"/>
  <c r="I812" i="3"/>
  <c r="I814" i="3"/>
  <c r="I816" i="3"/>
  <c r="I818" i="3"/>
  <c r="I820" i="3"/>
  <c r="I822" i="3"/>
  <c r="I824" i="3"/>
  <c r="I826" i="3"/>
  <c r="I828" i="3"/>
  <c r="I830" i="3"/>
  <c r="I832" i="3"/>
  <c r="I842" i="3"/>
  <c r="I888" i="3"/>
  <c r="I894" i="3"/>
  <c r="I900" i="3"/>
  <c r="I906" i="3"/>
  <c r="I368" i="3"/>
  <c r="I370" i="3"/>
  <c r="I372" i="3"/>
  <c r="I374" i="3"/>
  <c r="I376" i="3"/>
  <c r="I378" i="3"/>
  <c r="I380" i="3"/>
  <c r="I382" i="3"/>
  <c r="I384" i="3"/>
  <c r="I386" i="3"/>
  <c r="I388" i="3"/>
  <c r="I390" i="3"/>
  <c r="I392" i="3"/>
  <c r="I394" i="3"/>
  <c r="I396" i="3"/>
  <c r="I398" i="3"/>
  <c r="I400" i="3"/>
  <c r="I402" i="3"/>
  <c r="I404" i="3"/>
  <c r="I406" i="3"/>
  <c r="I408" i="3"/>
  <c r="I410" i="3"/>
  <c r="I412" i="3"/>
  <c r="I414" i="3"/>
  <c r="I416" i="3"/>
  <c r="I418" i="3"/>
  <c r="I420" i="3"/>
  <c r="I422" i="3"/>
  <c r="I424" i="3"/>
  <c r="I426" i="3"/>
  <c r="I428" i="3"/>
  <c r="I430" i="3"/>
  <c r="I432" i="3"/>
  <c r="I434" i="3"/>
  <c r="I436" i="3"/>
  <c r="I438" i="3"/>
  <c r="I440" i="3"/>
  <c r="I442" i="3"/>
  <c r="I444" i="3"/>
  <c r="I446" i="3"/>
  <c r="I448" i="3"/>
  <c r="I450" i="3"/>
  <c r="I452" i="3"/>
  <c r="I548" i="3"/>
  <c r="I550" i="3"/>
  <c r="I552" i="3"/>
  <c r="I554" i="3"/>
  <c r="I556" i="3"/>
  <c r="I558" i="3"/>
  <c r="I560" i="3"/>
  <c r="I562" i="3"/>
  <c r="I564" i="3"/>
  <c r="I566" i="3"/>
  <c r="I568" i="3"/>
  <c r="I570" i="3"/>
  <c r="I572" i="3"/>
  <c r="I574" i="3"/>
  <c r="I576" i="3"/>
  <c r="I578" i="3"/>
  <c r="I580" i="3"/>
  <c r="I582" i="3"/>
  <c r="I584" i="3"/>
  <c r="I586" i="3"/>
  <c r="I588" i="3"/>
  <c r="I590" i="3"/>
  <c r="I592" i="3"/>
  <c r="I594" i="3"/>
  <c r="I596" i="3"/>
  <c r="I598" i="3"/>
  <c r="I600" i="3"/>
  <c r="I602" i="3"/>
  <c r="I604" i="3"/>
  <c r="I606" i="3"/>
  <c r="I608" i="3"/>
  <c r="I610" i="3"/>
  <c r="I612" i="3"/>
  <c r="I614" i="3"/>
  <c r="I616" i="3"/>
  <c r="I618" i="3"/>
  <c r="I620" i="3"/>
  <c r="I622" i="3"/>
  <c r="I624" i="3"/>
  <c r="I626" i="3"/>
  <c r="I628" i="3"/>
  <c r="I630" i="3"/>
  <c r="I632" i="3"/>
  <c r="I634" i="3"/>
  <c r="I636" i="3"/>
  <c r="I642" i="3"/>
  <c r="I644" i="3"/>
  <c r="I646" i="3"/>
  <c r="I648" i="3"/>
  <c r="I650" i="3"/>
  <c r="I652" i="3"/>
  <c r="I654" i="3"/>
  <c r="I664" i="3"/>
  <c r="I666" i="3"/>
  <c r="I668" i="3"/>
  <c r="I670" i="3"/>
  <c r="I672" i="3"/>
  <c r="I674" i="3"/>
  <c r="I676" i="3"/>
  <c r="I678" i="3"/>
  <c r="I680" i="3"/>
  <c r="I682" i="3"/>
  <c r="I684" i="3"/>
  <c r="I686" i="3"/>
  <c r="I688" i="3"/>
  <c r="I692" i="3"/>
  <c r="I694" i="3"/>
  <c r="I696" i="3"/>
  <c r="I698" i="3"/>
  <c r="I700" i="3"/>
  <c r="I702" i="3"/>
  <c r="I704" i="3"/>
  <c r="I706" i="3"/>
  <c r="I708" i="3"/>
  <c r="I710" i="3"/>
  <c r="I712" i="3"/>
  <c r="I714" i="3"/>
  <c r="I716" i="3"/>
  <c r="I718" i="3"/>
  <c r="I720" i="3"/>
  <c r="I722" i="3"/>
  <c r="I724" i="3"/>
  <c r="I726" i="3"/>
  <c r="I728" i="3"/>
  <c r="I730" i="3"/>
  <c r="I732" i="3"/>
  <c r="I892" i="3"/>
  <c r="I898" i="3"/>
  <c r="I904" i="3"/>
  <c r="I521" i="3"/>
  <c r="I523" i="3"/>
  <c r="I525" i="3"/>
  <c r="I657" i="3"/>
  <c r="I659" i="3"/>
  <c r="I661" i="3"/>
  <c r="I735" i="3"/>
  <c r="I737" i="3"/>
  <c r="I739" i="3"/>
  <c r="I741" i="3"/>
  <c r="I743" i="3"/>
  <c r="I745" i="3"/>
  <c r="I747" i="3"/>
  <c r="I749" i="3"/>
  <c r="I751" i="3"/>
  <c r="I753" i="3"/>
  <c r="I755" i="3"/>
  <c r="I757" i="3"/>
  <c r="I759" i="3"/>
  <c r="I761" i="3"/>
  <c r="I763" i="3"/>
  <c r="I765" i="3"/>
  <c r="I767" i="3"/>
  <c r="I769" i="3"/>
  <c r="I771" i="3"/>
  <c r="I773" i="3"/>
  <c r="I775" i="3"/>
  <c r="I777" i="3"/>
  <c r="I779" i="3"/>
  <c r="I781" i="3"/>
  <c r="I783" i="3"/>
  <c r="I785" i="3"/>
  <c r="I787" i="3"/>
  <c r="I789" i="3"/>
  <c r="I791" i="3"/>
  <c r="I793" i="3"/>
  <c r="I795" i="3"/>
  <c r="I797" i="3"/>
  <c r="I799" i="3"/>
  <c r="I801" i="3"/>
  <c r="I803" i="3"/>
  <c r="I813" i="3"/>
  <c r="I815" i="3"/>
  <c r="I817" i="3"/>
  <c r="I819" i="3"/>
  <c r="I821" i="3"/>
  <c r="I823" i="3"/>
  <c r="I825" i="3"/>
  <c r="I827" i="3"/>
  <c r="I829" i="3"/>
  <c r="I831" i="3"/>
  <c r="I833" i="3"/>
  <c r="I836" i="3"/>
  <c r="I839" i="3"/>
  <c r="I968" i="3"/>
  <c r="I974" i="3"/>
  <c r="I460" i="3"/>
  <c r="I462" i="3"/>
  <c r="I464" i="3"/>
  <c r="I466" i="3"/>
  <c r="I468" i="3"/>
  <c r="I470" i="3"/>
  <c r="I472" i="3"/>
  <c r="I474" i="3"/>
  <c r="I476" i="3"/>
  <c r="I478" i="3"/>
  <c r="I482" i="3"/>
  <c r="I484" i="3"/>
  <c r="I486" i="3"/>
  <c r="I488" i="3"/>
  <c r="I490" i="3"/>
  <c r="I492" i="3"/>
  <c r="I494" i="3"/>
  <c r="I496" i="3"/>
  <c r="I498" i="3"/>
  <c r="I500" i="3"/>
  <c r="I502" i="3"/>
  <c r="I504" i="3"/>
  <c r="I508" i="3"/>
  <c r="I510" i="3"/>
  <c r="I512" i="3"/>
  <c r="I514" i="3"/>
  <c r="I516" i="3"/>
  <c r="I518" i="3"/>
  <c r="I528" i="3"/>
  <c r="I530" i="3"/>
  <c r="I532" i="3"/>
  <c r="I534" i="3"/>
  <c r="I536" i="3"/>
  <c r="I538" i="3"/>
  <c r="I540" i="3"/>
  <c r="I542" i="3"/>
  <c r="I544" i="3"/>
  <c r="I806" i="3"/>
  <c r="I808" i="3"/>
  <c r="I844" i="3"/>
  <c r="I890" i="3"/>
  <c r="I896" i="3"/>
  <c r="I902" i="3"/>
  <c r="I908" i="3"/>
  <c r="I369" i="3"/>
  <c r="I371" i="3"/>
  <c r="I373" i="3"/>
  <c r="I375" i="3"/>
  <c r="I377" i="3"/>
  <c r="I379" i="3"/>
  <c r="I381" i="3"/>
  <c r="I383" i="3"/>
  <c r="I385" i="3"/>
  <c r="I387" i="3"/>
  <c r="I389" i="3"/>
  <c r="I391" i="3"/>
  <c r="I393" i="3"/>
  <c r="I395" i="3"/>
  <c r="I397" i="3"/>
  <c r="I399" i="3"/>
  <c r="I401" i="3"/>
  <c r="I403" i="3"/>
  <c r="I405" i="3"/>
  <c r="I407" i="3"/>
  <c r="I409" i="3"/>
  <c r="I411" i="3"/>
  <c r="I413" i="3"/>
  <c r="I415" i="3"/>
  <c r="I417" i="3"/>
  <c r="I419" i="3"/>
  <c r="I421" i="3"/>
  <c r="I423" i="3"/>
  <c r="I425" i="3"/>
  <c r="I427" i="3"/>
  <c r="I429" i="3"/>
  <c r="I431" i="3"/>
  <c r="I433" i="3"/>
  <c r="I435" i="3"/>
  <c r="I437" i="3"/>
  <c r="I439" i="3"/>
  <c r="I441" i="3"/>
  <c r="I443" i="3"/>
  <c r="I445" i="3"/>
  <c r="I447" i="3"/>
  <c r="I449" i="3"/>
  <c r="I451" i="3"/>
  <c r="I453" i="3"/>
  <c r="I547" i="3"/>
  <c r="I549" i="3"/>
  <c r="I551" i="3"/>
  <c r="I553" i="3"/>
  <c r="I555" i="3"/>
  <c r="I557" i="3"/>
  <c r="I559" i="3"/>
  <c r="I561" i="3"/>
  <c r="I563" i="3"/>
  <c r="I565" i="3"/>
  <c r="I567" i="3"/>
  <c r="I569" i="3"/>
  <c r="I571" i="3"/>
  <c r="I573" i="3"/>
  <c r="I575" i="3"/>
  <c r="I577" i="3"/>
  <c r="I579" i="3"/>
  <c r="I581" i="3"/>
  <c r="I583" i="3"/>
  <c r="I585" i="3"/>
  <c r="I587" i="3"/>
  <c r="I589" i="3"/>
  <c r="I591" i="3"/>
  <c r="I593" i="3"/>
  <c r="I595" i="3"/>
  <c r="I597" i="3"/>
  <c r="I599" i="3"/>
  <c r="I601" i="3"/>
  <c r="I603" i="3"/>
  <c r="I605" i="3"/>
  <c r="I607" i="3"/>
  <c r="I609" i="3"/>
  <c r="I611" i="3"/>
  <c r="I613" i="3"/>
  <c r="I615" i="3"/>
  <c r="I617" i="3"/>
  <c r="I619" i="3"/>
  <c r="I621" i="3"/>
  <c r="I623" i="3"/>
  <c r="I625" i="3"/>
  <c r="I627" i="3"/>
  <c r="I629" i="3"/>
  <c r="I631" i="3"/>
  <c r="I633" i="3"/>
  <c r="I635" i="3"/>
  <c r="I637" i="3"/>
  <c r="I641" i="3"/>
  <c r="I643" i="3"/>
  <c r="I645" i="3"/>
  <c r="I647" i="3"/>
  <c r="I649" i="3"/>
  <c r="I651" i="3"/>
  <c r="I653" i="3"/>
  <c r="I655" i="3"/>
  <c r="I665" i="3"/>
  <c r="I667" i="3"/>
  <c r="I669" i="3"/>
  <c r="I671" i="3"/>
  <c r="I673" i="3"/>
  <c r="I675" i="3"/>
  <c r="I677" i="3"/>
  <c r="I679" i="3"/>
  <c r="I681" i="3"/>
  <c r="I683" i="3"/>
  <c r="I685" i="3"/>
  <c r="I687" i="3"/>
  <c r="I693" i="3"/>
  <c r="I695" i="3"/>
  <c r="I697" i="3"/>
  <c r="I699" i="3"/>
  <c r="I701" i="3"/>
  <c r="I703" i="3"/>
  <c r="I705" i="3"/>
  <c r="I707" i="3"/>
  <c r="I709" i="3"/>
  <c r="I711" i="3"/>
  <c r="I713" i="3"/>
  <c r="I715" i="3"/>
  <c r="I717" i="3"/>
  <c r="I719" i="3"/>
  <c r="I721" i="3"/>
  <c r="I723" i="3"/>
  <c r="I725" i="3"/>
  <c r="I727" i="3"/>
  <c r="I729" i="3"/>
  <c r="I731" i="3"/>
  <c r="I834" i="3"/>
  <c r="I837" i="3"/>
  <c r="I966" i="3"/>
  <c r="I972" i="3"/>
  <c r="I978" i="3"/>
  <c r="I847" i="3"/>
  <c r="I849" i="3"/>
  <c r="I851" i="3"/>
  <c r="I853" i="3"/>
  <c r="I855" i="3"/>
  <c r="I857" i="3"/>
  <c r="I859" i="3"/>
  <c r="I861" i="3"/>
  <c r="I863" i="3"/>
  <c r="I865" i="3"/>
  <c r="I867" i="3"/>
  <c r="I869" i="3"/>
  <c r="I871" i="3"/>
  <c r="I873" i="3"/>
  <c r="I911" i="3"/>
  <c r="I913" i="3"/>
  <c r="I915" i="3"/>
  <c r="I917" i="3"/>
  <c r="I919" i="3"/>
  <c r="I921" i="3"/>
  <c r="I933" i="3"/>
  <c r="I935" i="3"/>
  <c r="I937" i="3"/>
  <c r="I939" i="3"/>
  <c r="I941" i="3"/>
  <c r="I981" i="3"/>
  <c r="I983" i="3"/>
  <c r="I985" i="3"/>
  <c r="I987" i="3"/>
  <c r="I989" i="3"/>
  <c r="I991" i="3"/>
  <c r="I997" i="3"/>
  <c r="I999" i="3"/>
  <c r="I1001" i="3"/>
  <c r="I1003" i="3"/>
  <c r="I1005" i="3"/>
  <c r="I1007" i="3"/>
  <c r="I1009" i="3"/>
  <c r="I1011" i="3"/>
  <c r="I1013" i="3"/>
  <c r="I1015" i="3"/>
  <c r="I1017" i="3"/>
  <c r="I1019" i="3"/>
  <c r="I1059" i="3"/>
  <c r="I1061" i="3"/>
  <c r="I1063" i="3"/>
  <c r="I1065" i="3"/>
  <c r="I1067" i="3"/>
  <c r="I1069" i="3"/>
  <c r="I1071" i="3"/>
  <c r="I1073" i="3"/>
  <c r="I1075" i="3"/>
  <c r="I1077" i="3"/>
  <c r="I1079" i="3"/>
  <c r="I1081" i="3"/>
  <c r="I1083" i="3"/>
  <c r="I1085" i="3"/>
  <c r="I1087" i="3"/>
  <c r="I1089" i="3"/>
  <c r="I1091" i="3"/>
  <c r="I1093" i="3"/>
  <c r="I1095" i="3"/>
  <c r="I1097" i="3"/>
  <c r="I1099" i="3"/>
  <c r="I1101" i="3"/>
  <c r="I840" i="3"/>
  <c r="I876" i="3"/>
  <c r="I878" i="3"/>
  <c r="I880" i="3"/>
  <c r="I882" i="3"/>
  <c r="I884" i="3"/>
  <c r="I886" i="3"/>
  <c r="I924" i="3"/>
  <c r="I926" i="3"/>
  <c r="I928" i="3"/>
  <c r="I942" i="3"/>
  <c r="I946" i="3"/>
  <c r="I948" i="3"/>
  <c r="I950" i="3"/>
  <c r="I952" i="3"/>
  <c r="I954" i="3"/>
  <c r="I956" i="3"/>
  <c r="I958" i="3"/>
  <c r="I960" i="3"/>
  <c r="I962" i="3"/>
  <c r="I1104" i="3"/>
  <c r="I1106" i="3"/>
  <c r="I1108" i="3"/>
  <c r="I1110" i="3"/>
  <c r="I1112" i="3"/>
  <c r="I1114" i="3"/>
  <c r="I843" i="3"/>
  <c r="I889" i="3"/>
  <c r="I891" i="3"/>
  <c r="I893" i="3"/>
  <c r="I895" i="3"/>
  <c r="I897" i="3"/>
  <c r="I899" i="3"/>
  <c r="I901" i="3"/>
  <c r="I903" i="3"/>
  <c r="I905" i="3"/>
  <c r="I907" i="3"/>
  <c r="I909" i="3"/>
  <c r="I965" i="3"/>
  <c r="I967" i="3"/>
  <c r="I969" i="3"/>
  <c r="I971" i="3"/>
  <c r="I973" i="3"/>
  <c r="I975" i="3"/>
  <c r="I977" i="3"/>
  <c r="I979" i="3"/>
  <c r="I1023" i="3"/>
  <c r="I1025" i="3"/>
  <c r="I1027" i="3"/>
  <c r="I1029" i="3"/>
  <c r="I1031" i="3"/>
  <c r="I1033" i="3"/>
  <c r="I1035" i="3"/>
  <c r="I1037" i="3"/>
  <c r="I1039" i="3"/>
  <c r="I1041" i="3"/>
  <c r="I1043" i="3"/>
  <c r="I1045" i="3"/>
  <c r="I1047" i="3"/>
  <c r="I1049" i="3"/>
  <c r="I1051" i="3"/>
  <c r="I1053" i="3"/>
  <c r="I1055" i="3"/>
  <c r="I1057" i="3"/>
  <c r="I846" i="3"/>
  <c r="I848" i="3"/>
  <c r="I850" i="3"/>
  <c r="I852" i="3"/>
  <c r="I854" i="3"/>
  <c r="I856" i="3"/>
  <c r="I858" i="3"/>
  <c r="I860" i="3"/>
  <c r="I862" i="3"/>
  <c r="I864" i="3"/>
  <c r="I866" i="3"/>
  <c r="I868" i="3"/>
  <c r="I870" i="3"/>
  <c r="I872" i="3"/>
  <c r="I912" i="3"/>
  <c r="I914" i="3"/>
  <c r="I916" i="3"/>
  <c r="I918" i="3"/>
  <c r="I920" i="3"/>
  <c r="I922" i="3"/>
  <c r="I932" i="3"/>
  <c r="I934" i="3"/>
  <c r="I936" i="3"/>
  <c r="I938" i="3"/>
  <c r="I940" i="3"/>
  <c r="I982" i="3"/>
  <c r="I984" i="3"/>
  <c r="I986" i="3"/>
  <c r="I988" i="3"/>
  <c r="I990" i="3"/>
  <c r="I992" i="3"/>
  <c r="I996" i="3"/>
  <c r="I998" i="3"/>
  <c r="I1000" i="3"/>
  <c r="I1002" i="3"/>
  <c r="I1004" i="3"/>
  <c r="I1006" i="3"/>
  <c r="I1008" i="3"/>
  <c r="I1010" i="3"/>
  <c r="I1012" i="3"/>
  <c r="I1014" i="3"/>
  <c r="I1016" i="3"/>
  <c r="I1018" i="3"/>
  <c r="I1060" i="3"/>
  <c r="I1062" i="3"/>
  <c r="I1064" i="3"/>
  <c r="I1066" i="3"/>
  <c r="I1068" i="3"/>
  <c r="I1070" i="3"/>
  <c r="I1072" i="3"/>
  <c r="I1074" i="3"/>
  <c r="I1076" i="3"/>
  <c r="I1078" i="3"/>
  <c r="I1080" i="3"/>
  <c r="I1082" i="3"/>
  <c r="I1084" i="3"/>
  <c r="I1086" i="3"/>
  <c r="I1088" i="3"/>
  <c r="I1090" i="3"/>
  <c r="I1092" i="3"/>
  <c r="I1094" i="3"/>
  <c r="I1096" i="3"/>
  <c r="I1098" i="3"/>
  <c r="I1100" i="3"/>
  <c r="I1102" i="3"/>
  <c r="I875" i="3"/>
  <c r="I877" i="3"/>
  <c r="I879" i="3"/>
  <c r="I881" i="3"/>
  <c r="I883" i="3"/>
  <c r="I885" i="3"/>
  <c r="I925" i="3"/>
  <c r="I927" i="3"/>
  <c r="I929" i="3"/>
  <c r="I947" i="3"/>
  <c r="I949" i="3"/>
  <c r="I951" i="3"/>
  <c r="I953" i="3"/>
  <c r="I955" i="3"/>
  <c r="I957" i="3"/>
  <c r="I959" i="3"/>
  <c r="I961" i="3"/>
  <c r="I1105" i="3"/>
  <c r="I1107" i="3"/>
  <c r="I1109" i="3"/>
  <c r="I1111" i="3"/>
  <c r="I1113" i="3"/>
  <c r="I1022" i="3"/>
  <c r="I1024" i="3"/>
  <c r="I1026" i="3"/>
  <c r="I1028" i="3"/>
  <c r="I1030" i="3"/>
  <c r="I1032" i="3"/>
  <c r="I1034" i="3"/>
  <c r="I1036" i="3"/>
  <c r="I1038" i="3"/>
  <c r="I1040" i="3"/>
  <c r="I1042" i="3"/>
  <c r="I1044" i="3"/>
  <c r="I1046" i="3"/>
  <c r="I1048" i="3"/>
  <c r="I1050" i="3"/>
  <c r="I1052" i="3"/>
  <c r="I1054" i="3"/>
  <c r="I1056" i="3"/>
  <c r="I1115" i="3"/>
  <c r="I1116" i="3"/>
  <c r="H67" i="3"/>
  <c r="H69" i="3"/>
  <c r="H71" i="3"/>
  <c r="H73" i="3"/>
  <c r="H75" i="3"/>
  <c r="H77" i="3"/>
  <c r="H79" i="3"/>
  <c r="H81" i="3"/>
  <c r="H83" i="3"/>
  <c r="H85" i="3"/>
  <c r="H87" i="3"/>
  <c r="H89" i="3"/>
  <c r="H91" i="3"/>
  <c r="H93" i="3"/>
  <c r="H95" i="3"/>
  <c r="H97" i="3"/>
  <c r="H99" i="3"/>
  <c r="H101" i="3"/>
  <c r="H103" i="3"/>
  <c r="H105" i="3"/>
  <c r="H107" i="3"/>
  <c r="H109" i="3"/>
  <c r="H111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7" i="3"/>
  <c r="H369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694" i="3"/>
  <c r="H698" i="3"/>
  <c r="H702" i="3"/>
  <c r="H706" i="3"/>
  <c r="H710" i="3"/>
  <c r="H714" i="3"/>
  <c r="H718" i="3"/>
  <c r="H722" i="3"/>
  <c r="H726" i="3"/>
  <c r="H730" i="3"/>
  <c r="H861" i="3"/>
  <c r="H921" i="3"/>
  <c r="H150" i="3"/>
  <c r="H152" i="3"/>
  <c r="H154" i="3"/>
  <c r="H156" i="3"/>
  <c r="H158" i="3"/>
  <c r="H160" i="3"/>
  <c r="H166" i="3"/>
  <c r="H168" i="3"/>
  <c r="H170" i="3"/>
  <c r="H172" i="3"/>
  <c r="H174" i="3"/>
  <c r="H176" i="3"/>
  <c r="H178" i="3"/>
  <c r="H180" i="3"/>
  <c r="H182" i="3"/>
  <c r="H184" i="3"/>
  <c r="H186" i="3"/>
  <c r="H188" i="3"/>
  <c r="H190" i="3"/>
  <c r="H192" i="3"/>
  <c r="H194" i="3"/>
  <c r="H196" i="3"/>
  <c r="H198" i="3"/>
  <c r="H200" i="3"/>
  <c r="H202" i="3"/>
  <c r="H204" i="3"/>
  <c r="H206" i="3"/>
  <c r="H208" i="3"/>
  <c r="H210" i="3"/>
  <c r="H212" i="3"/>
  <c r="H214" i="3"/>
  <c r="H216" i="3"/>
  <c r="H218" i="3"/>
  <c r="H220" i="3"/>
  <c r="H222" i="3"/>
  <c r="H224" i="3"/>
  <c r="H226" i="3"/>
  <c r="H228" i="3"/>
  <c r="H230" i="3"/>
  <c r="H232" i="3"/>
  <c r="H234" i="3"/>
  <c r="H236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70" i="3"/>
  <c r="H380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857" i="3"/>
  <c r="H917" i="3"/>
  <c r="H7" i="3"/>
  <c r="H9" i="3"/>
  <c r="H11" i="3"/>
  <c r="H13" i="3"/>
  <c r="H15" i="3"/>
  <c r="H17" i="3"/>
  <c r="H19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H291" i="3"/>
  <c r="H293" i="3"/>
  <c r="H295" i="3"/>
  <c r="H297" i="3"/>
  <c r="H299" i="3"/>
  <c r="H301" i="3"/>
  <c r="H303" i="3"/>
  <c r="H305" i="3"/>
  <c r="H307" i="3"/>
  <c r="H309" i="3"/>
  <c r="H311" i="3"/>
  <c r="H313" i="3"/>
  <c r="H315" i="3"/>
  <c r="H317" i="3"/>
  <c r="H319" i="3"/>
  <c r="H321" i="3"/>
  <c r="H323" i="3"/>
  <c r="H325" i="3"/>
  <c r="H327" i="3"/>
  <c r="H329" i="3"/>
  <c r="H331" i="3"/>
  <c r="H333" i="3"/>
  <c r="H335" i="3"/>
  <c r="H337" i="3"/>
  <c r="H339" i="3"/>
  <c r="H371" i="3"/>
  <c r="H642" i="3"/>
  <c r="H646" i="3"/>
  <c r="H650" i="3"/>
  <c r="H654" i="3"/>
  <c r="H664" i="3"/>
  <c r="H668" i="3"/>
  <c r="H672" i="3"/>
  <c r="H676" i="3"/>
  <c r="H680" i="3"/>
  <c r="H684" i="3"/>
  <c r="H688" i="3"/>
  <c r="H853" i="3"/>
  <c r="H913" i="3"/>
  <c r="H68" i="3"/>
  <c r="H70" i="3"/>
  <c r="H72" i="3"/>
  <c r="H74" i="3"/>
  <c r="H76" i="3"/>
  <c r="H78" i="3"/>
  <c r="H80" i="3"/>
  <c r="H82" i="3"/>
  <c r="H84" i="3"/>
  <c r="H86" i="3"/>
  <c r="H88" i="3"/>
  <c r="H90" i="3"/>
  <c r="H92" i="3"/>
  <c r="H94" i="3"/>
  <c r="H96" i="3"/>
  <c r="H98" i="3"/>
  <c r="H100" i="3"/>
  <c r="H102" i="3"/>
  <c r="H104" i="3"/>
  <c r="H106" i="3"/>
  <c r="H108" i="3"/>
  <c r="H110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8" i="3"/>
  <c r="H367" i="3"/>
  <c r="H372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692" i="3"/>
  <c r="H696" i="3"/>
  <c r="H700" i="3"/>
  <c r="H704" i="3"/>
  <c r="H708" i="3"/>
  <c r="H712" i="3"/>
  <c r="H716" i="3"/>
  <c r="H720" i="3"/>
  <c r="H724" i="3"/>
  <c r="H728" i="3"/>
  <c r="H732" i="3"/>
  <c r="H849" i="3"/>
  <c r="H873" i="3"/>
  <c r="H151" i="3"/>
  <c r="H153" i="3"/>
  <c r="H155" i="3"/>
  <c r="H157" i="3"/>
  <c r="H159" i="3"/>
  <c r="H161" i="3"/>
  <c r="H165" i="3"/>
  <c r="H167" i="3"/>
  <c r="H169" i="3"/>
  <c r="H171" i="3"/>
  <c r="H173" i="3"/>
  <c r="H175" i="3"/>
  <c r="H177" i="3"/>
  <c r="H179" i="3"/>
  <c r="H181" i="3"/>
  <c r="H183" i="3"/>
  <c r="H185" i="3"/>
  <c r="H187" i="3"/>
  <c r="H189" i="3"/>
  <c r="H191" i="3"/>
  <c r="H193" i="3"/>
  <c r="H195" i="3"/>
  <c r="H197" i="3"/>
  <c r="H199" i="3"/>
  <c r="H201" i="3"/>
  <c r="H203" i="3"/>
  <c r="H205" i="3"/>
  <c r="H207" i="3"/>
  <c r="H209" i="3"/>
  <c r="H211" i="3"/>
  <c r="H213" i="3"/>
  <c r="H215" i="3"/>
  <c r="H217" i="3"/>
  <c r="H219" i="3"/>
  <c r="H221" i="3"/>
  <c r="H223" i="3"/>
  <c r="H225" i="3"/>
  <c r="H227" i="3"/>
  <c r="H229" i="3"/>
  <c r="H231" i="3"/>
  <c r="H233" i="3"/>
  <c r="H235" i="3"/>
  <c r="H237" i="3"/>
  <c r="H343" i="3"/>
  <c r="H345" i="3"/>
  <c r="H347" i="3"/>
  <c r="H349" i="3"/>
  <c r="H351" i="3"/>
  <c r="H353" i="3"/>
  <c r="H355" i="3"/>
  <c r="H357" i="3"/>
  <c r="H359" i="3"/>
  <c r="H361" i="3"/>
  <c r="H363" i="3"/>
  <c r="H365" i="3"/>
  <c r="H37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869" i="3"/>
  <c r="H8" i="3"/>
  <c r="H10" i="3"/>
  <c r="H12" i="3"/>
  <c r="H14" i="3"/>
  <c r="H16" i="3"/>
  <c r="H18" i="3"/>
  <c r="H20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H52" i="3"/>
  <c r="H54" i="3"/>
  <c r="H56" i="3"/>
  <c r="H58" i="3"/>
  <c r="H60" i="3"/>
  <c r="H62" i="3"/>
  <c r="H64" i="3"/>
  <c r="H240" i="3"/>
  <c r="H242" i="3"/>
  <c r="H244" i="3"/>
  <c r="H246" i="3"/>
  <c r="H248" i="3"/>
  <c r="H250" i="3"/>
  <c r="H252" i="3"/>
  <c r="H254" i="3"/>
  <c r="H256" i="3"/>
  <c r="H258" i="3"/>
  <c r="H260" i="3"/>
  <c r="H262" i="3"/>
  <c r="H264" i="3"/>
  <c r="H266" i="3"/>
  <c r="H268" i="3"/>
  <c r="H270" i="3"/>
  <c r="H272" i="3"/>
  <c r="H274" i="3"/>
  <c r="H276" i="3"/>
  <c r="H278" i="3"/>
  <c r="H280" i="3"/>
  <c r="H282" i="3"/>
  <c r="H284" i="3"/>
  <c r="H286" i="3"/>
  <c r="H288" i="3"/>
  <c r="H290" i="3"/>
  <c r="H292" i="3"/>
  <c r="H294" i="3"/>
  <c r="H296" i="3"/>
  <c r="H298" i="3"/>
  <c r="H300" i="3"/>
  <c r="H302" i="3"/>
  <c r="H304" i="3"/>
  <c r="H306" i="3"/>
  <c r="H308" i="3"/>
  <c r="H310" i="3"/>
  <c r="H312" i="3"/>
  <c r="H314" i="3"/>
  <c r="H316" i="3"/>
  <c r="H318" i="3"/>
  <c r="H320" i="3"/>
  <c r="H322" i="3"/>
  <c r="H324" i="3"/>
  <c r="H326" i="3"/>
  <c r="H328" i="3"/>
  <c r="H330" i="3"/>
  <c r="H332" i="3"/>
  <c r="H334" i="3"/>
  <c r="H336" i="3"/>
  <c r="H338" i="3"/>
  <c r="H368" i="3"/>
  <c r="H376" i="3"/>
  <c r="H644" i="3"/>
  <c r="H648" i="3"/>
  <c r="H652" i="3"/>
  <c r="H666" i="3"/>
  <c r="H670" i="3"/>
  <c r="H674" i="3"/>
  <c r="H678" i="3"/>
  <c r="H682" i="3"/>
  <c r="H686" i="3"/>
  <c r="H865" i="3"/>
  <c r="H459" i="3"/>
  <c r="H461" i="3"/>
  <c r="H463" i="3"/>
  <c r="H465" i="3"/>
  <c r="H467" i="3"/>
  <c r="H469" i="3"/>
  <c r="H471" i="3"/>
  <c r="H473" i="3"/>
  <c r="H475" i="3"/>
  <c r="H477" i="3"/>
  <c r="H483" i="3"/>
  <c r="H485" i="3"/>
  <c r="H487" i="3"/>
  <c r="H489" i="3"/>
  <c r="H491" i="3"/>
  <c r="H493" i="3"/>
  <c r="H495" i="3"/>
  <c r="H497" i="3"/>
  <c r="H499" i="3"/>
  <c r="H501" i="3"/>
  <c r="H503" i="3"/>
  <c r="H509" i="3"/>
  <c r="H511" i="3"/>
  <c r="H513" i="3"/>
  <c r="H515" i="3"/>
  <c r="H517" i="3"/>
  <c r="H527" i="3"/>
  <c r="H529" i="3"/>
  <c r="H531" i="3"/>
  <c r="H533" i="3"/>
  <c r="H535" i="3"/>
  <c r="H537" i="3"/>
  <c r="H539" i="3"/>
  <c r="H541" i="3"/>
  <c r="H543" i="3"/>
  <c r="H545" i="3"/>
  <c r="H807" i="3"/>
  <c r="H809" i="3"/>
  <c r="H997" i="3"/>
  <c r="H1001" i="3"/>
  <c r="H1005" i="3"/>
  <c r="H1009" i="3"/>
  <c r="H1013" i="3"/>
  <c r="H1017" i="3"/>
  <c r="H521" i="3"/>
  <c r="H523" i="3"/>
  <c r="H525" i="3"/>
  <c r="H657" i="3"/>
  <c r="H659" i="3"/>
  <c r="H661" i="3"/>
  <c r="H735" i="3"/>
  <c r="H737" i="3"/>
  <c r="H739" i="3"/>
  <c r="H741" i="3"/>
  <c r="H743" i="3"/>
  <c r="H745" i="3"/>
  <c r="H747" i="3"/>
  <c r="H749" i="3"/>
  <c r="H751" i="3"/>
  <c r="H753" i="3"/>
  <c r="H755" i="3"/>
  <c r="H757" i="3"/>
  <c r="H759" i="3"/>
  <c r="H761" i="3"/>
  <c r="H763" i="3"/>
  <c r="H765" i="3"/>
  <c r="H767" i="3"/>
  <c r="H769" i="3"/>
  <c r="H771" i="3"/>
  <c r="H773" i="3"/>
  <c r="H775" i="3"/>
  <c r="H777" i="3"/>
  <c r="H779" i="3"/>
  <c r="H781" i="3"/>
  <c r="H783" i="3"/>
  <c r="H785" i="3"/>
  <c r="H787" i="3"/>
  <c r="H789" i="3"/>
  <c r="H791" i="3"/>
  <c r="H793" i="3"/>
  <c r="H795" i="3"/>
  <c r="H797" i="3"/>
  <c r="H799" i="3"/>
  <c r="H801" i="3"/>
  <c r="H803" i="3"/>
  <c r="H813" i="3"/>
  <c r="H815" i="3"/>
  <c r="H817" i="3"/>
  <c r="H819" i="3"/>
  <c r="H821" i="3"/>
  <c r="H823" i="3"/>
  <c r="H825" i="3"/>
  <c r="H827" i="3"/>
  <c r="H829" i="3"/>
  <c r="H831" i="3"/>
  <c r="H833" i="3"/>
  <c r="H935" i="3"/>
  <c r="H939" i="3"/>
  <c r="H983" i="3"/>
  <c r="H987" i="3"/>
  <c r="H991" i="3"/>
  <c r="H460" i="3"/>
  <c r="H462" i="3"/>
  <c r="H464" i="3"/>
  <c r="H466" i="3"/>
  <c r="H468" i="3"/>
  <c r="H470" i="3"/>
  <c r="H472" i="3"/>
  <c r="H474" i="3"/>
  <c r="H476" i="3"/>
  <c r="H478" i="3"/>
  <c r="H482" i="3"/>
  <c r="H484" i="3"/>
  <c r="H486" i="3"/>
  <c r="H488" i="3"/>
  <c r="H490" i="3"/>
  <c r="H492" i="3"/>
  <c r="H494" i="3"/>
  <c r="H496" i="3"/>
  <c r="H498" i="3"/>
  <c r="H500" i="3"/>
  <c r="H502" i="3"/>
  <c r="H504" i="3"/>
  <c r="H508" i="3"/>
  <c r="H510" i="3"/>
  <c r="H512" i="3"/>
  <c r="H514" i="3"/>
  <c r="H516" i="3"/>
  <c r="H518" i="3"/>
  <c r="H528" i="3"/>
  <c r="H530" i="3"/>
  <c r="H532" i="3"/>
  <c r="H534" i="3"/>
  <c r="H536" i="3"/>
  <c r="H538" i="3"/>
  <c r="H540" i="3"/>
  <c r="H542" i="3"/>
  <c r="H544" i="3"/>
  <c r="H806" i="3"/>
  <c r="H808" i="3"/>
  <c r="H999" i="3"/>
  <c r="H1003" i="3"/>
  <c r="H1007" i="3"/>
  <c r="H1011" i="3"/>
  <c r="H1015" i="3"/>
  <c r="H1019" i="3"/>
  <c r="H373" i="3"/>
  <c r="H375" i="3"/>
  <c r="H377" i="3"/>
  <c r="H379" i="3"/>
  <c r="H381" i="3"/>
  <c r="H383" i="3"/>
  <c r="H385" i="3"/>
  <c r="H387" i="3"/>
  <c r="H389" i="3"/>
  <c r="H391" i="3"/>
  <c r="H393" i="3"/>
  <c r="H395" i="3"/>
  <c r="H397" i="3"/>
  <c r="H399" i="3"/>
  <c r="H401" i="3"/>
  <c r="H403" i="3"/>
  <c r="H405" i="3"/>
  <c r="H407" i="3"/>
  <c r="H409" i="3"/>
  <c r="H411" i="3"/>
  <c r="H413" i="3"/>
  <c r="H415" i="3"/>
  <c r="H417" i="3"/>
  <c r="H419" i="3"/>
  <c r="H421" i="3"/>
  <c r="H423" i="3"/>
  <c r="H425" i="3"/>
  <c r="H427" i="3"/>
  <c r="H429" i="3"/>
  <c r="H431" i="3"/>
  <c r="H433" i="3"/>
  <c r="H435" i="3"/>
  <c r="H437" i="3"/>
  <c r="H439" i="3"/>
  <c r="H441" i="3"/>
  <c r="H443" i="3"/>
  <c r="H445" i="3"/>
  <c r="H447" i="3"/>
  <c r="H449" i="3"/>
  <c r="H451" i="3"/>
  <c r="H453" i="3"/>
  <c r="H547" i="3"/>
  <c r="H549" i="3"/>
  <c r="H551" i="3"/>
  <c r="H553" i="3"/>
  <c r="H555" i="3"/>
  <c r="H557" i="3"/>
  <c r="H559" i="3"/>
  <c r="H561" i="3"/>
  <c r="H563" i="3"/>
  <c r="H565" i="3"/>
  <c r="H567" i="3"/>
  <c r="H569" i="3"/>
  <c r="H571" i="3"/>
  <c r="H573" i="3"/>
  <c r="H575" i="3"/>
  <c r="H577" i="3"/>
  <c r="H579" i="3"/>
  <c r="H581" i="3"/>
  <c r="H583" i="3"/>
  <c r="H585" i="3"/>
  <c r="H587" i="3"/>
  <c r="H589" i="3"/>
  <c r="H591" i="3"/>
  <c r="H593" i="3"/>
  <c r="H595" i="3"/>
  <c r="H597" i="3"/>
  <c r="H599" i="3"/>
  <c r="H601" i="3"/>
  <c r="H603" i="3"/>
  <c r="H605" i="3"/>
  <c r="H607" i="3"/>
  <c r="H609" i="3"/>
  <c r="H611" i="3"/>
  <c r="H613" i="3"/>
  <c r="H615" i="3"/>
  <c r="H617" i="3"/>
  <c r="H619" i="3"/>
  <c r="H621" i="3"/>
  <c r="H623" i="3"/>
  <c r="H625" i="3"/>
  <c r="H627" i="3"/>
  <c r="H629" i="3"/>
  <c r="H631" i="3"/>
  <c r="H633" i="3"/>
  <c r="H635" i="3"/>
  <c r="H637" i="3"/>
  <c r="H641" i="3"/>
  <c r="H643" i="3"/>
  <c r="H645" i="3"/>
  <c r="H647" i="3"/>
  <c r="H649" i="3"/>
  <c r="H651" i="3"/>
  <c r="H653" i="3"/>
  <c r="H655" i="3"/>
  <c r="H665" i="3"/>
  <c r="H667" i="3"/>
  <c r="H669" i="3"/>
  <c r="H671" i="3"/>
  <c r="H673" i="3"/>
  <c r="H675" i="3"/>
  <c r="H677" i="3"/>
  <c r="H679" i="3"/>
  <c r="H681" i="3"/>
  <c r="H683" i="3"/>
  <c r="H685" i="3"/>
  <c r="H687" i="3"/>
  <c r="H693" i="3"/>
  <c r="H695" i="3"/>
  <c r="H697" i="3"/>
  <c r="H699" i="3"/>
  <c r="H701" i="3"/>
  <c r="H703" i="3"/>
  <c r="H705" i="3"/>
  <c r="H707" i="3"/>
  <c r="H709" i="3"/>
  <c r="H711" i="3"/>
  <c r="H713" i="3"/>
  <c r="H715" i="3"/>
  <c r="H717" i="3"/>
  <c r="H719" i="3"/>
  <c r="H721" i="3"/>
  <c r="H723" i="3"/>
  <c r="H725" i="3"/>
  <c r="H727" i="3"/>
  <c r="H729" i="3"/>
  <c r="H731" i="3"/>
  <c r="H847" i="3"/>
  <c r="H851" i="3"/>
  <c r="H855" i="3"/>
  <c r="H859" i="3"/>
  <c r="H863" i="3"/>
  <c r="H867" i="3"/>
  <c r="H871" i="3"/>
  <c r="H911" i="3"/>
  <c r="H915" i="3"/>
  <c r="H919" i="3"/>
  <c r="H522" i="3"/>
  <c r="H524" i="3"/>
  <c r="H658" i="3"/>
  <c r="H660" i="3"/>
  <c r="H734" i="3"/>
  <c r="H736" i="3"/>
  <c r="H738" i="3"/>
  <c r="H740" i="3"/>
  <c r="H742" i="3"/>
  <c r="H744" i="3"/>
  <c r="H746" i="3"/>
  <c r="H748" i="3"/>
  <c r="H750" i="3"/>
  <c r="H752" i="3"/>
  <c r="H754" i="3"/>
  <c r="H756" i="3"/>
  <c r="H758" i="3"/>
  <c r="H760" i="3"/>
  <c r="H762" i="3"/>
  <c r="H764" i="3"/>
  <c r="H766" i="3"/>
  <c r="H768" i="3"/>
  <c r="H770" i="3"/>
  <c r="H772" i="3"/>
  <c r="H774" i="3"/>
  <c r="H776" i="3"/>
  <c r="H778" i="3"/>
  <c r="H780" i="3"/>
  <c r="H782" i="3"/>
  <c r="H784" i="3"/>
  <c r="H786" i="3"/>
  <c r="H788" i="3"/>
  <c r="H790" i="3"/>
  <c r="H792" i="3"/>
  <c r="H794" i="3"/>
  <c r="H796" i="3"/>
  <c r="H798" i="3"/>
  <c r="H800" i="3"/>
  <c r="H802" i="3"/>
  <c r="H804" i="3"/>
  <c r="H812" i="3"/>
  <c r="H814" i="3"/>
  <c r="H816" i="3"/>
  <c r="H818" i="3"/>
  <c r="H820" i="3"/>
  <c r="H822" i="3"/>
  <c r="H824" i="3"/>
  <c r="H826" i="3"/>
  <c r="H828" i="3"/>
  <c r="H830" i="3"/>
  <c r="H832" i="3"/>
  <c r="H933" i="3"/>
  <c r="H937" i="3"/>
  <c r="H941" i="3"/>
  <c r="H981" i="3"/>
  <c r="H985" i="3"/>
  <c r="H989" i="3"/>
  <c r="H834" i="3"/>
  <c r="H836" i="3"/>
  <c r="H838" i="3"/>
  <c r="H840" i="3"/>
  <c r="H876" i="3"/>
  <c r="H878" i="3"/>
  <c r="H880" i="3"/>
  <c r="H882" i="3"/>
  <c r="H884" i="3"/>
  <c r="H886" i="3"/>
  <c r="H924" i="3"/>
  <c r="H926" i="3"/>
  <c r="H928" i="3"/>
  <c r="H942" i="3"/>
  <c r="H946" i="3"/>
  <c r="H948" i="3"/>
  <c r="H950" i="3"/>
  <c r="H952" i="3"/>
  <c r="H954" i="3"/>
  <c r="H956" i="3"/>
  <c r="H958" i="3"/>
  <c r="H960" i="3"/>
  <c r="H962" i="3"/>
  <c r="H1104" i="3"/>
  <c r="H1106" i="3"/>
  <c r="H1108" i="3"/>
  <c r="H1110" i="3"/>
  <c r="H1112" i="3"/>
  <c r="H1114" i="3"/>
  <c r="H843" i="3"/>
  <c r="H889" i="3"/>
  <c r="H891" i="3"/>
  <c r="H893" i="3"/>
  <c r="H895" i="3"/>
  <c r="H897" i="3"/>
  <c r="H899" i="3"/>
  <c r="H901" i="3"/>
  <c r="H903" i="3"/>
  <c r="H905" i="3"/>
  <c r="H907" i="3"/>
  <c r="H909" i="3"/>
  <c r="H965" i="3"/>
  <c r="H967" i="3"/>
  <c r="H969" i="3"/>
  <c r="H971" i="3"/>
  <c r="H973" i="3"/>
  <c r="H975" i="3"/>
  <c r="H977" i="3"/>
  <c r="H979" i="3"/>
  <c r="H1023" i="3"/>
  <c r="H1025" i="3"/>
  <c r="H1027" i="3"/>
  <c r="H1029" i="3"/>
  <c r="H1031" i="3"/>
  <c r="H1033" i="3"/>
  <c r="H1035" i="3"/>
  <c r="H1037" i="3"/>
  <c r="H1039" i="3"/>
  <c r="H1041" i="3"/>
  <c r="H1043" i="3"/>
  <c r="H1045" i="3"/>
  <c r="H1047" i="3"/>
  <c r="H1049" i="3"/>
  <c r="H1051" i="3"/>
  <c r="H1053" i="3"/>
  <c r="H1055" i="3"/>
  <c r="H1057" i="3"/>
  <c r="H846" i="3"/>
  <c r="H848" i="3"/>
  <c r="H850" i="3"/>
  <c r="H852" i="3"/>
  <c r="H854" i="3"/>
  <c r="H856" i="3"/>
  <c r="H858" i="3"/>
  <c r="H860" i="3"/>
  <c r="H862" i="3"/>
  <c r="H864" i="3"/>
  <c r="H866" i="3"/>
  <c r="H868" i="3"/>
  <c r="H870" i="3"/>
  <c r="H872" i="3"/>
  <c r="H912" i="3"/>
  <c r="H914" i="3"/>
  <c r="H916" i="3"/>
  <c r="H918" i="3"/>
  <c r="H920" i="3"/>
  <c r="H922" i="3"/>
  <c r="H932" i="3"/>
  <c r="H934" i="3"/>
  <c r="H936" i="3"/>
  <c r="H938" i="3"/>
  <c r="H940" i="3"/>
  <c r="H982" i="3"/>
  <c r="H984" i="3"/>
  <c r="H986" i="3"/>
  <c r="H988" i="3"/>
  <c r="H990" i="3"/>
  <c r="H992" i="3"/>
  <c r="H996" i="3"/>
  <c r="H998" i="3"/>
  <c r="H1000" i="3"/>
  <c r="H1002" i="3"/>
  <c r="H1004" i="3"/>
  <c r="H1006" i="3"/>
  <c r="H1008" i="3"/>
  <c r="H1010" i="3"/>
  <c r="H1012" i="3"/>
  <c r="H1014" i="3"/>
  <c r="H1016" i="3"/>
  <c r="H1018" i="3"/>
  <c r="H1060" i="3"/>
  <c r="H1062" i="3"/>
  <c r="H1064" i="3"/>
  <c r="H1066" i="3"/>
  <c r="H1068" i="3"/>
  <c r="H1070" i="3"/>
  <c r="H1072" i="3"/>
  <c r="H1074" i="3"/>
  <c r="H1076" i="3"/>
  <c r="H1078" i="3"/>
  <c r="H1080" i="3"/>
  <c r="H1082" i="3"/>
  <c r="H1084" i="3"/>
  <c r="H1086" i="3"/>
  <c r="H1088" i="3"/>
  <c r="H1090" i="3"/>
  <c r="H1092" i="3"/>
  <c r="H1094" i="3"/>
  <c r="H1096" i="3"/>
  <c r="H1098" i="3"/>
  <c r="H1100" i="3"/>
  <c r="H1102" i="3"/>
  <c r="H835" i="3"/>
  <c r="H837" i="3"/>
  <c r="H839" i="3"/>
  <c r="H875" i="3"/>
  <c r="H877" i="3"/>
  <c r="H879" i="3"/>
  <c r="H881" i="3"/>
  <c r="H883" i="3"/>
  <c r="H885" i="3"/>
  <c r="H925" i="3"/>
  <c r="H927" i="3"/>
  <c r="H929" i="3"/>
  <c r="H947" i="3"/>
  <c r="H949" i="3"/>
  <c r="H951" i="3"/>
  <c r="H953" i="3"/>
  <c r="H955" i="3"/>
  <c r="H957" i="3"/>
  <c r="H959" i="3"/>
  <c r="H961" i="3"/>
  <c r="H1105" i="3"/>
  <c r="H1107" i="3"/>
  <c r="H1109" i="3"/>
  <c r="H1111" i="3"/>
  <c r="H1113" i="3"/>
  <c r="H1115" i="3"/>
  <c r="H842" i="3"/>
  <c r="H844" i="3"/>
  <c r="H888" i="3"/>
  <c r="H890" i="3"/>
  <c r="H892" i="3"/>
  <c r="H894" i="3"/>
  <c r="H896" i="3"/>
  <c r="H898" i="3"/>
  <c r="H900" i="3"/>
  <c r="H902" i="3"/>
  <c r="H904" i="3"/>
  <c r="H906" i="3"/>
  <c r="H908" i="3"/>
  <c r="H964" i="3"/>
  <c r="H966" i="3"/>
  <c r="H968" i="3"/>
  <c r="H970" i="3"/>
  <c r="H972" i="3"/>
  <c r="H974" i="3"/>
  <c r="H976" i="3"/>
  <c r="H978" i="3"/>
  <c r="H1022" i="3"/>
  <c r="H1024" i="3"/>
  <c r="H1026" i="3"/>
  <c r="H1028" i="3"/>
  <c r="H1030" i="3"/>
  <c r="H1032" i="3"/>
  <c r="H1034" i="3"/>
  <c r="H1036" i="3"/>
  <c r="H1038" i="3"/>
  <c r="H1040" i="3"/>
  <c r="H1042" i="3"/>
  <c r="H1044" i="3"/>
  <c r="H1046" i="3"/>
  <c r="H1048" i="3"/>
  <c r="H1050" i="3"/>
  <c r="H1052" i="3"/>
  <c r="H1054" i="3"/>
  <c r="H1056" i="3"/>
  <c r="H1059" i="3"/>
  <c r="H1061" i="3"/>
  <c r="H1063" i="3"/>
  <c r="H1065" i="3"/>
  <c r="H1067" i="3"/>
  <c r="H1069" i="3"/>
  <c r="H1071" i="3"/>
  <c r="H1073" i="3"/>
  <c r="H1075" i="3"/>
  <c r="H1077" i="3"/>
  <c r="H1079" i="3"/>
  <c r="H1081" i="3"/>
  <c r="H1083" i="3"/>
  <c r="H1085" i="3"/>
  <c r="H1087" i="3"/>
  <c r="H1089" i="3"/>
  <c r="H1091" i="3"/>
  <c r="H1093" i="3"/>
  <c r="H1095" i="3"/>
  <c r="H1097" i="3"/>
  <c r="H1099" i="3"/>
  <c r="H1101" i="3"/>
  <c r="H1116" i="3"/>
  <c r="G150" i="3"/>
  <c r="G152" i="3"/>
  <c r="G154" i="3"/>
  <c r="G156" i="3"/>
  <c r="G158" i="3"/>
  <c r="G160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342" i="3"/>
  <c r="G344" i="3"/>
  <c r="G346" i="3"/>
  <c r="G348" i="3"/>
  <c r="G350" i="3"/>
  <c r="G352" i="3"/>
  <c r="G354" i="3"/>
  <c r="G356" i="3"/>
  <c r="G358" i="3"/>
  <c r="G360" i="3"/>
  <c r="G362" i="3"/>
  <c r="G364" i="3"/>
  <c r="G366" i="3"/>
  <c r="G370" i="3"/>
  <c r="G379" i="3"/>
  <c r="G380" i="3"/>
  <c r="G521" i="3"/>
  <c r="G659" i="3"/>
  <c r="G739" i="3"/>
  <c r="G745" i="3"/>
  <c r="G751" i="3"/>
  <c r="G757" i="3"/>
  <c r="G763" i="3"/>
  <c r="G769" i="3"/>
  <c r="G775" i="3"/>
  <c r="G781" i="3"/>
  <c r="G787" i="3"/>
  <c r="G793" i="3"/>
  <c r="G799" i="3"/>
  <c r="G817" i="3"/>
  <c r="G823" i="3"/>
  <c r="G829" i="3"/>
  <c r="G948" i="3"/>
  <c r="G7" i="3"/>
  <c r="G9" i="3"/>
  <c r="G11" i="3"/>
  <c r="G13" i="3"/>
  <c r="G15" i="3"/>
  <c r="G17" i="3"/>
  <c r="G19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3" i="3"/>
  <c r="G55" i="3"/>
  <c r="G57" i="3"/>
  <c r="G59" i="3"/>
  <c r="G61" i="3"/>
  <c r="G63" i="3"/>
  <c r="G65" i="3"/>
  <c r="G239" i="3"/>
  <c r="G241" i="3"/>
  <c r="G243" i="3"/>
  <c r="G245" i="3"/>
  <c r="G247" i="3"/>
  <c r="G249" i="3"/>
  <c r="G251" i="3"/>
  <c r="G253" i="3"/>
  <c r="G255" i="3"/>
  <c r="G257" i="3"/>
  <c r="G259" i="3"/>
  <c r="G261" i="3"/>
  <c r="G263" i="3"/>
  <c r="G265" i="3"/>
  <c r="G267" i="3"/>
  <c r="G269" i="3"/>
  <c r="G271" i="3"/>
  <c r="G273" i="3"/>
  <c r="G275" i="3"/>
  <c r="G277" i="3"/>
  <c r="G279" i="3"/>
  <c r="G281" i="3"/>
  <c r="G283" i="3"/>
  <c r="G285" i="3"/>
  <c r="G287" i="3"/>
  <c r="G289" i="3"/>
  <c r="G291" i="3"/>
  <c r="G293" i="3"/>
  <c r="G295" i="3"/>
  <c r="G297" i="3"/>
  <c r="G299" i="3"/>
  <c r="G301" i="3"/>
  <c r="G303" i="3"/>
  <c r="G305" i="3"/>
  <c r="G307" i="3"/>
  <c r="G309" i="3"/>
  <c r="G311" i="3"/>
  <c r="G313" i="3"/>
  <c r="G315" i="3"/>
  <c r="G317" i="3"/>
  <c r="G319" i="3"/>
  <c r="G321" i="3"/>
  <c r="G323" i="3"/>
  <c r="G325" i="3"/>
  <c r="G327" i="3"/>
  <c r="G329" i="3"/>
  <c r="G331" i="3"/>
  <c r="G333" i="3"/>
  <c r="G335" i="3"/>
  <c r="G337" i="3"/>
  <c r="G339" i="3"/>
  <c r="G371" i="3"/>
  <c r="G381" i="3"/>
  <c r="G954" i="3"/>
  <c r="G68" i="3"/>
  <c r="G70" i="3"/>
  <c r="G72" i="3"/>
  <c r="G7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367" i="3"/>
  <c r="G372" i="3"/>
  <c r="G525" i="3"/>
  <c r="G657" i="3"/>
  <c r="G737" i="3"/>
  <c r="G743" i="3"/>
  <c r="G749" i="3"/>
  <c r="G755" i="3"/>
  <c r="G761" i="3"/>
  <c r="G767" i="3"/>
  <c r="G773" i="3"/>
  <c r="G779" i="3"/>
  <c r="G785" i="3"/>
  <c r="G791" i="3"/>
  <c r="G797" i="3"/>
  <c r="G803" i="3"/>
  <c r="G815" i="3"/>
  <c r="G821" i="3"/>
  <c r="G827" i="3"/>
  <c r="G833" i="3"/>
  <c r="G960" i="3"/>
  <c r="G151" i="3"/>
  <c r="G153" i="3"/>
  <c r="G155" i="3"/>
  <c r="G157" i="3"/>
  <c r="G159" i="3"/>
  <c r="G161" i="3"/>
  <c r="G165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G195" i="3"/>
  <c r="G197" i="3"/>
  <c r="G199" i="3"/>
  <c r="G201" i="3"/>
  <c r="G203" i="3"/>
  <c r="G205" i="3"/>
  <c r="G207" i="3"/>
  <c r="G209" i="3"/>
  <c r="G211" i="3"/>
  <c r="G213" i="3"/>
  <c r="G215" i="3"/>
  <c r="G217" i="3"/>
  <c r="G219" i="3"/>
  <c r="G221" i="3"/>
  <c r="G223" i="3"/>
  <c r="G225" i="3"/>
  <c r="G227" i="3"/>
  <c r="G229" i="3"/>
  <c r="G231" i="3"/>
  <c r="G233" i="3"/>
  <c r="G235" i="3"/>
  <c r="G237" i="3"/>
  <c r="G343" i="3"/>
  <c r="G345" i="3"/>
  <c r="G347" i="3"/>
  <c r="G349" i="3"/>
  <c r="G351" i="3"/>
  <c r="G353" i="3"/>
  <c r="G355" i="3"/>
  <c r="G357" i="3"/>
  <c r="G359" i="3"/>
  <c r="G361" i="3"/>
  <c r="G363" i="3"/>
  <c r="G365" i="3"/>
  <c r="G373" i="3"/>
  <c r="G374" i="3"/>
  <c r="G8" i="3"/>
  <c r="G10" i="3"/>
  <c r="G12" i="3"/>
  <c r="G14" i="3"/>
  <c r="G16" i="3"/>
  <c r="G18" i="3"/>
  <c r="G20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240" i="3"/>
  <c r="G242" i="3"/>
  <c r="G244" i="3"/>
  <c r="G246" i="3"/>
  <c r="G248" i="3"/>
  <c r="G250" i="3"/>
  <c r="G252" i="3"/>
  <c r="G254" i="3"/>
  <c r="G256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06" i="3"/>
  <c r="G308" i="3"/>
  <c r="G310" i="3"/>
  <c r="G312" i="3"/>
  <c r="G314" i="3"/>
  <c r="G316" i="3"/>
  <c r="G318" i="3"/>
  <c r="G320" i="3"/>
  <c r="G322" i="3"/>
  <c r="G324" i="3"/>
  <c r="G326" i="3"/>
  <c r="G328" i="3"/>
  <c r="G330" i="3"/>
  <c r="G332" i="3"/>
  <c r="G334" i="3"/>
  <c r="G336" i="3"/>
  <c r="G338" i="3"/>
  <c r="G368" i="3"/>
  <c r="G375" i="3"/>
  <c r="G376" i="3"/>
  <c r="G523" i="3"/>
  <c r="G661" i="3"/>
  <c r="G735" i="3"/>
  <c r="G741" i="3"/>
  <c r="G747" i="3"/>
  <c r="G753" i="3"/>
  <c r="G759" i="3"/>
  <c r="G765" i="3"/>
  <c r="G771" i="3"/>
  <c r="G777" i="3"/>
  <c r="G783" i="3"/>
  <c r="G789" i="3"/>
  <c r="G795" i="3"/>
  <c r="G801" i="3"/>
  <c r="G813" i="3"/>
  <c r="G819" i="3"/>
  <c r="G825" i="3"/>
  <c r="G831" i="3"/>
  <c r="G6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3" i="3"/>
  <c r="G115" i="3"/>
  <c r="G117" i="3"/>
  <c r="G119" i="3"/>
  <c r="G121" i="3"/>
  <c r="G123" i="3"/>
  <c r="G125" i="3"/>
  <c r="G127" i="3"/>
  <c r="G129" i="3"/>
  <c r="G131" i="3"/>
  <c r="G133" i="3"/>
  <c r="G135" i="3"/>
  <c r="G137" i="3"/>
  <c r="G139" i="3"/>
  <c r="G141" i="3"/>
  <c r="G143" i="3"/>
  <c r="G145" i="3"/>
  <c r="G147" i="3"/>
  <c r="G369" i="3"/>
  <c r="G377" i="3"/>
  <c r="G378" i="3"/>
  <c r="G924" i="3"/>
  <c r="G382" i="3"/>
  <c r="G384" i="3"/>
  <c r="G386" i="3"/>
  <c r="G388" i="3"/>
  <c r="G390" i="3"/>
  <c r="G392" i="3"/>
  <c r="G394" i="3"/>
  <c r="G396" i="3"/>
  <c r="G398" i="3"/>
  <c r="G400" i="3"/>
  <c r="G402" i="3"/>
  <c r="G404" i="3"/>
  <c r="G406" i="3"/>
  <c r="G408" i="3"/>
  <c r="G410" i="3"/>
  <c r="G412" i="3"/>
  <c r="G414" i="3"/>
  <c r="G416" i="3"/>
  <c r="G418" i="3"/>
  <c r="G420" i="3"/>
  <c r="G422" i="3"/>
  <c r="G424" i="3"/>
  <c r="G426" i="3"/>
  <c r="G428" i="3"/>
  <c r="G430" i="3"/>
  <c r="G432" i="3"/>
  <c r="G434" i="3"/>
  <c r="G436" i="3"/>
  <c r="G438" i="3"/>
  <c r="G440" i="3"/>
  <c r="G442" i="3"/>
  <c r="G444" i="3"/>
  <c r="G446" i="3"/>
  <c r="G448" i="3"/>
  <c r="G450" i="3"/>
  <c r="G452" i="3"/>
  <c r="G548" i="3"/>
  <c r="G550" i="3"/>
  <c r="G552" i="3"/>
  <c r="G554" i="3"/>
  <c r="G556" i="3"/>
  <c r="G558" i="3"/>
  <c r="G560" i="3"/>
  <c r="G562" i="3"/>
  <c r="G564" i="3"/>
  <c r="G566" i="3"/>
  <c r="G568" i="3"/>
  <c r="G570" i="3"/>
  <c r="G572" i="3"/>
  <c r="G574" i="3"/>
  <c r="G576" i="3"/>
  <c r="G578" i="3"/>
  <c r="G580" i="3"/>
  <c r="G582" i="3"/>
  <c r="G584" i="3"/>
  <c r="G586" i="3"/>
  <c r="G588" i="3"/>
  <c r="G590" i="3"/>
  <c r="G592" i="3"/>
  <c r="G594" i="3"/>
  <c r="G596" i="3"/>
  <c r="G598" i="3"/>
  <c r="G600" i="3"/>
  <c r="G602" i="3"/>
  <c r="G604" i="3"/>
  <c r="G606" i="3"/>
  <c r="G608" i="3"/>
  <c r="G610" i="3"/>
  <c r="G612" i="3"/>
  <c r="G614" i="3"/>
  <c r="G616" i="3"/>
  <c r="G618" i="3"/>
  <c r="G620" i="3"/>
  <c r="G622" i="3"/>
  <c r="G624" i="3"/>
  <c r="G626" i="3"/>
  <c r="G628" i="3"/>
  <c r="G630" i="3"/>
  <c r="G632" i="3"/>
  <c r="G634" i="3"/>
  <c r="G636" i="3"/>
  <c r="G642" i="3"/>
  <c r="G644" i="3"/>
  <c r="G646" i="3"/>
  <c r="G648" i="3"/>
  <c r="G650" i="3"/>
  <c r="G652" i="3"/>
  <c r="G654" i="3"/>
  <c r="G664" i="3"/>
  <c r="G666" i="3"/>
  <c r="G668" i="3"/>
  <c r="G670" i="3"/>
  <c r="G672" i="3"/>
  <c r="G674" i="3"/>
  <c r="G676" i="3"/>
  <c r="G678" i="3"/>
  <c r="G680" i="3"/>
  <c r="G682" i="3"/>
  <c r="G684" i="3"/>
  <c r="G686" i="3"/>
  <c r="G688" i="3"/>
  <c r="G692" i="3"/>
  <c r="G694" i="3"/>
  <c r="G696" i="3"/>
  <c r="G698" i="3"/>
  <c r="G700" i="3"/>
  <c r="G702" i="3"/>
  <c r="G704" i="3"/>
  <c r="G706" i="3"/>
  <c r="G708" i="3"/>
  <c r="G710" i="3"/>
  <c r="G712" i="3"/>
  <c r="G714" i="3"/>
  <c r="G716" i="3"/>
  <c r="G718" i="3"/>
  <c r="G720" i="3"/>
  <c r="G722" i="3"/>
  <c r="G724" i="3"/>
  <c r="G726" i="3"/>
  <c r="G728" i="3"/>
  <c r="G730" i="3"/>
  <c r="G732" i="3"/>
  <c r="G835" i="3"/>
  <c r="G838" i="3"/>
  <c r="G878" i="3"/>
  <c r="G884" i="3"/>
  <c r="G460" i="3"/>
  <c r="G462" i="3"/>
  <c r="G464" i="3"/>
  <c r="G466" i="3"/>
  <c r="G468" i="3"/>
  <c r="G470" i="3"/>
  <c r="G472" i="3"/>
  <c r="G474" i="3"/>
  <c r="G476" i="3"/>
  <c r="G478" i="3"/>
  <c r="G482" i="3"/>
  <c r="G484" i="3"/>
  <c r="G486" i="3"/>
  <c r="G488" i="3"/>
  <c r="G490" i="3"/>
  <c r="G492" i="3"/>
  <c r="G494" i="3"/>
  <c r="G496" i="3"/>
  <c r="G498" i="3"/>
  <c r="G500" i="3"/>
  <c r="G502" i="3"/>
  <c r="G504" i="3"/>
  <c r="G508" i="3"/>
  <c r="G510" i="3"/>
  <c r="G512" i="3"/>
  <c r="G514" i="3"/>
  <c r="G516" i="3"/>
  <c r="G518" i="3"/>
  <c r="G528" i="3"/>
  <c r="G530" i="3"/>
  <c r="G532" i="3"/>
  <c r="G534" i="3"/>
  <c r="G536" i="3"/>
  <c r="G538" i="3"/>
  <c r="G540" i="3"/>
  <c r="G542" i="3"/>
  <c r="G544" i="3"/>
  <c r="G806" i="3"/>
  <c r="G808" i="3"/>
  <c r="G836" i="3"/>
  <c r="G839" i="3"/>
  <c r="G876" i="3"/>
  <c r="G882" i="3"/>
  <c r="G942" i="3"/>
  <c r="G383" i="3"/>
  <c r="G385" i="3"/>
  <c r="G387" i="3"/>
  <c r="G389" i="3"/>
  <c r="G391" i="3"/>
  <c r="G393" i="3"/>
  <c r="G395" i="3"/>
  <c r="G397" i="3"/>
  <c r="G399" i="3"/>
  <c r="G401" i="3"/>
  <c r="G403" i="3"/>
  <c r="G405" i="3"/>
  <c r="G407" i="3"/>
  <c r="G409" i="3"/>
  <c r="G411" i="3"/>
  <c r="G413" i="3"/>
  <c r="G415" i="3"/>
  <c r="G417" i="3"/>
  <c r="G419" i="3"/>
  <c r="G421" i="3"/>
  <c r="G423" i="3"/>
  <c r="G425" i="3"/>
  <c r="G427" i="3"/>
  <c r="G429" i="3"/>
  <c r="G431" i="3"/>
  <c r="G433" i="3"/>
  <c r="G435" i="3"/>
  <c r="G437" i="3"/>
  <c r="G439" i="3"/>
  <c r="G441" i="3"/>
  <c r="G443" i="3"/>
  <c r="G445" i="3"/>
  <c r="G447" i="3"/>
  <c r="G449" i="3"/>
  <c r="G451" i="3"/>
  <c r="G453" i="3"/>
  <c r="G547" i="3"/>
  <c r="G549" i="3"/>
  <c r="G551" i="3"/>
  <c r="G553" i="3"/>
  <c r="G555" i="3"/>
  <c r="G557" i="3"/>
  <c r="G559" i="3"/>
  <c r="G561" i="3"/>
  <c r="G563" i="3"/>
  <c r="G565" i="3"/>
  <c r="G567" i="3"/>
  <c r="G569" i="3"/>
  <c r="G571" i="3"/>
  <c r="G573" i="3"/>
  <c r="G575" i="3"/>
  <c r="G577" i="3"/>
  <c r="G579" i="3"/>
  <c r="G581" i="3"/>
  <c r="G583" i="3"/>
  <c r="G585" i="3"/>
  <c r="G587" i="3"/>
  <c r="G589" i="3"/>
  <c r="G591" i="3"/>
  <c r="G593" i="3"/>
  <c r="G595" i="3"/>
  <c r="G597" i="3"/>
  <c r="G599" i="3"/>
  <c r="G601" i="3"/>
  <c r="G603" i="3"/>
  <c r="G605" i="3"/>
  <c r="G607" i="3"/>
  <c r="G609" i="3"/>
  <c r="G611" i="3"/>
  <c r="G613" i="3"/>
  <c r="G615" i="3"/>
  <c r="G617" i="3"/>
  <c r="G619" i="3"/>
  <c r="G621" i="3"/>
  <c r="G623" i="3"/>
  <c r="G625" i="3"/>
  <c r="G627" i="3"/>
  <c r="G629" i="3"/>
  <c r="G631" i="3"/>
  <c r="G633" i="3"/>
  <c r="G635" i="3"/>
  <c r="G637" i="3"/>
  <c r="G641" i="3"/>
  <c r="G643" i="3"/>
  <c r="G645" i="3"/>
  <c r="G647" i="3"/>
  <c r="G649" i="3"/>
  <c r="G651" i="3"/>
  <c r="G653" i="3"/>
  <c r="G655" i="3"/>
  <c r="G665" i="3"/>
  <c r="G667" i="3"/>
  <c r="G669" i="3"/>
  <c r="G671" i="3"/>
  <c r="G673" i="3"/>
  <c r="G675" i="3"/>
  <c r="G677" i="3"/>
  <c r="G679" i="3"/>
  <c r="G681" i="3"/>
  <c r="G683" i="3"/>
  <c r="G685" i="3"/>
  <c r="G687" i="3"/>
  <c r="G693" i="3"/>
  <c r="G695" i="3"/>
  <c r="G697" i="3"/>
  <c r="G699" i="3"/>
  <c r="G701" i="3"/>
  <c r="G703" i="3"/>
  <c r="G705" i="3"/>
  <c r="G707" i="3"/>
  <c r="G709" i="3"/>
  <c r="G711" i="3"/>
  <c r="G713" i="3"/>
  <c r="G715" i="3"/>
  <c r="G717" i="3"/>
  <c r="G719" i="3"/>
  <c r="G721" i="3"/>
  <c r="G723" i="3"/>
  <c r="G725" i="3"/>
  <c r="G727" i="3"/>
  <c r="G729" i="3"/>
  <c r="G731" i="3"/>
  <c r="G928" i="3"/>
  <c r="G946" i="3"/>
  <c r="G952" i="3"/>
  <c r="G958" i="3"/>
  <c r="G522" i="3"/>
  <c r="G524" i="3"/>
  <c r="G658" i="3"/>
  <c r="G660" i="3"/>
  <c r="G734" i="3"/>
  <c r="G736" i="3"/>
  <c r="G738" i="3"/>
  <c r="G740" i="3"/>
  <c r="G742" i="3"/>
  <c r="G744" i="3"/>
  <c r="G746" i="3"/>
  <c r="G748" i="3"/>
  <c r="G750" i="3"/>
  <c r="G752" i="3"/>
  <c r="G754" i="3"/>
  <c r="G756" i="3"/>
  <c r="G758" i="3"/>
  <c r="G760" i="3"/>
  <c r="G762" i="3"/>
  <c r="G764" i="3"/>
  <c r="G766" i="3"/>
  <c r="G768" i="3"/>
  <c r="G770" i="3"/>
  <c r="G772" i="3"/>
  <c r="G774" i="3"/>
  <c r="G776" i="3"/>
  <c r="G778" i="3"/>
  <c r="G780" i="3"/>
  <c r="G782" i="3"/>
  <c r="G784" i="3"/>
  <c r="G786" i="3"/>
  <c r="G788" i="3"/>
  <c r="G790" i="3"/>
  <c r="G792" i="3"/>
  <c r="G794" i="3"/>
  <c r="G796" i="3"/>
  <c r="G798" i="3"/>
  <c r="G800" i="3"/>
  <c r="G802" i="3"/>
  <c r="G804" i="3"/>
  <c r="G812" i="3"/>
  <c r="G814" i="3"/>
  <c r="G816" i="3"/>
  <c r="G818" i="3"/>
  <c r="G820" i="3"/>
  <c r="G822" i="3"/>
  <c r="G824" i="3"/>
  <c r="G826" i="3"/>
  <c r="G828" i="3"/>
  <c r="G830" i="3"/>
  <c r="G832" i="3"/>
  <c r="G834" i="3"/>
  <c r="G837" i="3"/>
  <c r="G840" i="3"/>
  <c r="G880" i="3"/>
  <c r="G886" i="3"/>
  <c r="G459" i="3"/>
  <c r="G461" i="3"/>
  <c r="G463" i="3"/>
  <c r="G465" i="3"/>
  <c r="G467" i="3"/>
  <c r="G469" i="3"/>
  <c r="G471" i="3"/>
  <c r="G473" i="3"/>
  <c r="G475" i="3"/>
  <c r="G477" i="3"/>
  <c r="G483" i="3"/>
  <c r="G485" i="3"/>
  <c r="G487" i="3"/>
  <c r="G489" i="3"/>
  <c r="G491" i="3"/>
  <c r="G493" i="3"/>
  <c r="G495" i="3"/>
  <c r="G497" i="3"/>
  <c r="G499" i="3"/>
  <c r="G501" i="3"/>
  <c r="G503" i="3"/>
  <c r="G509" i="3"/>
  <c r="G511" i="3"/>
  <c r="G513" i="3"/>
  <c r="G515" i="3"/>
  <c r="G517" i="3"/>
  <c r="G527" i="3"/>
  <c r="G529" i="3"/>
  <c r="G531" i="3"/>
  <c r="G533" i="3"/>
  <c r="G535" i="3"/>
  <c r="G537" i="3"/>
  <c r="G539" i="3"/>
  <c r="G541" i="3"/>
  <c r="G543" i="3"/>
  <c r="G545" i="3"/>
  <c r="G807" i="3"/>
  <c r="G809" i="3"/>
  <c r="G926" i="3"/>
  <c r="G950" i="3"/>
  <c r="G956" i="3"/>
  <c r="G962" i="3"/>
  <c r="G843" i="3"/>
  <c r="G889" i="3"/>
  <c r="G891" i="3"/>
  <c r="G893" i="3"/>
  <c r="G895" i="3"/>
  <c r="G897" i="3"/>
  <c r="G899" i="3"/>
  <c r="G901" i="3"/>
  <c r="G903" i="3"/>
  <c r="G905" i="3"/>
  <c r="G907" i="3"/>
  <c r="G909" i="3"/>
  <c r="G965" i="3"/>
  <c r="G967" i="3"/>
  <c r="G969" i="3"/>
  <c r="G971" i="3"/>
  <c r="G973" i="3"/>
  <c r="G975" i="3"/>
  <c r="G977" i="3"/>
  <c r="G979" i="3"/>
  <c r="G1023" i="3"/>
  <c r="G1025" i="3"/>
  <c r="G1027" i="3"/>
  <c r="G1029" i="3"/>
  <c r="G1031" i="3"/>
  <c r="G1033" i="3"/>
  <c r="G1035" i="3"/>
  <c r="G1037" i="3"/>
  <c r="G1039" i="3"/>
  <c r="G1041" i="3"/>
  <c r="G1043" i="3"/>
  <c r="G1045" i="3"/>
  <c r="G1047" i="3"/>
  <c r="G1049" i="3"/>
  <c r="G1051" i="3"/>
  <c r="G1053" i="3"/>
  <c r="G1055" i="3"/>
  <c r="G1057" i="3"/>
  <c r="G846" i="3"/>
  <c r="G848" i="3"/>
  <c r="G850" i="3"/>
  <c r="G852" i="3"/>
  <c r="G854" i="3"/>
  <c r="G856" i="3"/>
  <c r="G858" i="3"/>
  <c r="G860" i="3"/>
  <c r="G862" i="3"/>
  <c r="G864" i="3"/>
  <c r="G866" i="3"/>
  <c r="G868" i="3"/>
  <c r="G870" i="3"/>
  <c r="G872" i="3"/>
  <c r="G912" i="3"/>
  <c r="G914" i="3"/>
  <c r="G916" i="3"/>
  <c r="G918" i="3"/>
  <c r="G920" i="3"/>
  <c r="G922" i="3"/>
  <c r="G932" i="3"/>
  <c r="G934" i="3"/>
  <c r="G936" i="3"/>
  <c r="G938" i="3"/>
  <c r="G940" i="3"/>
  <c r="G982" i="3"/>
  <c r="G984" i="3"/>
  <c r="G986" i="3"/>
  <c r="G988" i="3"/>
  <c r="G990" i="3"/>
  <c r="G992" i="3"/>
  <c r="G996" i="3"/>
  <c r="G998" i="3"/>
  <c r="G1000" i="3"/>
  <c r="G1002" i="3"/>
  <c r="G1004" i="3"/>
  <c r="G1006" i="3"/>
  <c r="G1008" i="3"/>
  <c r="G1010" i="3"/>
  <c r="G1012" i="3"/>
  <c r="G1014" i="3"/>
  <c r="G1016" i="3"/>
  <c r="G1018" i="3"/>
  <c r="G1060" i="3"/>
  <c r="G1062" i="3"/>
  <c r="G1064" i="3"/>
  <c r="G1066" i="3"/>
  <c r="G1068" i="3"/>
  <c r="G1070" i="3"/>
  <c r="G1072" i="3"/>
  <c r="G1074" i="3"/>
  <c r="G1076" i="3"/>
  <c r="G1078" i="3"/>
  <c r="G1080" i="3"/>
  <c r="G1082" i="3"/>
  <c r="G1084" i="3"/>
  <c r="G1086" i="3"/>
  <c r="G1088" i="3"/>
  <c r="G1090" i="3"/>
  <c r="G1092" i="3"/>
  <c r="G1094" i="3"/>
  <c r="G1096" i="3"/>
  <c r="G1098" i="3"/>
  <c r="G1100" i="3"/>
  <c r="G1102" i="3"/>
  <c r="G875" i="3"/>
  <c r="G877" i="3"/>
  <c r="G879" i="3"/>
  <c r="G881" i="3"/>
  <c r="G883" i="3"/>
  <c r="G885" i="3"/>
  <c r="G925" i="3"/>
  <c r="G927" i="3"/>
  <c r="G929" i="3"/>
  <c r="G947" i="3"/>
  <c r="G949" i="3"/>
  <c r="G951" i="3"/>
  <c r="G953" i="3"/>
  <c r="G955" i="3"/>
  <c r="G957" i="3"/>
  <c r="G959" i="3"/>
  <c r="G961" i="3"/>
  <c r="G1105" i="3"/>
  <c r="G1107" i="3"/>
  <c r="G1109" i="3"/>
  <c r="G1111" i="3"/>
  <c r="G1113" i="3"/>
  <c r="G1115" i="3"/>
  <c r="G842" i="3"/>
  <c r="G844" i="3"/>
  <c r="G888" i="3"/>
  <c r="G890" i="3"/>
  <c r="G892" i="3"/>
  <c r="G894" i="3"/>
  <c r="G896" i="3"/>
  <c r="G898" i="3"/>
  <c r="G900" i="3"/>
  <c r="G902" i="3"/>
  <c r="G904" i="3"/>
  <c r="G906" i="3"/>
  <c r="G908" i="3"/>
  <c r="G964" i="3"/>
  <c r="G966" i="3"/>
  <c r="G968" i="3"/>
  <c r="G970" i="3"/>
  <c r="G972" i="3"/>
  <c r="G974" i="3"/>
  <c r="G976" i="3"/>
  <c r="G978" i="3"/>
  <c r="G1022" i="3"/>
  <c r="G1024" i="3"/>
  <c r="G1026" i="3"/>
  <c r="G1028" i="3"/>
  <c r="G1030" i="3"/>
  <c r="G1032" i="3"/>
  <c r="G1034" i="3"/>
  <c r="G1036" i="3"/>
  <c r="G1038" i="3"/>
  <c r="G1040" i="3"/>
  <c r="G1042" i="3"/>
  <c r="G1044" i="3"/>
  <c r="G1046" i="3"/>
  <c r="G1048" i="3"/>
  <c r="G1050" i="3"/>
  <c r="G1052" i="3"/>
  <c r="G1054" i="3"/>
  <c r="G1056" i="3"/>
  <c r="G847" i="3"/>
  <c r="G849" i="3"/>
  <c r="G851" i="3"/>
  <c r="G853" i="3"/>
  <c r="G855" i="3"/>
  <c r="G857" i="3"/>
  <c r="G859" i="3"/>
  <c r="G861" i="3"/>
  <c r="G863" i="3"/>
  <c r="G865" i="3"/>
  <c r="G867" i="3"/>
  <c r="G869" i="3"/>
  <c r="G871" i="3"/>
  <c r="G873" i="3"/>
  <c r="G911" i="3"/>
  <c r="G913" i="3"/>
  <c r="G915" i="3"/>
  <c r="G917" i="3"/>
  <c r="G919" i="3"/>
  <c r="G921" i="3"/>
  <c r="G933" i="3"/>
  <c r="G935" i="3"/>
  <c r="G937" i="3"/>
  <c r="G939" i="3"/>
  <c r="G941" i="3"/>
  <c r="G981" i="3"/>
  <c r="G983" i="3"/>
  <c r="G985" i="3"/>
  <c r="G987" i="3"/>
  <c r="G989" i="3"/>
  <c r="G991" i="3"/>
  <c r="G997" i="3"/>
  <c r="G999" i="3"/>
  <c r="G1001" i="3"/>
  <c r="G1003" i="3"/>
  <c r="G1005" i="3"/>
  <c r="G1007" i="3"/>
  <c r="G1009" i="3"/>
  <c r="G1011" i="3"/>
  <c r="G1013" i="3"/>
  <c r="G1015" i="3"/>
  <c r="G1017" i="3"/>
  <c r="G1019" i="3"/>
  <c r="G1059" i="3"/>
  <c r="G1061" i="3"/>
  <c r="G1063" i="3"/>
  <c r="G1065" i="3"/>
  <c r="G1067" i="3"/>
  <c r="G1069" i="3"/>
  <c r="G1071" i="3"/>
  <c r="G1073" i="3"/>
  <c r="G1075" i="3"/>
  <c r="G1077" i="3"/>
  <c r="G1079" i="3"/>
  <c r="G1081" i="3"/>
  <c r="G1083" i="3"/>
  <c r="G1085" i="3"/>
  <c r="G1087" i="3"/>
  <c r="G1089" i="3"/>
  <c r="G1091" i="3"/>
  <c r="G1093" i="3"/>
  <c r="G1095" i="3"/>
  <c r="G1097" i="3"/>
  <c r="G1099" i="3"/>
  <c r="G1101" i="3"/>
  <c r="G1104" i="3"/>
  <c r="G1106" i="3"/>
  <c r="G1108" i="3"/>
  <c r="G1110" i="3"/>
  <c r="G1112" i="3"/>
  <c r="G1114" i="3"/>
  <c r="G1116" i="3"/>
  <c r="F1089" i="3"/>
  <c r="F870" i="3"/>
  <c r="F586" i="3"/>
  <c r="F445" i="3"/>
  <c r="F511" i="3"/>
  <c r="F1000" i="3"/>
  <c r="F30" i="3"/>
  <c r="F986" i="3"/>
  <c r="F864" i="3"/>
  <c r="F580" i="3"/>
  <c r="F207" i="3"/>
  <c r="F87" i="3"/>
  <c r="F215" i="3"/>
  <c r="F1082" i="3"/>
  <c r="F934" i="3"/>
  <c r="F770" i="3"/>
  <c r="F556" i="3"/>
  <c r="F369" i="3"/>
  <c r="F269" i="3"/>
  <c r="F736" i="3"/>
  <c r="F117" i="3"/>
  <c r="F918" i="3"/>
  <c r="F739" i="3"/>
  <c r="F388" i="3"/>
  <c r="F268" i="3"/>
  <c r="F161" i="3"/>
  <c r="F362" i="3"/>
  <c r="F992" i="3"/>
  <c r="F765" i="3"/>
  <c r="F437" i="3"/>
  <c r="F334" i="3"/>
  <c r="F444" i="3"/>
  <c r="F35" i="3"/>
  <c r="F45" i="3"/>
  <c r="F1096" i="3"/>
  <c r="F1057" i="3"/>
  <c r="F1052" i="3"/>
  <c r="F954" i="3"/>
  <c r="F906" i="3"/>
  <c r="F998" i="3"/>
  <c r="F850" i="3"/>
  <c r="F792" i="3"/>
  <c r="F832" i="3"/>
  <c r="F746" i="3"/>
  <c r="F774" i="3"/>
  <c r="F620" i="3"/>
  <c r="F585" i="3"/>
  <c r="F761" i="3"/>
  <c r="F531" i="3"/>
  <c r="F529" i="3"/>
  <c r="F508" i="3"/>
  <c r="F482" i="3"/>
  <c r="F409" i="3"/>
  <c r="F345" i="3"/>
  <c r="F296" i="3"/>
  <c r="F249" i="3"/>
  <c r="F356" i="3"/>
  <c r="F469" i="3"/>
  <c r="F245" i="3"/>
  <c r="F159" i="3"/>
  <c r="F61" i="3"/>
  <c r="F105" i="3"/>
  <c r="F1009" i="3"/>
  <c r="F915" i="3"/>
  <c r="F628" i="3"/>
  <c r="F495" i="3"/>
  <c r="F288" i="3"/>
  <c r="F41" i="3"/>
  <c r="F51" i="3"/>
  <c r="F1090" i="3"/>
  <c r="F1051" i="3"/>
  <c r="F1046" i="3"/>
  <c r="F948" i="3"/>
  <c r="F1108" i="3"/>
  <c r="F898" i="3"/>
  <c r="F843" i="3"/>
  <c r="F786" i="3"/>
  <c r="F826" i="3"/>
  <c r="F740" i="3"/>
  <c r="F768" i="3"/>
  <c r="F614" i="3"/>
  <c r="F579" i="3"/>
  <c r="F699" i="3"/>
  <c r="F524" i="3"/>
  <c r="F521" i="3"/>
  <c r="F499" i="3"/>
  <c r="F473" i="3"/>
  <c r="F403" i="3"/>
  <c r="F337" i="3"/>
  <c r="F290" i="3"/>
  <c r="F243" i="3"/>
  <c r="F350" i="3"/>
  <c r="F463" i="3"/>
  <c r="F239" i="3"/>
  <c r="F153" i="3"/>
  <c r="F68" i="3"/>
  <c r="F39" i="3"/>
  <c r="F905" i="3"/>
  <c r="F726" i="3"/>
  <c r="F561" i="3"/>
  <c r="F423" i="3"/>
  <c r="F398" i="3"/>
  <c r="F47" i="3"/>
  <c r="F57" i="3"/>
  <c r="F1084" i="3"/>
  <c r="F1045" i="3"/>
  <c r="F1040" i="3"/>
  <c r="F938" i="3"/>
  <c r="F989" i="3"/>
  <c r="F892" i="3"/>
  <c r="F836" i="3"/>
  <c r="F814" i="3"/>
  <c r="F820" i="3"/>
  <c r="F734" i="3"/>
  <c r="F762" i="3"/>
  <c r="F608" i="3"/>
  <c r="F573" i="3"/>
  <c r="F693" i="3"/>
  <c r="F698" i="3"/>
  <c r="F513" i="3"/>
  <c r="F493" i="3"/>
  <c r="F467" i="3"/>
  <c r="F397" i="3"/>
  <c r="F331" i="3"/>
  <c r="F284" i="3"/>
  <c r="F236" i="3"/>
  <c r="F344" i="3"/>
  <c r="F452" i="3"/>
  <c r="F232" i="3"/>
  <c r="F146" i="3"/>
  <c r="F147" i="3"/>
  <c r="F1092" i="3"/>
  <c r="F880" i="3"/>
  <c r="F571" i="3"/>
  <c r="F376" i="3"/>
  <c r="F218" i="3"/>
  <c r="F169" i="3"/>
  <c r="F135" i="3"/>
  <c r="F102" i="3"/>
  <c r="F1113" i="3"/>
  <c r="F1012" i="3"/>
  <c r="F1023" i="3"/>
  <c r="F969" i="3"/>
  <c r="F922" i="3"/>
  <c r="F817" i="3"/>
  <c r="F853" i="3"/>
  <c r="F890" i="3"/>
  <c r="F801" i="3"/>
  <c r="F748" i="3"/>
  <c r="F680" i="3"/>
  <c r="F642" i="3"/>
  <c r="F604" i="3"/>
  <c r="F536" i="3"/>
  <c r="F538" i="3"/>
  <c r="F565" i="3"/>
  <c r="F545" i="3"/>
  <c r="F468" i="3"/>
  <c r="F399" i="3"/>
  <c r="F352" i="3"/>
  <c r="F303" i="3"/>
  <c r="F231" i="3"/>
  <c r="F191" i="3"/>
  <c r="F299" i="3"/>
  <c r="F109" i="3"/>
  <c r="F125" i="3"/>
  <c r="F141" i="3"/>
  <c r="F970" i="3"/>
  <c r="F715" i="3"/>
  <c r="F677" i="3"/>
  <c r="F351" i="3"/>
  <c r="F151" i="3"/>
  <c r="F101" i="3"/>
  <c r="F56" i="3"/>
  <c r="F1098" i="3"/>
  <c r="F1017" i="3"/>
  <c r="F1091" i="3"/>
  <c r="F955" i="3"/>
  <c r="F997" i="3"/>
  <c r="F886" i="3"/>
  <c r="F837" i="3"/>
  <c r="F965" i="3"/>
  <c r="F769" i="3"/>
  <c r="F728" i="3"/>
  <c r="F613" i="3"/>
  <c r="F713" i="3"/>
  <c r="F676" i="3"/>
  <c r="F600" i="3"/>
  <c r="F605" i="3"/>
  <c r="F418" i="3"/>
  <c r="F401" i="3"/>
  <c r="F378" i="3"/>
  <c r="F470" i="3"/>
  <c r="F247" i="3"/>
  <c r="F199" i="3"/>
  <c r="F298" i="3"/>
  <c r="F258" i="3"/>
  <c r="F368" i="3"/>
  <c r="F179" i="3"/>
  <c r="F196" i="3"/>
  <c r="F60" i="3"/>
  <c r="F987" i="3"/>
  <c r="F877" i="3"/>
  <c r="F767" i="3"/>
  <c r="F415" i="3"/>
  <c r="F475" i="3"/>
  <c r="F1003" i="3"/>
  <c r="F729" i="3"/>
  <c r="F566" i="3"/>
  <c r="F332" i="3"/>
  <c r="F91" i="3"/>
  <c r="F533" i="3"/>
  <c r="F1083" i="3"/>
  <c r="F827" i="3"/>
  <c r="F615" i="3"/>
  <c r="F560" i="3"/>
  <c r="F439" i="3"/>
  <c r="F502" i="3"/>
  <c r="F1048" i="3"/>
  <c r="F18" i="3"/>
  <c r="F1024" i="3"/>
  <c r="F717" i="3"/>
  <c r="F534" i="3"/>
  <c r="F273" i="3"/>
  <c r="F79" i="3"/>
  <c r="F525" i="3"/>
  <c r="F92" i="3"/>
  <c r="F1061" i="3"/>
  <c r="F928" i="3"/>
  <c r="F643" i="3"/>
  <c r="F510" i="3"/>
  <c r="F227" i="3"/>
  <c r="F917" i="3"/>
  <c r="F17" i="3"/>
  <c r="F840" i="3"/>
  <c r="F652" i="3"/>
  <c r="F459" i="3"/>
  <c r="F235" i="3"/>
  <c r="F1085" i="3"/>
  <c r="F1060" i="3"/>
  <c r="F1075" i="3"/>
  <c r="F1013" i="3"/>
  <c r="F911" i="3"/>
  <c r="F964" i="3"/>
  <c r="F866" i="3"/>
  <c r="F901" i="3"/>
  <c r="F787" i="3"/>
  <c r="F803" i="3"/>
  <c r="F709" i="3"/>
  <c r="F679" i="3"/>
  <c r="F584" i="3"/>
  <c r="F737" i="3"/>
  <c r="F666" i="3"/>
  <c r="F671" i="3"/>
  <c r="F486" i="3"/>
  <c r="F466" i="3"/>
  <c r="F438" i="3"/>
  <c r="F373" i="3"/>
  <c r="F307" i="3"/>
  <c r="F260" i="3"/>
  <c r="F212" i="3"/>
  <c r="F318" i="3"/>
  <c r="F428" i="3"/>
  <c r="F208" i="3"/>
  <c r="F122" i="3"/>
  <c r="F175" i="3"/>
  <c r="F124" i="3"/>
  <c r="F949" i="3"/>
  <c r="F763" i="3"/>
  <c r="F594" i="3"/>
  <c r="F503" i="3"/>
  <c r="F434" i="3"/>
  <c r="F75" i="3"/>
  <c r="F136" i="3"/>
  <c r="F1053" i="3"/>
  <c r="F1069" i="3"/>
  <c r="F1007" i="3"/>
  <c r="F904" i="3"/>
  <c r="F957" i="3"/>
  <c r="F860" i="3"/>
  <c r="F895" i="3"/>
  <c r="F815" i="3"/>
  <c r="F797" i="3"/>
  <c r="F783" i="3"/>
  <c r="F673" i="3"/>
  <c r="F578" i="3"/>
  <c r="F730" i="3"/>
  <c r="F658" i="3"/>
  <c r="F665" i="3"/>
  <c r="F477" i="3"/>
  <c r="F460" i="3"/>
  <c r="F432" i="3"/>
  <c r="F367" i="3"/>
  <c r="F301" i="3"/>
  <c r="F254" i="3"/>
  <c r="F354" i="3"/>
  <c r="F312" i="3"/>
  <c r="F422" i="3"/>
  <c r="F178" i="3"/>
  <c r="F116" i="3"/>
  <c r="F181" i="3"/>
  <c r="F1102" i="3"/>
  <c r="F991" i="3"/>
  <c r="F722" i="3"/>
  <c r="F599" i="3"/>
  <c r="F277" i="3"/>
  <c r="F214" i="3"/>
  <c r="F77" i="3"/>
  <c r="F142" i="3"/>
  <c r="F1047" i="3"/>
  <c r="F1063" i="3"/>
  <c r="F1001" i="3"/>
  <c r="F1114" i="3"/>
  <c r="F951" i="3"/>
  <c r="F854" i="3"/>
  <c r="F889" i="3"/>
  <c r="F807" i="3"/>
  <c r="F791" i="3"/>
  <c r="F777" i="3"/>
  <c r="F667" i="3"/>
  <c r="F572" i="3"/>
  <c r="F724" i="3"/>
  <c r="F651" i="3"/>
  <c r="F657" i="3"/>
  <c r="F471" i="3"/>
  <c r="F449" i="3"/>
  <c r="F426" i="3"/>
  <c r="F361" i="3"/>
  <c r="F295" i="3"/>
  <c r="F248" i="3"/>
  <c r="F348" i="3"/>
  <c r="F306" i="3"/>
  <c r="F416" i="3"/>
  <c r="F172" i="3"/>
  <c r="F110" i="3"/>
  <c r="F9" i="3"/>
  <c r="F1011" i="3"/>
  <c r="F831" i="3"/>
  <c r="F707" i="3"/>
  <c r="F395" i="3"/>
  <c r="F183" i="3"/>
  <c r="F14" i="3"/>
  <c r="F27" i="3"/>
  <c r="F1115" i="3"/>
  <c r="F1076" i="3"/>
  <c r="F1071" i="3"/>
  <c r="F973" i="3"/>
  <c r="F926" i="3"/>
  <c r="F1016" i="3"/>
  <c r="F868" i="3"/>
  <c r="F813" i="3"/>
  <c r="F852" i="3"/>
  <c r="F764" i="3"/>
  <c r="F711" i="3"/>
  <c r="F641" i="3"/>
  <c r="F603" i="3"/>
  <c r="F779" i="3"/>
  <c r="F550" i="3"/>
  <c r="F548" i="3"/>
  <c r="F528" i="3"/>
  <c r="F500" i="3"/>
  <c r="F427" i="3"/>
  <c r="F363" i="3"/>
  <c r="F314" i="3"/>
  <c r="F267" i="3"/>
  <c r="F195" i="3"/>
  <c r="F490" i="3"/>
  <c r="F263" i="3"/>
  <c r="F180" i="3"/>
  <c r="F43" i="3"/>
  <c r="F108" i="3"/>
  <c r="F1004" i="3"/>
  <c r="F780" i="3"/>
  <c r="F535" i="3"/>
  <c r="F338" i="3"/>
  <c r="F128" i="3"/>
  <c r="F119" i="3"/>
  <c r="F88" i="3"/>
  <c r="F1062" i="3"/>
  <c r="F1099" i="3"/>
  <c r="F1054" i="3"/>
  <c r="F912" i="3"/>
  <c r="F959" i="3"/>
  <c r="F849" i="3"/>
  <c r="F884" i="3"/>
  <c r="F921" i="3"/>
  <c r="F732" i="3"/>
  <c r="F778" i="3"/>
  <c r="F577" i="3"/>
  <c r="F675" i="3"/>
  <c r="F634" i="3"/>
  <c r="F567" i="3"/>
  <c r="F569" i="3"/>
  <c r="F382" i="3"/>
  <c r="F365" i="3"/>
  <c r="F501" i="3"/>
  <c r="F429" i="3"/>
  <c r="F210" i="3"/>
  <c r="F333" i="3"/>
  <c r="F262" i="3"/>
  <c r="F221" i="3"/>
  <c r="F329" i="3"/>
  <c r="F139" i="3"/>
  <c r="F156" i="3"/>
  <c r="F170" i="3"/>
  <c r="F913" i="3"/>
  <c r="F789" i="3"/>
  <c r="F523" i="3"/>
  <c r="F387" i="3"/>
  <c r="F287" i="3"/>
  <c r="F112" i="3"/>
  <c r="F903" i="3"/>
  <c r="F782" i="3"/>
  <c r="F568" i="3"/>
  <c r="F381" i="3"/>
  <c r="F281" i="3"/>
  <c r="F839" i="3"/>
  <c r="F12" i="3"/>
  <c r="F940" i="3"/>
  <c r="F723" i="3"/>
  <c r="F515" i="3"/>
  <c r="F326" i="3"/>
  <c r="F275" i="3"/>
  <c r="F838" i="3"/>
  <c r="F8" i="3"/>
  <c r="F979" i="3"/>
  <c r="F858" i="3"/>
  <c r="F574" i="3"/>
  <c r="F433" i="3"/>
  <c r="F201" i="3"/>
  <c r="F90" i="3"/>
  <c r="F1068" i="3"/>
  <c r="F966" i="3"/>
  <c r="F809" i="3"/>
  <c r="F570" i="3"/>
  <c r="F435" i="3"/>
  <c r="F335" i="3"/>
  <c r="F796" i="3"/>
  <c r="F83" i="3"/>
  <c r="F1028" i="3"/>
  <c r="F794" i="3"/>
  <c r="F712" i="3"/>
  <c r="F414" i="3"/>
  <c r="F404" i="3"/>
  <c r="F324" i="3"/>
  <c r="F130" i="3"/>
  <c r="F89" i="3"/>
  <c r="F32" i="3"/>
  <c r="F1104" i="3"/>
  <c r="F1038" i="3"/>
  <c r="F1014" i="3"/>
  <c r="F981" i="3"/>
  <c r="F920" i="3"/>
  <c r="F828" i="3"/>
  <c r="F863" i="3"/>
  <c r="F990" i="3"/>
  <c r="F790" i="3"/>
  <c r="F753" i="3"/>
  <c r="F637" i="3"/>
  <c r="F738" i="3"/>
  <c r="F703" i="3"/>
  <c r="F624" i="3"/>
  <c r="F629" i="3"/>
  <c r="F442" i="3"/>
  <c r="F425" i="3"/>
  <c r="F402" i="3"/>
  <c r="F497" i="3"/>
  <c r="F271" i="3"/>
  <c r="F223" i="3"/>
  <c r="F322" i="3"/>
  <c r="F282" i="3"/>
  <c r="F392" i="3"/>
  <c r="F206" i="3"/>
  <c r="F86" i="3"/>
  <c r="F36" i="3"/>
  <c r="F62" i="3"/>
  <c r="F927" i="3"/>
  <c r="F759" i="3"/>
  <c r="F635" i="3"/>
  <c r="F313" i="3"/>
  <c r="F251" i="3"/>
  <c r="F93" i="3"/>
  <c r="F38" i="3"/>
  <c r="F1097" i="3"/>
  <c r="F1036" i="3"/>
  <c r="F1008" i="3"/>
  <c r="F974" i="3"/>
  <c r="F914" i="3"/>
  <c r="F822" i="3"/>
  <c r="F857" i="3"/>
  <c r="F984" i="3"/>
  <c r="F784" i="3"/>
  <c r="F747" i="3"/>
  <c r="F631" i="3"/>
  <c r="F731" i="3"/>
  <c r="F697" i="3"/>
  <c r="F618" i="3"/>
  <c r="F623" i="3"/>
  <c r="F436" i="3"/>
  <c r="F419" i="3"/>
  <c r="F396" i="3"/>
  <c r="F491" i="3"/>
  <c r="F265" i="3"/>
  <c r="F217" i="3"/>
  <c r="F316" i="3"/>
  <c r="F276" i="3"/>
  <c r="F386" i="3"/>
  <c r="F200" i="3"/>
  <c r="F80" i="3"/>
  <c r="F42" i="3"/>
  <c r="F1100" i="3"/>
  <c r="F834" i="3"/>
  <c r="F646" i="3"/>
  <c r="F448" i="3"/>
  <c r="F266" i="3"/>
  <c r="F168" i="3"/>
  <c r="F95" i="3"/>
  <c r="F44" i="3"/>
  <c r="F1111" i="3"/>
  <c r="F1031" i="3"/>
  <c r="F1002" i="3"/>
  <c r="F968" i="3"/>
  <c r="F907" i="3"/>
  <c r="F899" i="3"/>
  <c r="F851" i="3"/>
  <c r="F977" i="3"/>
  <c r="F781" i="3"/>
  <c r="F741" i="3"/>
  <c r="F625" i="3"/>
  <c r="F725" i="3"/>
  <c r="F688" i="3"/>
  <c r="F612" i="3"/>
  <c r="F617" i="3"/>
  <c r="F430" i="3"/>
  <c r="F413" i="3"/>
  <c r="F390" i="3"/>
  <c r="F485" i="3"/>
  <c r="F259" i="3"/>
  <c r="F211" i="3"/>
  <c r="F310" i="3"/>
  <c r="F270" i="3"/>
  <c r="F380" i="3"/>
  <c r="F194" i="3"/>
  <c r="F74" i="3"/>
  <c r="F48" i="3"/>
  <c r="F1019" i="3"/>
  <c r="F788" i="3"/>
  <c r="F706" i="3"/>
  <c r="F372" i="3"/>
  <c r="F517" i="3"/>
  <c r="F53" i="3"/>
  <c r="F63" i="3"/>
  <c r="F1078" i="3"/>
  <c r="F1039" i="3"/>
  <c r="F1033" i="3"/>
  <c r="F932" i="3"/>
  <c r="F983" i="3"/>
  <c r="F885" i="3"/>
  <c r="F830" i="3"/>
  <c r="F806" i="3"/>
  <c r="F816" i="3"/>
  <c r="F727" i="3"/>
  <c r="F700" i="3"/>
  <c r="F602" i="3"/>
  <c r="F755" i="3"/>
  <c r="F684" i="3"/>
  <c r="F692" i="3"/>
  <c r="F504" i="3"/>
  <c r="F487" i="3"/>
  <c r="F461" i="3"/>
  <c r="F391" i="3"/>
  <c r="F325" i="3"/>
  <c r="F278" i="3"/>
  <c r="F230" i="3"/>
  <c r="F336" i="3"/>
  <c r="F446" i="3"/>
  <c r="F226" i="3"/>
  <c r="F140" i="3"/>
  <c r="F154" i="3"/>
  <c r="F1055" i="3"/>
  <c r="F894" i="3"/>
  <c r="F668" i="3"/>
  <c r="F553" i="3"/>
  <c r="F327" i="3"/>
  <c r="F55" i="3"/>
  <c r="F138" i="3"/>
  <c r="F106" i="3"/>
  <c r="F1107" i="3"/>
  <c r="F1006" i="3"/>
  <c r="F1015" i="3"/>
  <c r="F962" i="3"/>
  <c r="F916" i="3"/>
  <c r="F900" i="3"/>
  <c r="F847" i="3"/>
  <c r="F883" i="3"/>
  <c r="F795" i="3"/>
  <c r="F742" i="3"/>
  <c r="F674" i="3"/>
  <c r="F633" i="3"/>
  <c r="F598" i="3"/>
  <c r="F530" i="3"/>
  <c r="F532" i="3"/>
  <c r="F559" i="3"/>
  <c r="F539" i="3"/>
  <c r="F462" i="3"/>
  <c r="F393" i="3"/>
  <c r="F346" i="3"/>
  <c r="F297" i="3"/>
  <c r="F225" i="3"/>
  <c r="F185" i="3"/>
  <c r="F293" i="3"/>
  <c r="F103" i="3"/>
  <c r="F10" i="3"/>
  <c r="F26" i="3"/>
  <c r="F909" i="3"/>
  <c r="F772" i="3"/>
  <c r="F563" i="3"/>
  <c r="F204" i="3"/>
  <c r="F133" i="3"/>
  <c r="F1094" i="3"/>
  <c r="F888" i="3"/>
  <c r="F660" i="3"/>
  <c r="F547" i="3"/>
  <c r="F285" i="3"/>
  <c r="F25" i="3"/>
  <c r="F627" i="3"/>
  <c r="F114" i="3"/>
  <c r="F881" i="3"/>
  <c r="F653" i="3"/>
  <c r="F540" i="3"/>
  <c r="F279" i="3"/>
  <c r="F31" i="3"/>
  <c r="F592" i="3"/>
  <c r="F118" i="3"/>
  <c r="F875" i="3"/>
  <c r="F647" i="3"/>
  <c r="F554" i="3"/>
  <c r="F320" i="3"/>
  <c r="F37" i="3"/>
  <c r="F229" i="3"/>
  <c r="F84" i="3"/>
  <c r="F855" i="3"/>
  <c r="F583" i="3"/>
  <c r="F575" i="3"/>
  <c r="F216" i="3"/>
  <c r="F145" i="3"/>
  <c r="F630" i="3"/>
  <c r="F1050" i="3"/>
  <c r="F876" i="3"/>
  <c r="F750" i="3"/>
  <c r="F644" i="3"/>
  <c r="F283" i="3"/>
  <c r="F294" i="3"/>
  <c r="F98" i="3"/>
  <c r="F24" i="3"/>
  <c r="F743" i="3"/>
  <c r="F72" i="3"/>
  <c r="F107" i="3"/>
  <c r="F76" i="3"/>
  <c r="F1086" i="3"/>
  <c r="F1005" i="3"/>
  <c r="F1079" i="3"/>
  <c r="F939" i="3"/>
  <c r="F985" i="3"/>
  <c r="F873" i="3"/>
  <c r="F825" i="3"/>
  <c r="F952" i="3"/>
  <c r="F757" i="3"/>
  <c r="F716" i="3"/>
  <c r="F601" i="3"/>
  <c r="F702" i="3"/>
  <c r="F664" i="3"/>
  <c r="F588" i="3"/>
  <c r="F593" i="3"/>
  <c r="F406" i="3"/>
  <c r="F389" i="3"/>
  <c r="F366" i="3"/>
  <c r="F453" i="3"/>
  <c r="F234" i="3"/>
  <c r="F187" i="3"/>
  <c r="F286" i="3"/>
  <c r="F246" i="3"/>
  <c r="F355" i="3"/>
  <c r="F167" i="3"/>
  <c r="F184" i="3"/>
  <c r="F73" i="3"/>
  <c r="F1066" i="3"/>
  <c r="F872" i="3"/>
  <c r="F685" i="3"/>
  <c r="F492" i="3"/>
  <c r="F302" i="3"/>
  <c r="F97" i="3"/>
  <c r="F111" i="3"/>
  <c r="F78" i="3"/>
  <c r="F1080" i="3"/>
  <c r="F999" i="3"/>
  <c r="F1073" i="3"/>
  <c r="F933" i="3"/>
  <c r="F978" i="3"/>
  <c r="F867" i="3"/>
  <c r="F819" i="3"/>
  <c r="F946" i="3"/>
  <c r="F751" i="3"/>
  <c r="F710" i="3"/>
  <c r="F595" i="3"/>
  <c r="F696" i="3"/>
  <c r="F655" i="3"/>
  <c r="F582" i="3"/>
  <c r="F587" i="3"/>
  <c r="F400" i="3"/>
  <c r="F383" i="3"/>
  <c r="F360" i="3"/>
  <c r="F447" i="3"/>
  <c r="F228" i="3"/>
  <c r="F353" i="3"/>
  <c r="F280" i="3"/>
  <c r="F240" i="3"/>
  <c r="F349" i="3"/>
  <c r="F158" i="3"/>
  <c r="F177" i="3"/>
  <c r="F148" i="3"/>
  <c r="F1081" i="3"/>
  <c r="F818" i="3"/>
  <c r="F590" i="3"/>
  <c r="F472" i="3"/>
  <c r="F255" i="3"/>
  <c r="F16" i="3"/>
  <c r="F113" i="3"/>
  <c r="F82" i="3"/>
  <c r="F1074" i="3"/>
  <c r="F1112" i="3"/>
  <c r="F1067" i="3"/>
  <c r="F925" i="3"/>
  <c r="F972" i="3"/>
  <c r="F861" i="3"/>
  <c r="F897" i="3"/>
  <c r="F936" i="3"/>
  <c r="F745" i="3"/>
  <c r="F704" i="3"/>
  <c r="F589" i="3"/>
  <c r="F687" i="3"/>
  <c r="F649" i="3"/>
  <c r="F576" i="3"/>
  <c r="F581" i="3"/>
  <c r="F394" i="3"/>
  <c r="F377" i="3"/>
  <c r="F516" i="3"/>
  <c r="F441" i="3"/>
  <c r="F222" i="3"/>
  <c r="F347" i="3"/>
  <c r="F274" i="3"/>
  <c r="F233" i="3"/>
  <c r="F343" i="3"/>
  <c r="F152" i="3"/>
  <c r="F171" i="3"/>
  <c r="F155" i="3"/>
  <c r="F960" i="3"/>
  <c r="F812" i="3"/>
  <c r="F672" i="3"/>
  <c r="F464" i="3"/>
  <c r="F323" i="3"/>
  <c r="F81" i="3"/>
  <c r="F11" i="3"/>
  <c r="F1041" i="3"/>
  <c r="F1056" i="3"/>
  <c r="F1034" i="3"/>
  <c r="F1095" i="3"/>
  <c r="F941" i="3"/>
  <c r="F848" i="3"/>
  <c r="F882" i="3"/>
  <c r="F800" i="3"/>
  <c r="F785" i="3"/>
  <c r="F771" i="3"/>
  <c r="F659" i="3"/>
  <c r="F756" i="3"/>
  <c r="F718" i="3"/>
  <c r="F645" i="3"/>
  <c r="F650" i="3"/>
  <c r="F465" i="3"/>
  <c r="F443" i="3"/>
  <c r="F420" i="3"/>
  <c r="F518" i="3"/>
  <c r="F289" i="3"/>
  <c r="F242" i="3"/>
  <c r="F342" i="3"/>
  <c r="F300" i="3"/>
  <c r="F410" i="3"/>
  <c r="F166" i="3"/>
  <c r="F104" i="3"/>
  <c r="F15" i="3"/>
  <c r="F1093" i="3"/>
  <c r="F878" i="3"/>
  <c r="F669" i="3"/>
  <c r="F359" i="3"/>
  <c r="F292" i="3"/>
  <c r="F20" i="3"/>
  <c r="F33" i="3"/>
  <c r="F1109" i="3"/>
  <c r="F1070" i="3"/>
  <c r="F1065" i="3"/>
  <c r="F967" i="3"/>
  <c r="F919" i="3"/>
  <c r="F1010" i="3"/>
  <c r="F862" i="3"/>
  <c r="F804" i="3"/>
  <c r="F846" i="3"/>
  <c r="F758" i="3"/>
  <c r="F705" i="3"/>
  <c r="F632" i="3"/>
  <c r="F597" i="3"/>
  <c r="F773" i="3"/>
  <c r="F543" i="3"/>
  <c r="F541" i="3"/>
  <c r="F522" i="3"/>
  <c r="F494" i="3"/>
  <c r="F421" i="3"/>
  <c r="F357" i="3"/>
  <c r="F308" i="3"/>
  <c r="F261" i="3"/>
  <c r="F189" i="3"/>
  <c r="F484" i="3"/>
  <c r="F257" i="3"/>
  <c r="F174" i="3"/>
  <c r="F49" i="3"/>
  <c r="F1110" i="3"/>
  <c r="F842" i="3"/>
  <c r="F607" i="3"/>
  <c r="F412" i="3"/>
  <c r="F193" i="3"/>
  <c r="F190" i="3"/>
  <c r="F144" i="3"/>
  <c r="F950" i="3"/>
  <c r="F833" i="3"/>
  <c r="F621" i="3"/>
  <c r="F527" i="3"/>
  <c r="F213" i="3"/>
  <c r="F65" i="3"/>
  <c r="F256" i="3"/>
  <c r="F1088" i="3"/>
  <c r="F1030" i="3"/>
  <c r="F776" i="3"/>
  <c r="F562" i="3"/>
  <c r="F375" i="3"/>
  <c r="F85" i="3"/>
  <c r="F451" i="3"/>
  <c r="F1077" i="3"/>
  <c r="F821" i="3"/>
  <c r="F609" i="3"/>
  <c r="F509" i="3"/>
  <c r="F496" i="3"/>
  <c r="F953" i="3"/>
  <c r="F1106" i="3"/>
  <c r="F891" i="3"/>
  <c r="F681" i="3"/>
  <c r="F371" i="3"/>
  <c r="F339" i="3"/>
  <c r="F165" i="3"/>
  <c r="F379" i="3"/>
  <c r="F1116" i="3"/>
  <c r="F935" i="3"/>
  <c r="F802" i="3"/>
  <c r="F636" i="3"/>
  <c r="F512" i="3"/>
  <c r="F157" i="3"/>
  <c r="F798" i="3"/>
  <c r="F126" i="3"/>
  <c r="F94" i="3"/>
  <c r="F1049" i="3"/>
  <c r="F1032" i="3"/>
  <c r="F1042" i="3"/>
  <c r="F988" i="3"/>
  <c r="F947" i="3"/>
  <c r="F835" i="3"/>
  <c r="F871" i="3"/>
  <c r="F908" i="3"/>
  <c r="F720" i="3"/>
  <c r="F766" i="3"/>
  <c r="F701" i="3"/>
  <c r="F661" i="3"/>
  <c r="F622" i="3"/>
  <c r="F555" i="3"/>
  <c r="F557" i="3"/>
  <c r="F370" i="3"/>
  <c r="F564" i="3"/>
  <c r="F489" i="3"/>
  <c r="F417" i="3"/>
  <c r="F198" i="3"/>
  <c r="F321" i="3"/>
  <c r="F250" i="3"/>
  <c r="F209" i="3"/>
  <c r="F317" i="3"/>
  <c r="F127" i="3"/>
  <c r="F143" i="3"/>
  <c r="F182" i="3"/>
  <c r="F1064" i="3"/>
  <c r="F856" i="3"/>
  <c r="F626" i="3"/>
  <c r="F514" i="3"/>
  <c r="F291" i="3"/>
  <c r="F150" i="3"/>
  <c r="F129" i="3"/>
  <c r="F96" i="3"/>
  <c r="F1043" i="3"/>
  <c r="F1026" i="3"/>
  <c r="F1035" i="3"/>
  <c r="F982" i="3"/>
  <c r="F937" i="3"/>
  <c r="F829" i="3"/>
  <c r="F865" i="3"/>
  <c r="F902" i="3"/>
  <c r="F714" i="3"/>
  <c r="F760" i="3"/>
  <c r="F695" i="3"/>
  <c r="F654" i="3"/>
  <c r="F616" i="3"/>
  <c r="F549" i="3"/>
  <c r="F551" i="3"/>
  <c r="F364" i="3"/>
  <c r="F558" i="3"/>
  <c r="F483" i="3"/>
  <c r="F411" i="3"/>
  <c r="F192" i="3"/>
  <c r="F315" i="3"/>
  <c r="F244" i="3"/>
  <c r="F203" i="3"/>
  <c r="F311" i="3"/>
  <c r="F121" i="3"/>
  <c r="F137" i="3"/>
  <c r="F29" i="3"/>
  <c r="F1059" i="3"/>
  <c r="F793" i="3"/>
  <c r="F591" i="3"/>
  <c r="F488" i="3"/>
  <c r="F219" i="3"/>
  <c r="F176" i="3"/>
  <c r="F132" i="3"/>
  <c r="F100" i="3"/>
  <c r="F1037" i="3"/>
  <c r="F1018" i="3"/>
  <c r="F1029" i="3"/>
  <c r="F975" i="3"/>
  <c r="F929" i="3"/>
  <c r="F823" i="3"/>
  <c r="F859" i="3"/>
  <c r="F896" i="3"/>
  <c r="F708" i="3"/>
  <c r="F754" i="3"/>
  <c r="F686" i="3"/>
  <c r="F648" i="3"/>
  <c r="F610" i="3"/>
  <c r="F542" i="3"/>
  <c r="F544" i="3"/>
  <c r="F358" i="3"/>
  <c r="F552" i="3"/>
  <c r="F474" i="3"/>
  <c r="F405" i="3"/>
  <c r="F186" i="3"/>
  <c r="F309" i="3"/>
  <c r="F237" i="3"/>
  <c r="F197" i="3"/>
  <c r="F305" i="3"/>
  <c r="F115" i="3"/>
  <c r="F131" i="3"/>
  <c r="F123" i="3"/>
  <c r="F956" i="3"/>
  <c r="F752" i="3"/>
  <c r="F537" i="3"/>
  <c r="F241" i="3"/>
  <c r="F173" i="3"/>
  <c r="F99" i="3"/>
  <c r="F50" i="3"/>
  <c r="F1105" i="3"/>
  <c r="F1025" i="3"/>
  <c r="F996" i="3"/>
  <c r="F961" i="3"/>
  <c r="F1101" i="3"/>
  <c r="F893" i="3"/>
  <c r="F844" i="3"/>
  <c r="F971" i="3"/>
  <c r="F775" i="3"/>
  <c r="F735" i="3"/>
  <c r="F619" i="3"/>
  <c r="F719" i="3"/>
  <c r="F682" i="3"/>
  <c r="F606" i="3"/>
  <c r="F611" i="3"/>
  <c r="F424" i="3"/>
  <c r="F407" i="3"/>
  <c r="F384" i="3"/>
  <c r="F476" i="3"/>
  <c r="F253" i="3"/>
  <c r="F205" i="3"/>
  <c r="F304" i="3"/>
  <c r="F264" i="3"/>
  <c r="F374" i="3"/>
  <c r="F188" i="3"/>
  <c r="F202" i="3"/>
  <c r="F54" i="3"/>
  <c r="F1022" i="3"/>
  <c r="F958" i="3"/>
  <c r="F670" i="3"/>
  <c r="F408" i="3"/>
  <c r="F252" i="3"/>
  <c r="F59" i="3"/>
  <c r="F70" i="3"/>
  <c r="F1072" i="3"/>
  <c r="F1087" i="3"/>
  <c r="F1027" i="3"/>
  <c r="F924" i="3"/>
  <c r="F976" i="3"/>
  <c r="F879" i="3"/>
  <c r="F824" i="3"/>
  <c r="F799" i="3"/>
  <c r="F808" i="3"/>
  <c r="F721" i="3"/>
  <c r="F694" i="3"/>
  <c r="F596" i="3"/>
  <c r="F749" i="3"/>
  <c r="F678" i="3"/>
  <c r="F683" i="3"/>
  <c r="F498" i="3"/>
  <c r="F478" i="3"/>
  <c r="F450" i="3"/>
  <c r="F385" i="3"/>
  <c r="F319" i="3"/>
  <c r="F272" i="3"/>
  <c r="F224" i="3"/>
  <c r="F330" i="3"/>
  <c r="F440" i="3"/>
  <c r="F220" i="3"/>
  <c r="F134" i="3"/>
  <c r="F160" i="3"/>
  <c r="F1044" i="3"/>
  <c r="F869" i="3"/>
  <c r="F744" i="3"/>
  <c r="F431" i="3"/>
  <c r="F328" i="3"/>
  <c r="F67" i="3"/>
  <c r="F58" i="3"/>
  <c r="F69" i="3"/>
  <c r="F64" i="3"/>
  <c r="F52" i="3"/>
  <c r="F28" i="3"/>
  <c r="F120" i="3"/>
  <c r="F46" i="3"/>
  <c r="F19" i="3"/>
  <c r="F40" i="3"/>
  <c r="F13" i="3"/>
  <c r="F71" i="3"/>
  <c r="F34" i="3"/>
  <c r="F7" i="3"/>
  <c r="F942" i="3"/>
  <c r="F942" i="2" l="1"/>
  <c r="F6" i="3"/>
  <c r="F7" i="2"/>
  <c r="F34" i="2"/>
  <c r="F71" i="2"/>
  <c r="F13" i="2"/>
  <c r="F40" i="2"/>
  <c r="F19" i="2"/>
  <c r="F46" i="2"/>
  <c r="F120" i="2"/>
  <c r="F28" i="2"/>
  <c r="F52" i="2"/>
  <c r="F64" i="2"/>
  <c r="F69" i="2"/>
  <c r="F58" i="2"/>
  <c r="F66" i="3"/>
  <c r="F66" i="2" s="1"/>
  <c r="F67" i="2"/>
  <c r="F328" i="2"/>
  <c r="F431" i="2"/>
  <c r="F744" i="2"/>
  <c r="F869" i="2"/>
  <c r="F1044" i="2"/>
  <c r="F160" i="2"/>
  <c r="F134" i="2"/>
  <c r="F220" i="2"/>
  <c r="F440" i="2"/>
  <c r="F330" i="2"/>
  <c r="F224" i="2"/>
  <c r="F272" i="2"/>
  <c r="F319" i="2"/>
  <c r="F385" i="2"/>
  <c r="F450" i="2"/>
  <c r="F478" i="2"/>
  <c r="F498" i="2"/>
  <c r="F683" i="2"/>
  <c r="F678" i="2"/>
  <c r="F749" i="2"/>
  <c r="F596" i="2"/>
  <c r="F694" i="2"/>
  <c r="F721" i="2"/>
  <c r="F808" i="2"/>
  <c r="F799" i="2"/>
  <c r="F824" i="2"/>
  <c r="F879" i="2"/>
  <c r="F976" i="2"/>
  <c r="F923" i="3"/>
  <c r="F923" i="2" s="1"/>
  <c r="F924" i="2"/>
  <c r="F1027" i="2"/>
  <c r="F1087" i="2"/>
  <c r="F1072" i="2"/>
  <c r="F70" i="2"/>
  <c r="F59" i="2"/>
  <c r="F252" i="2"/>
  <c r="F408" i="2"/>
  <c r="F670" i="2"/>
  <c r="F958" i="2"/>
  <c r="F1021" i="3"/>
  <c r="F1022" i="2"/>
  <c r="F54" i="2"/>
  <c r="F202" i="2"/>
  <c r="F188" i="2"/>
  <c r="F374" i="2"/>
  <c r="F264" i="2"/>
  <c r="F304" i="2"/>
  <c r="F205" i="2"/>
  <c r="F253" i="2"/>
  <c r="F476" i="2"/>
  <c r="F384" i="2"/>
  <c r="F407" i="2"/>
  <c r="F424" i="2"/>
  <c r="F611" i="2"/>
  <c r="F606" i="2"/>
  <c r="F682" i="2"/>
  <c r="F719" i="2"/>
  <c r="F619" i="2"/>
  <c r="F735" i="2"/>
  <c r="F775" i="2"/>
  <c r="F971" i="2"/>
  <c r="F844" i="2"/>
  <c r="F893" i="2"/>
  <c r="F1101" i="2"/>
  <c r="F961" i="2"/>
  <c r="F995" i="3"/>
  <c r="F996" i="2"/>
  <c r="F1025" i="2"/>
  <c r="F1105" i="2"/>
  <c r="F50" i="2"/>
  <c r="F99" i="2"/>
  <c r="F173" i="2"/>
  <c r="F241" i="2"/>
  <c r="F537" i="2"/>
  <c r="F752" i="2"/>
  <c r="F956" i="2"/>
  <c r="F123" i="2"/>
  <c r="F131" i="2"/>
  <c r="F115" i="2"/>
  <c r="F305" i="2"/>
  <c r="F197" i="2"/>
  <c r="F237" i="2"/>
  <c r="F309" i="2"/>
  <c r="F186" i="2"/>
  <c r="F405" i="2"/>
  <c r="F474" i="2"/>
  <c r="F552" i="2"/>
  <c r="F358" i="2"/>
  <c r="F544" i="2"/>
  <c r="F542" i="2"/>
  <c r="F610" i="2"/>
  <c r="F648" i="2"/>
  <c r="F686" i="2"/>
  <c r="F754" i="2"/>
  <c r="F708" i="2"/>
  <c r="F896" i="2"/>
  <c r="F859" i="2"/>
  <c r="F823" i="2"/>
  <c r="F929" i="2"/>
  <c r="F975" i="2"/>
  <c r="F1029" i="2"/>
  <c r="F1018" i="2"/>
  <c r="F1037" i="2"/>
  <c r="F100" i="2"/>
  <c r="F132" i="2"/>
  <c r="F176" i="2"/>
  <c r="F219" i="2"/>
  <c r="F488" i="2"/>
  <c r="F591" i="2"/>
  <c r="F793" i="2"/>
  <c r="F1058" i="3"/>
  <c r="F1058" i="2" s="1"/>
  <c r="F1059" i="2"/>
  <c r="F29" i="2"/>
  <c r="F137" i="2"/>
  <c r="F121" i="2"/>
  <c r="F311" i="2"/>
  <c r="F203" i="2"/>
  <c r="F244" i="2"/>
  <c r="F315" i="2"/>
  <c r="F192" i="2"/>
  <c r="F411" i="2"/>
  <c r="F483" i="2"/>
  <c r="F558" i="2"/>
  <c r="F364" i="2"/>
  <c r="F551" i="2"/>
  <c r="F549" i="2"/>
  <c r="F616" i="2"/>
  <c r="F654" i="2"/>
  <c r="F695" i="2"/>
  <c r="F760" i="2"/>
  <c r="F714" i="2"/>
  <c r="F902" i="2"/>
  <c r="F865" i="2"/>
  <c r="F829" i="2"/>
  <c r="F937" i="2"/>
  <c r="F982" i="2"/>
  <c r="F1035" i="2"/>
  <c r="F1026" i="2"/>
  <c r="F1043" i="2"/>
  <c r="F96" i="2"/>
  <c r="F129" i="2"/>
  <c r="F149" i="3"/>
  <c r="F149" i="2" s="1"/>
  <c r="F150" i="2"/>
  <c r="F291" i="2"/>
  <c r="F514" i="2"/>
  <c r="F626" i="2"/>
  <c r="F856" i="2"/>
  <c r="F1064" i="2"/>
  <c r="F182" i="2"/>
  <c r="F143" i="2"/>
  <c r="F127" i="2"/>
  <c r="F317" i="2"/>
  <c r="F209" i="2"/>
  <c r="F250" i="2"/>
  <c r="F321" i="2"/>
  <c r="F198" i="2"/>
  <c r="F417" i="2"/>
  <c r="F489" i="2"/>
  <c r="F564" i="2"/>
  <c r="F370" i="2"/>
  <c r="F557" i="2"/>
  <c r="F555" i="2"/>
  <c r="F622" i="2"/>
  <c r="F661" i="2"/>
  <c r="F701" i="2"/>
  <c r="F766" i="2"/>
  <c r="F720" i="2"/>
  <c r="F908" i="2"/>
  <c r="F871" i="2"/>
  <c r="F835" i="2"/>
  <c r="F947" i="2"/>
  <c r="F988" i="2"/>
  <c r="F1042" i="2"/>
  <c r="F1032" i="2"/>
  <c r="F1049" i="2"/>
  <c r="F94" i="2"/>
  <c r="F126" i="2"/>
  <c r="F798" i="2"/>
  <c r="F157" i="2"/>
  <c r="F512" i="2"/>
  <c r="F636" i="2"/>
  <c r="F802" i="2"/>
  <c r="F935" i="2"/>
  <c r="F1116" i="2"/>
  <c r="F379" i="2"/>
  <c r="F164" i="3"/>
  <c r="F165" i="2"/>
  <c r="F339" i="2"/>
  <c r="F371" i="2"/>
  <c r="F681" i="2"/>
  <c r="F891" i="2"/>
  <c r="F1106" i="2"/>
  <c r="F953" i="2"/>
  <c r="F496" i="2"/>
  <c r="F509" i="2"/>
  <c r="F609" i="2"/>
  <c r="F821" i="2"/>
  <c r="F1077" i="2"/>
  <c r="F451" i="2"/>
  <c r="F85" i="2"/>
  <c r="F375" i="2"/>
  <c r="F562" i="2"/>
  <c r="F776" i="2"/>
  <c r="F1030" i="2"/>
  <c r="F1088" i="2"/>
  <c r="F256" i="2"/>
  <c r="F65" i="2"/>
  <c r="F213" i="2"/>
  <c r="F526" i="3"/>
  <c r="F526" i="2" s="1"/>
  <c r="F527" i="2"/>
  <c r="F621" i="2"/>
  <c r="F833" i="2"/>
  <c r="F950" i="2"/>
  <c r="F144" i="2"/>
  <c r="F190" i="2"/>
  <c r="F193" i="2"/>
  <c r="F412" i="2"/>
  <c r="F607" i="2"/>
  <c r="F841" i="3"/>
  <c r="F841" i="2" s="1"/>
  <c r="F842" i="2"/>
  <c r="F1110" i="2"/>
  <c r="F49" i="2"/>
  <c r="F174" i="2"/>
  <c r="F257" i="2"/>
  <c r="F484" i="2"/>
  <c r="F189" i="2"/>
  <c r="F261" i="2"/>
  <c r="F308" i="2"/>
  <c r="F357" i="2"/>
  <c r="F421" i="2"/>
  <c r="F494" i="2"/>
  <c r="F522" i="2"/>
  <c r="F541" i="2"/>
  <c r="F543" i="2"/>
  <c r="F773" i="2"/>
  <c r="F597" i="2"/>
  <c r="F632" i="2"/>
  <c r="F705" i="2"/>
  <c r="F758" i="2"/>
  <c r="F845" i="3"/>
  <c r="F845" i="2" s="1"/>
  <c r="F846" i="2"/>
  <c r="F804" i="2"/>
  <c r="F862" i="2"/>
  <c r="F1010" i="2"/>
  <c r="F919" i="2"/>
  <c r="F967" i="2"/>
  <c r="F1065" i="2"/>
  <c r="F1070" i="2"/>
  <c r="F1109" i="2"/>
  <c r="F33" i="2"/>
  <c r="F20" i="2"/>
  <c r="F292" i="2"/>
  <c r="F359" i="2"/>
  <c r="F669" i="2"/>
  <c r="F878" i="2"/>
  <c r="F1093" i="2"/>
  <c r="F15" i="2"/>
  <c r="F104" i="2"/>
  <c r="F166" i="2"/>
  <c r="F410" i="2"/>
  <c r="F300" i="2"/>
  <c r="F341" i="3"/>
  <c r="F342" i="2"/>
  <c r="F242" i="2"/>
  <c r="F289" i="2"/>
  <c r="F518" i="2"/>
  <c r="F420" i="2"/>
  <c r="F443" i="2"/>
  <c r="F465" i="2"/>
  <c r="F650" i="2"/>
  <c r="F645" i="2"/>
  <c r="F718" i="2"/>
  <c r="F756" i="2"/>
  <c r="F659" i="2"/>
  <c r="F771" i="2"/>
  <c r="F785" i="2"/>
  <c r="F800" i="2"/>
  <c r="F882" i="2"/>
  <c r="F848" i="2"/>
  <c r="F941" i="2"/>
  <c r="F1095" i="2"/>
  <c r="F1034" i="2"/>
  <c r="F1056" i="2"/>
  <c r="F1041" i="2"/>
  <c r="F11" i="2"/>
  <c r="F81" i="2"/>
  <c r="F323" i="2"/>
  <c r="F464" i="2"/>
  <c r="F672" i="2"/>
  <c r="F811" i="3"/>
  <c r="F812" i="2"/>
  <c r="F960" i="2"/>
  <c r="F155" i="2"/>
  <c r="F171" i="2"/>
  <c r="F152" i="2"/>
  <c r="F343" i="2"/>
  <c r="F233" i="2"/>
  <c r="F274" i="2"/>
  <c r="F347" i="2"/>
  <c r="F222" i="2"/>
  <c r="F441" i="2"/>
  <c r="F516" i="2"/>
  <c r="F377" i="2"/>
  <c r="F394" i="2"/>
  <c r="F581" i="2"/>
  <c r="F576" i="2"/>
  <c r="F649" i="2"/>
  <c r="F687" i="2"/>
  <c r="F589" i="2"/>
  <c r="F704" i="2"/>
  <c r="F745" i="2"/>
  <c r="F936" i="2"/>
  <c r="F897" i="2"/>
  <c r="F861" i="2"/>
  <c r="F972" i="2"/>
  <c r="F925" i="2"/>
  <c r="F1067" i="2"/>
  <c r="F1112" i="2"/>
  <c r="F1074" i="2"/>
  <c r="F82" i="2"/>
  <c r="F113" i="2"/>
  <c r="F16" i="2"/>
  <c r="F255" i="2"/>
  <c r="F472" i="2"/>
  <c r="F590" i="2"/>
  <c r="F818" i="2"/>
  <c r="F1081" i="2"/>
  <c r="F148" i="2"/>
  <c r="F177" i="2"/>
  <c r="F158" i="2"/>
  <c r="F349" i="2"/>
  <c r="F240" i="2"/>
  <c r="F280" i="2"/>
  <c r="F353" i="2"/>
  <c r="F228" i="2"/>
  <c r="F447" i="2"/>
  <c r="F360" i="2"/>
  <c r="F383" i="2"/>
  <c r="F400" i="2"/>
  <c r="F587" i="2"/>
  <c r="F582" i="2"/>
  <c r="F655" i="2"/>
  <c r="F696" i="2"/>
  <c r="F595" i="2"/>
  <c r="F710" i="2"/>
  <c r="F751" i="2"/>
  <c r="F945" i="3"/>
  <c r="F946" i="2"/>
  <c r="F819" i="2"/>
  <c r="F867" i="2"/>
  <c r="F978" i="2"/>
  <c r="F933" i="2"/>
  <c r="F1073" i="2"/>
  <c r="F999" i="2"/>
  <c r="F1080" i="2"/>
  <c r="F78" i="2"/>
  <c r="F111" i="2"/>
  <c r="F97" i="2"/>
  <c r="F302" i="2"/>
  <c r="F492" i="2"/>
  <c r="F685" i="2"/>
  <c r="F872" i="2"/>
  <c r="F1066" i="2"/>
  <c r="F73" i="2"/>
  <c r="F184" i="2"/>
  <c r="F167" i="2"/>
  <c r="F355" i="2"/>
  <c r="F246" i="2"/>
  <c r="F286" i="2"/>
  <c r="F187" i="2"/>
  <c r="F234" i="2"/>
  <c r="F453" i="2"/>
  <c r="F366" i="2"/>
  <c r="F389" i="2"/>
  <c r="F406" i="2"/>
  <c r="F593" i="2"/>
  <c r="F588" i="2"/>
  <c r="F663" i="3"/>
  <c r="F664" i="2"/>
  <c r="F702" i="2"/>
  <c r="F601" i="2"/>
  <c r="F716" i="2"/>
  <c r="F757" i="2"/>
  <c r="F952" i="2"/>
  <c r="F825" i="2"/>
  <c r="F873" i="2"/>
  <c r="F985" i="2"/>
  <c r="F939" i="2"/>
  <c r="F1079" i="2"/>
  <c r="F1005" i="2"/>
  <c r="F1086" i="2"/>
  <c r="F76" i="2"/>
  <c r="F107" i="2"/>
  <c r="F72" i="2"/>
  <c r="F743" i="2"/>
  <c r="F23" i="3"/>
  <c r="F24" i="2"/>
  <c r="F98" i="2"/>
  <c r="F294" i="2"/>
  <c r="F283" i="2"/>
  <c r="F644" i="2"/>
  <c r="F750" i="2"/>
  <c r="F876" i="2"/>
  <c r="F1050" i="2"/>
  <c r="F630" i="2"/>
  <c r="F145" i="2"/>
  <c r="F216" i="2"/>
  <c r="F575" i="2"/>
  <c r="F583" i="2"/>
  <c r="F855" i="2"/>
  <c r="F84" i="2"/>
  <c r="F229" i="2"/>
  <c r="F37" i="2"/>
  <c r="F320" i="2"/>
  <c r="F554" i="2"/>
  <c r="F647" i="2"/>
  <c r="F874" i="3"/>
  <c r="F874" i="2" s="1"/>
  <c r="F875" i="2"/>
  <c r="F118" i="2"/>
  <c r="F592" i="2"/>
  <c r="F31" i="2"/>
  <c r="F279" i="2"/>
  <c r="F540" i="2"/>
  <c r="F653" i="2"/>
  <c r="F881" i="2"/>
  <c r="F114" i="2"/>
  <c r="F627" i="2"/>
  <c r="F25" i="2"/>
  <c r="F285" i="2"/>
  <c r="F546" i="3"/>
  <c r="F546" i="2" s="1"/>
  <c r="F547" i="2"/>
  <c r="F660" i="2"/>
  <c r="F887" i="3"/>
  <c r="F887" i="2" s="1"/>
  <c r="F888" i="2"/>
  <c r="F1094" i="2"/>
  <c r="F133" i="2"/>
  <c r="F204" i="2"/>
  <c r="F563" i="2"/>
  <c r="F772" i="2"/>
  <c r="F909" i="2"/>
  <c r="F26" i="2"/>
  <c r="F10" i="2"/>
  <c r="F103" i="2"/>
  <c r="F293" i="2"/>
  <c r="F185" i="2"/>
  <c r="F225" i="2"/>
  <c r="F297" i="2"/>
  <c r="F346" i="2"/>
  <c r="F393" i="2"/>
  <c r="F462" i="2"/>
  <c r="F539" i="2"/>
  <c r="F559" i="2"/>
  <c r="F532" i="2"/>
  <c r="F530" i="2"/>
  <c r="F598" i="2"/>
  <c r="F633" i="2"/>
  <c r="F674" i="2"/>
  <c r="F742" i="2"/>
  <c r="F795" i="2"/>
  <c r="F883" i="2"/>
  <c r="F847" i="2"/>
  <c r="F900" i="2"/>
  <c r="F916" i="2"/>
  <c r="F962" i="2"/>
  <c r="F1015" i="2"/>
  <c r="F1006" i="2"/>
  <c r="F1107" i="2"/>
  <c r="F106" i="2"/>
  <c r="F138" i="2"/>
  <c r="F55" i="2"/>
  <c r="F327" i="2"/>
  <c r="F553" i="2"/>
  <c r="F668" i="2"/>
  <c r="F894" i="2"/>
  <c r="F1055" i="2"/>
  <c r="F154" i="2"/>
  <c r="F140" i="2"/>
  <c r="F226" i="2"/>
  <c r="F446" i="2"/>
  <c r="F336" i="2"/>
  <c r="F230" i="2"/>
  <c r="F278" i="2"/>
  <c r="F325" i="2"/>
  <c r="F391" i="2"/>
  <c r="F461" i="2"/>
  <c r="F487" i="2"/>
  <c r="F504" i="2"/>
  <c r="F691" i="3"/>
  <c r="F692" i="2"/>
  <c r="F684" i="2"/>
  <c r="F755" i="2"/>
  <c r="F602" i="2"/>
  <c r="F700" i="2"/>
  <c r="F727" i="2"/>
  <c r="F816" i="2"/>
  <c r="F805" i="3"/>
  <c r="F805" i="2" s="1"/>
  <c r="F806" i="2"/>
  <c r="F830" i="2"/>
  <c r="F885" i="2"/>
  <c r="F983" i="2"/>
  <c r="F931" i="3"/>
  <c r="F932" i="2"/>
  <c r="F1033" i="2"/>
  <c r="F1039" i="2"/>
  <c r="F1078" i="2"/>
  <c r="F63" i="2"/>
  <c r="F53" i="2"/>
  <c r="F517" i="2"/>
  <c r="F372" i="2"/>
  <c r="F706" i="2"/>
  <c r="F788" i="2"/>
  <c r="F1019" i="2"/>
  <c r="F48" i="2"/>
  <c r="F74" i="2"/>
  <c r="F194" i="2"/>
  <c r="F380" i="2"/>
  <c r="F270" i="2"/>
  <c r="F310" i="2"/>
  <c r="F211" i="2"/>
  <c r="F259" i="2"/>
  <c r="F485" i="2"/>
  <c r="F390" i="2"/>
  <c r="F413" i="2"/>
  <c r="F430" i="2"/>
  <c r="F617" i="2"/>
  <c r="F612" i="2"/>
  <c r="F688" i="2"/>
  <c r="F725" i="2"/>
  <c r="F625" i="2"/>
  <c r="F741" i="2"/>
  <c r="F781" i="2"/>
  <c r="F977" i="2"/>
  <c r="F851" i="2"/>
  <c r="F899" i="2"/>
  <c r="F907" i="2"/>
  <c r="F968" i="2"/>
  <c r="F1002" i="2"/>
  <c r="F1031" i="2"/>
  <c r="F1111" i="2"/>
  <c r="F44" i="2"/>
  <c r="F95" i="2"/>
  <c r="F168" i="2"/>
  <c r="F266" i="2"/>
  <c r="F448" i="2"/>
  <c r="F646" i="2"/>
  <c r="F834" i="2"/>
  <c r="F1100" i="2"/>
  <c r="F42" i="2"/>
  <c r="F80" i="2"/>
  <c r="F200" i="2"/>
  <c r="F386" i="2"/>
  <c r="F276" i="2"/>
  <c r="F316" i="2"/>
  <c r="F217" i="2"/>
  <c r="F265" i="2"/>
  <c r="F491" i="2"/>
  <c r="F396" i="2"/>
  <c r="F419" i="2"/>
  <c r="F436" i="2"/>
  <c r="F623" i="2"/>
  <c r="F618" i="2"/>
  <c r="F697" i="2"/>
  <c r="F731" i="2"/>
  <c r="F631" i="2"/>
  <c r="F747" i="2"/>
  <c r="F784" i="2"/>
  <c r="F984" i="2"/>
  <c r="F857" i="2"/>
  <c r="F822" i="2"/>
  <c r="F914" i="2"/>
  <c r="F974" i="2"/>
  <c r="F1008" i="2"/>
  <c r="F1036" i="2"/>
  <c r="F1097" i="2"/>
  <c r="F38" i="2"/>
  <c r="F93" i="2"/>
  <c r="F251" i="2"/>
  <c r="F313" i="2"/>
  <c r="F635" i="2"/>
  <c r="F759" i="2"/>
  <c r="F927" i="2"/>
  <c r="F62" i="2"/>
  <c r="F36" i="2"/>
  <c r="F86" i="2"/>
  <c r="F206" i="2"/>
  <c r="F392" i="2"/>
  <c r="F282" i="2"/>
  <c r="F322" i="2"/>
  <c r="F223" i="2"/>
  <c r="F271" i="2"/>
  <c r="F497" i="2"/>
  <c r="F402" i="2"/>
  <c r="F425" i="2"/>
  <c r="F442" i="2"/>
  <c r="F629" i="2"/>
  <c r="F624" i="2"/>
  <c r="F703" i="2"/>
  <c r="F738" i="2"/>
  <c r="F637" i="2"/>
  <c r="F753" i="2"/>
  <c r="F790" i="2"/>
  <c r="F990" i="2"/>
  <c r="F863" i="2"/>
  <c r="F828" i="2"/>
  <c r="F920" i="2"/>
  <c r="F980" i="3"/>
  <c r="F980" i="2" s="1"/>
  <c r="F981" i="2"/>
  <c r="F1014" i="2"/>
  <c r="F1038" i="2"/>
  <c r="F1103" i="3"/>
  <c r="F1103" i="2" s="1"/>
  <c r="F1104" i="2"/>
  <c r="F32" i="2"/>
  <c r="F89" i="2"/>
  <c r="F130" i="2"/>
  <c r="F324" i="2"/>
  <c r="F404" i="2"/>
  <c r="F414" i="2"/>
  <c r="F712" i="2"/>
  <c r="F794" i="2"/>
  <c r="F1028" i="2"/>
  <c r="F83" i="2"/>
  <c r="F796" i="2"/>
  <c r="F335" i="2"/>
  <c r="F435" i="2"/>
  <c r="F570" i="2"/>
  <c r="F809" i="2"/>
  <c r="F966" i="2"/>
  <c r="F1068" i="2"/>
  <c r="F90" i="2"/>
  <c r="F201" i="2"/>
  <c r="F433" i="2"/>
  <c r="F574" i="2"/>
  <c r="F858" i="2"/>
  <c r="F979" i="2"/>
  <c r="F8" i="2"/>
  <c r="F838" i="2"/>
  <c r="F275" i="2"/>
  <c r="F326" i="2"/>
  <c r="F515" i="2"/>
  <c r="F723" i="2"/>
  <c r="F940" i="2"/>
  <c r="F12" i="2"/>
  <c r="F839" i="2"/>
  <c r="F281" i="2"/>
  <c r="F381" i="2"/>
  <c r="F568" i="2"/>
  <c r="F782" i="2"/>
  <c r="F903" i="2"/>
  <c r="F112" i="2"/>
  <c r="F287" i="2"/>
  <c r="F387" i="2"/>
  <c r="F523" i="2"/>
  <c r="F789" i="2"/>
  <c r="F913" i="2"/>
  <c r="F170" i="2"/>
  <c r="F156" i="2"/>
  <c r="F139" i="2"/>
  <c r="F329" i="2"/>
  <c r="F221" i="2"/>
  <c r="F262" i="2"/>
  <c r="F333" i="2"/>
  <c r="F210" i="2"/>
  <c r="F429" i="2"/>
  <c r="F501" i="2"/>
  <c r="F365" i="2"/>
  <c r="F382" i="2"/>
  <c r="F569" i="2"/>
  <c r="F567" i="2"/>
  <c r="F634" i="2"/>
  <c r="F675" i="2"/>
  <c r="F577" i="2"/>
  <c r="F778" i="2"/>
  <c r="F732" i="2"/>
  <c r="F921" i="2"/>
  <c r="F884" i="2"/>
  <c r="F849" i="2"/>
  <c r="F959" i="2"/>
  <c r="F912" i="2"/>
  <c r="F1054" i="2"/>
  <c r="F1099" i="2"/>
  <c r="F1062" i="2"/>
  <c r="F88" i="2"/>
  <c r="F119" i="2"/>
  <c r="F128" i="2"/>
  <c r="F338" i="2"/>
  <c r="F535" i="2"/>
  <c r="F780" i="2"/>
  <c r="F1004" i="2"/>
  <c r="F108" i="2"/>
  <c r="F43" i="2"/>
  <c r="F180" i="2"/>
  <c r="F263" i="2"/>
  <c r="F490" i="2"/>
  <c r="F195" i="2"/>
  <c r="F267" i="2"/>
  <c r="F314" i="2"/>
  <c r="F363" i="2"/>
  <c r="F427" i="2"/>
  <c r="F500" i="2"/>
  <c r="F528" i="2"/>
  <c r="F548" i="2"/>
  <c r="F550" i="2"/>
  <c r="F779" i="2"/>
  <c r="F603" i="2"/>
  <c r="F640" i="3"/>
  <c r="F641" i="2"/>
  <c r="F711" i="2"/>
  <c r="F764" i="2"/>
  <c r="F852" i="2"/>
  <c r="F813" i="2"/>
  <c r="F868" i="2"/>
  <c r="F1016" i="2"/>
  <c r="F926" i="2"/>
  <c r="F973" i="2"/>
  <c r="F1071" i="2"/>
  <c r="F1076" i="2"/>
  <c r="F1115" i="2"/>
  <c r="F27" i="2"/>
  <c r="F14" i="2"/>
  <c r="F183" i="2"/>
  <c r="F395" i="2"/>
  <c r="F707" i="2"/>
  <c r="F831" i="2"/>
  <c r="F1011" i="2"/>
  <c r="F9" i="2"/>
  <c r="F110" i="2"/>
  <c r="F172" i="2"/>
  <c r="F416" i="2"/>
  <c r="F306" i="2"/>
  <c r="F348" i="2"/>
  <c r="F248" i="2"/>
  <c r="F295" i="2"/>
  <c r="F361" i="2"/>
  <c r="F426" i="2"/>
  <c r="F449" i="2"/>
  <c r="F471" i="2"/>
  <c r="F656" i="3"/>
  <c r="F656" i="2" s="1"/>
  <c r="F657" i="2"/>
  <c r="F651" i="2"/>
  <c r="F724" i="2"/>
  <c r="F572" i="2"/>
  <c r="F667" i="2"/>
  <c r="F777" i="2"/>
  <c r="F791" i="2"/>
  <c r="F807" i="2"/>
  <c r="F889" i="2"/>
  <c r="F854" i="2"/>
  <c r="F951" i="2"/>
  <c r="F1114" i="2"/>
  <c r="F1001" i="2"/>
  <c r="F1063" i="2"/>
  <c r="F1047" i="2"/>
  <c r="F142" i="2"/>
  <c r="F77" i="2"/>
  <c r="F214" i="2"/>
  <c r="F277" i="2"/>
  <c r="F599" i="2"/>
  <c r="F722" i="2"/>
  <c r="F991" i="2"/>
  <c r="F1102" i="2"/>
  <c r="F181" i="2"/>
  <c r="F116" i="2"/>
  <c r="F178" i="2"/>
  <c r="F422" i="2"/>
  <c r="F312" i="2"/>
  <c r="F354" i="2"/>
  <c r="F254" i="2"/>
  <c r="F301" i="2"/>
  <c r="F367" i="2"/>
  <c r="F432" i="2"/>
  <c r="F460" i="2"/>
  <c r="F477" i="2"/>
  <c r="F665" i="2"/>
  <c r="F658" i="2"/>
  <c r="F730" i="2"/>
  <c r="F578" i="2"/>
  <c r="F673" i="2"/>
  <c r="F783" i="2"/>
  <c r="F797" i="2"/>
  <c r="F815" i="2"/>
  <c r="F895" i="2"/>
  <c r="F860" i="2"/>
  <c r="F957" i="2"/>
  <c r="F904" i="2"/>
  <c r="F1007" i="2"/>
  <c r="F1069" i="2"/>
  <c r="F1053" i="2"/>
  <c r="F136" i="2"/>
  <c r="F75" i="2"/>
  <c r="F434" i="2"/>
  <c r="F503" i="2"/>
  <c r="F594" i="2"/>
  <c r="F763" i="2"/>
  <c r="F949" i="2"/>
  <c r="F124" i="2"/>
  <c r="F175" i="2"/>
  <c r="F122" i="2"/>
  <c r="F208" i="2"/>
  <c r="F428" i="2"/>
  <c r="F318" i="2"/>
  <c r="F212" i="2"/>
  <c r="F260" i="2"/>
  <c r="F307" i="2"/>
  <c r="F373" i="2"/>
  <c r="F438" i="2"/>
  <c r="F466" i="2"/>
  <c r="F486" i="2"/>
  <c r="F671" i="2"/>
  <c r="F666" i="2"/>
  <c r="F737" i="2"/>
  <c r="F584" i="2"/>
  <c r="F679" i="2"/>
  <c r="F709" i="2"/>
  <c r="F803" i="2"/>
  <c r="F787" i="2"/>
  <c r="F901" i="2"/>
  <c r="F866" i="2"/>
  <c r="F963" i="3"/>
  <c r="F963" i="2" s="1"/>
  <c r="F964" i="2"/>
  <c r="F910" i="3"/>
  <c r="F910" i="2" s="1"/>
  <c r="F911" i="2"/>
  <c r="F1013" i="2"/>
  <c r="F1075" i="2"/>
  <c r="F1060" i="2"/>
  <c r="F1085" i="2"/>
  <c r="F235" i="2"/>
  <c r="F458" i="3"/>
  <c r="F459" i="2"/>
  <c r="F652" i="2"/>
  <c r="F840" i="2"/>
  <c r="F17" i="2"/>
  <c r="F917" i="2"/>
  <c r="F227" i="2"/>
  <c r="F510" i="2"/>
  <c r="F643" i="2"/>
  <c r="F928" i="2"/>
  <c r="F1061" i="2"/>
  <c r="F92" i="2"/>
  <c r="F525" i="2"/>
  <c r="F79" i="2"/>
  <c r="F273" i="2"/>
  <c r="F534" i="2"/>
  <c r="F717" i="2"/>
  <c r="F1024" i="2"/>
  <c r="F18" i="2"/>
  <c r="F1048" i="2"/>
  <c r="F502" i="2"/>
  <c r="F439" i="2"/>
  <c r="F560" i="2"/>
  <c r="F615" i="2"/>
  <c r="F827" i="2"/>
  <c r="F1083" i="2"/>
  <c r="F533" i="2"/>
  <c r="F91" i="2"/>
  <c r="F332" i="2"/>
  <c r="F566" i="2"/>
  <c r="F729" i="2"/>
  <c r="F1003" i="2"/>
  <c r="F475" i="2"/>
  <c r="F415" i="2"/>
  <c r="F767" i="2"/>
  <c r="F877" i="2"/>
  <c r="F987" i="2"/>
  <c r="F60" i="2"/>
  <c r="F196" i="2"/>
  <c r="F179" i="2"/>
  <c r="F368" i="2"/>
  <c r="F258" i="2"/>
  <c r="F298" i="2"/>
  <c r="F199" i="2"/>
  <c r="F247" i="2"/>
  <c r="F470" i="2"/>
  <c r="F378" i="2"/>
  <c r="F401" i="2"/>
  <c r="F418" i="2"/>
  <c r="F605" i="2"/>
  <c r="F600" i="2"/>
  <c r="F676" i="2"/>
  <c r="F713" i="2"/>
  <c r="F613" i="2"/>
  <c r="F728" i="2"/>
  <c r="F769" i="2"/>
  <c r="F965" i="2"/>
  <c r="F837" i="2"/>
  <c r="F886" i="2"/>
  <c r="F997" i="2"/>
  <c r="F955" i="2"/>
  <c r="F1091" i="2"/>
  <c r="F1017" i="2"/>
  <c r="F1098" i="2"/>
  <c r="F56" i="2"/>
  <c r="F101" i="2"/>
  <c r="F151" i="2"/>
  <c r="F351" i="2"/>
  <c r="F677" i="2"/>
  <c r="F715" i="2"/>
  <c r="F970" i="2"/>
  <c r="F141" i="2"/>
  <c r="F125" i="2"/>
  <c r="F109" i="2"/>
  <c r="F299" i="2"/>
  <c r="F191" i="2"/>
  <c r="F231" i="2"/>
  <c r="F303" i="2"/>
  <c r="F352" i="2"/>
  <c r="F399" i="2"/>
  <c r="F468" i="2"/>
  <c r="F545" i="2"/>
  <c r="F565" i="2"/>
  <c r="F538" i="2"/>
  <c r="F536" i="2"/>
  <c r="F604" i="2"/>
  <c r="F642" i="2"/>
  <c r="F680" i="2"/>
  <c r="F748" i="2"/>
  <c r="F801" i="2"/>
  <c r="F890" i="2"/>
  <c r="F853" i="2"/>
  <c r="F817" i="2"/>
  <c r="F922" i="2"/>
  <c r="F969" i="2"/>
  <c r="F1023" i="2"/>
  <c r="F1012" i="2"/>
  <c r="F1113" i="2"/>
  <c r="F102" i="2"/>
  <c r="F135" i="2"/>
  <c r="F169" i="2"/>
  <c r="F218" i="2"/>
  <c r="F376" i="2"/>
  <c r="F571" i="2"/>
  <c r="F880" i="2"/>
  <c r="F1092" i="2"/>
  <c r="F147" i="2"/>
  <c r="F146" i="2"/>
  <c r="F232" i="2"/>
  <c r="F452" i="2"/>
  <c r="F344" i="2"/>
  <c r="F236" i="2"/>
  <c r="F284" i="2"/>
  <c r="F331" i="2"/>
  <c r="F397" i="2"/>
  <c r="F467" i="2"/>
  <c r="F493" i="2"/>
  <c r="F513" i="2"/>
  <c r="F698" i="2"/>
  <c r="F693" i="2"/>
  <c r="F573" i="2"/>
  <c r="F608" i="2"/>
  <c r="F762" i="2"/>
  <c r="F733" i="3"/>
  <c r="F733" i="2" s="1"/>
  <c r="F734" i="2"/>
  <c r="F820" i="2"/>
  <c r="F814" i="2"/>
  <c r="F836" i="2"/>
  <c r="F892" i="2"/>
  <c r="F989" i="2"/>
  <c r="F938" i="2"/>
  <c r="F1040" i="2"/>
  <c r="F1045" i="2"/>
  <c r="F1084" i="2"/>
  <c r="F57" i="2"/>
  <c r="F47" i="2"/>
  <c r="F398" i="2"/>
  <c r="F423" i="2"/>
  <c r="F561" i="2"/>
  <c r="F726" i="2"/>
  <c r="F905" i="2"/>
  <c r="F39" i="2"/>
  <c r="F68" i="2"/>
  <c r="F153" i="2"/>
  <c r="F238" i="3"/>
  <c r="F238" i="2" s="1"/>
  <c r="F239" i="2"/>
  <c r="F463" i="2"/>
  <c r="F350" i="2"/>
  <c r="F243" i="2"/>
  <c r="F290" i="2"/>
  <c r="F337" i="2"/>
  <c r="F403" i="2"/>
  <c r="F473" i="2"/>
  <c r="F499" i="2"/>
  <c r="F520" i="3"/>
  <c r="F521" i="2"/>
  <c r="F524" i="2"/>
  <c r="F699" i="2"/>
  <c r="F579" i="2"/>
  <c r="F614" i="2"/>
  <c r="F768" i="2"/>
  <c r="F740" i="2"/>
  <c r="F826" i="2"/>
  <c r="F786" i="2"/>
  <c r="F843" i="2"/>
  <c r="F898" i="2"/>
  <c r="F1108" i="2"/>
  <c r="F948" i="2"/>
  <c r="F1046" i="2"/>
  <c r="F1051" i="2"/>
  <c r="F1090" i="2"/>
  <c r="F51" i="2"/>
  <c r="F41" i="2"/>
  <c r="F288" i="2"/>
  <c r="F495" i="2"/>
  <c r="F628" i="2"/>
  <c r="F915" i="2"/>
  <c r="F1009" i="2"/>
  <c r="F105" i="2"/>
  <c r="F61" i="2"/>
  <c r="F159" i="2"/>
  <c r="F245" i="2"/>
  <c r="F469" i="2"/>
  <c r="F356" i="2"/>
  <c r="F249" i="2"/>
  <c r="F296" i="2"/>
  <c r="F345" i="2"/>
  <c r="F409" i="2"/>
  <c r="F481" i="3"/>
  <c r="F482" i="2"/>
  <c r="F507" i="3"/>
  <c r="F508" i="2"/>
  <c r="F529" i="2"/>
  <c r="F531" i="2"/>
  <c r="F761" i="2"/>
  <c r="F585" i="2"/>
  <c r="F620" i="2"/>
  <c r="F774" i="2"/>
  <c r="F746" i="2"/>
  <c r="F832" i="2"/>
  <c r="F792" i="2"/>
  <c r="F850" i="2"/>
  <c r="F998" i="2"/>
  <c r="F906" i="2"/>
  <c r="F954" i="2"/>
  <c r="F1052" i="2"/>
  <c r="F1057" i="2"/>
  <c r="F1096" i="2"/>
  <c r="F45" i="2"/>
  <c r="F35" i="2"/>
  <c r="F444" i="2"/>
  <c r="F334" i="2"/>
  <c r="F437" i="2"/>
  <c r="F765" i="2"/>
  <c r="F992" i="2"/>
  <c r="F362" i="2"/>
  <c r="F161" i="2"/>
  <c r="F268" i="2"/>
  <c r="F388" i="2"/>
  <c r="F739" i="2"/>
  <c r="F918" i="2"/>
  <c r="F117" i="2"/>
  <c r="F736" i="2"/>
  <c r="F269" i="2"/>
  <c r="F369" i="2"/>
  <c r="F556" i="2"/>
  <c r="F770" i="2"/>
  <c r="F934" i="2"/>
  <c r="F1082" i="2"/>
  <c r="F215" i="2"/>
  <c r="F87" i="2"/>
  <c r="F207" i="2"/>
  <c r="F580" i="2"/>
  <c r="F864" i="2"/>
  <c r="F986" i="2"/>
  <c r="F30" i="2"/>
  <c r="F1000" i="2"/>
  <c r="F511" i="2"/>
  <c r="F445" i="2"/>
  <c r="F586" i="2"/>
  <c r="F870" i="2"/>
  <c r="F1089" i="2"/>
  <c r="G1116" i="2"/>
  <c r="G1114" i="2"/>
  <c r="G1112" i="2"/>
  <c r="G1110" i="2"/>
  <c r="G1108" i="2"/>
  <c r="G1106" i="2"/>
  <c r="G1103" i="3"/>
  <c r="G1103" i="2" s="1"/>
  <c r="G1104" i="2"/>
  <c r="G1101" i="2"/>
  <c r="G1099" i="2"/>
  <c r="G1097" i="2"/>
  <c r="G1095" i="2"/>
  <c r="G1093" i="2"/>
  <c r="G1091" i="2"/>
  <c r="G1089" i="2"/>
  <c r="G1087" i="2"/>
  <c r="G1085" i="2"/>
  <c r="G1083" i="2"/>
  <c r="G1081" i="2"/>
  <c r="G1079" i="2"/>
  <c r="G1077" i="2"/>
  <c r="G1075" i="2"/>
  <c r="G1073" i="2"/>
  <c r="G1071" i="2"/>
  <c r="G1069" i="2"/>
  <c r="G1067" i="2"/>
  <c r="G1065" i="2"/>
  <c r="G1063" i="2"/>
  <c r="G1061" i="2"/>
  <c r="G1058" i="3"/>
  <c r="G1058" i="2" s="1"/>
  <c r="G1059" i="2"/>
  <c r="G1019" i="2"/>
  <c r="G1017" i="2"/>
  <c r="G1015" i="2"/>
  <c r="G1013" i="2"/>
  <c r="G1011" i="2"/>
  <c r="G1009" i="2"/>
  <c r="G1007" i="2"/>
  <c r="G1005" i="2"/>
  <c r="G1003" i="2"/>
  <c r="G1001" i="2"/>
  <c r="G999" i="2"/>
  <c r="G997" i="2"/>
  <c r="G991" i="2"/>
  <c r="G989" i="2"/>
  <c r="G987" i="2"/>
  <c r="G985" i="2"/>
  <c r="G983" i="2"/>
  <c r="G980" i="3"/>
  <c r="G980" i="2" s="1"/>
  <c r="G981" i="2"/>
  <c r="G941" i="2"/>
  <c r="G939" i="2"/>
  <c r="G937" i="2"/>
  <c r="G935" i="2"/>
  <c r="G933" i="2"/>
  <c r="G921" i="2"/>
  <c r="G919" i="2"/>
  <c r="G917" i="2"/>
  <c r="G915" i="2"/>
  <c r="G913" i="2"/>
  <c r="G910" i="3"/>
  <c r="G910" i="2" s="1"/>
  <c r="G911" i="2"/>
  <c r="G873" i="2"/>
  <c r="G871" i="2"/>
  <c r="G869" i="2"/>
  <c r="G867" i="2"/>
  <c r="G865" i="2"/>
  <c r="G863" i="2"/>
  <c r="G861" i="2"/>
  <c r="G859" i="2"/>
  <c r="G857" i="2"/>
  <c r="G855" i="2"/>
  <c r="G853" i="2"/>
  <c r="G851" i="2"/>
  <c r="G849" i="2"/>
  <c r="G847" i="2"/>
  <c r="G1056" i="2"/>
  <c r="G1054" i="2"/>
  <c r="G1052" i="2"/>
  <c r="G1050" i="2"/>
  <c r="G1048" i="2"/>
  <c r="G1046" i="2"/>
  <c r="G1044" i="2"/>
  <c r="G1042" i="2"/>
  <c r="G1040" i="2"/>
  <c r="G1038" i="2"/>
  <c r="G1036" i="2"/>
  <c r="G1034" i="2"/>
  <c r="G1032" i="2"/>
  <c r="G1030" i="2"/>
  <c r="G1028" i="2"/>
  <c r="G1026" i="2"/>
  <c r="G1024" i="2"/>
  <c r="G1021" i="3"/>
  <c r="G1022" i="2"/>
  <c r="G978" i="2"/>
  <c r="G976" i="2"/>
  <c r="G974" i="2"/>
  <c r="G972" i="2"/>
  <c r="G970" i="2"/>
  <c r="G968" i="2"/>
  <c r="G966" i="2"/>
  <c r="G963" i="3"/>
  <c r="G963" i="2" s="1"/>
  <c r="G964" i="2"/>
  <c r="G908" i="2"/>
  <c r="G906" i="2"/>
  <c r="G904" i="2"/>
  <c r="G902" i="2"/>
  <c r="G900" i="2"/>
  <c r="G898" i="2"/>
  <c r="G896" i="2"/>
  <c r="G894" i="2"/>
  <c r="G892" i="2"/>
  <c r="G890" i="2"/>
  <c r="G887" i="3"/>
  <c r="G887" i="2" s="1"/>
  <c r="G888" i="2"/>
  <c r="G844" i="2"/>
  <c r="G841" i="3"/>
  <c r="G841" i="2" s="1"/>
  <c r="G842" i="2"/>
  <c r="G1115" i="2"/>
  <c r="G1113" i="2"/>
  <c r="G1111" i="2"/>
  <c r="G1109" i="2"/>
  <c r="G1107" i="2"/>
  <c r="G1105" i="2"/>
  <c r="G961" i="2"/>
  <c r="G959" i="2"/>
  <c r="G957" i="2"/>
  <c r="G955" i="2"/>
  <c r="G953" i="2"/>
  <c r="G951" i="2"/>
  <c r="G949" i="2"/>
  <c r="G947" i="2"/>
  <c r="G929" i="2"/>
  <c r="G927" i="2"/>
  <c r="G925" i="2"/>
  <c r="G885" i="2"/>
  <c r="G883" i="2"/>
  <c r="G881" i="2"/>
  <c r="G879" i="2"/>
  <c r="G877" i="2"/>
  <c r="G874" i="3"/>
  <c r="G874" i="2" s="1"/>
  <c r="G875" i="2"/>
  <c r="G1102" i="2"/>
  <c r="G1100" i="2"/>
  <c r="G1098" i="2"/>
  <c r="G1096" i="2"/>
  <c r="G1094" i="2"/>
  <c r="G1092" i="2"/>
  <c r="G1090" i="2"/>
  <c r="G1088" i="2"/>
  <c r="G1086" i="2"/>
  <c r="G1084" i="2"/>
  <c r="G1082" i="2"/>
  <c r="G1080" i="2"/>
  <c r="G1078" i="2"/>
  <c r="G1076" i="2"/>
  <c r="G1074" i="2"/>
  <c r="G1072" i="2"/>
  <c r="G1070" i="2"/>
  <c r="G1068" i="2"/>
  <c r="G1066" i="2"/>
  <c r="G1064" i="2"/>
  <c r="G1062" i="2"/>
  <c r="G1060" i="2"/>
  <c r="G1018" i="2"/>
  <c r="G1016" i="2"/>
  <c r="G1014" i="2"/>
  <c r="G1012" i="2"/>
  <c r="G1010" i="2"/>
  <c r="G1008" i="2"/>
  <c r="G1006" i="2"/>
  <c r="G1004" i="2"/>
  <c r="G1002" i="2"/>
  <c r="G1000" i="2"/>
  <c r="G998" i="2"/>
  <c r="G995" i="3"/>
  <c r="G996" i="2"/>
  <c r="G992" i="2"/>
  <c r="G990" i="2"/>
  <c r="G988" i="2"/>
  <c r="G986" i="2"/>
  <c r="G984" i="2"/>
  <c r="G982" i="2"/>
  <c r="G940" i="2"/>
  <c r="G938" i="2"/>
  <c r="G936" i="2"/>
  <c r="G934" i="2"/>
  <c r="G931" i="3"/>
  <c r="G932" i="2"/>
  <c r="G922" i="2"/>
  <c r="G920" i="2"/>
  <c r="G918" i="2"/>
  <c r="G916" i="2"/>
  <c r="G914" i="2"/>
  <c r="G912" i="2"/>
  <c r="G872" i="2"/>
  <c r="G870" i="2"/>
  <c r="G868" i="2"/>
  <c r="G866" i="2"/>
  <c r="G864" i="2"/>
  <c r="G862" i="2"/>
  <c r="G860" i="2"/>
  <c r="G858" i="2"/>
  <c r="G856" i="2"/>
  <c r="G854" i="2"/>
  <c r="G852" i="2"/>
  <c r="G850" i="2"/>
  <c r="G848" i="2"/>
  <c r="G845" i="3"/>
  <c r="G845" i="2" s="1"/>
  <c r="G846" i="2"/>
  <c r="G1057" i="2"/>
  <c r="G1055" i="2"/>
  <c r="G1053" i="2"/>
  <c r="G1051" i="2"/>
  <c r="G1049" i="2"/>
  <c r="G1047" i="2"/>
  <c r="G1045" i="2"/>
  <c r="G1043" i="2"/>
  <c r="G1041" i="2"/>
  <c r="G1039" i="2"/>
  <c r="G1037" i="2"/>
  <c r="G1035" i="2"/>
  <c r="G1033" i="2"/>
  <c r="G1031" i="2"/>
  <c r="G1029" i="2"/>
  <c r="G1027" i="2"/>
  <c r="G1025" i="2"/>
  <c r="G1023" i="2"/>
  <c r="G979" i="2"/>
  <c r="G977" i="2"/>
  <c r="G975" i="2"/>
  <c r="G973" i="2"/>
  <c r="G971" i="2"/>
  <c r="G969" i="2"/>
  <c r="G967" i="2"/>
  <c r="G965" i="2"/>
  <c r="G909" i="2"/>
  <c r="G907" i="2"/>
  <c r="G905" i="2"/>
  <c r="G903" i="2"/>
  <c r="G901" i="2"/>
  <c r="G899" i="2"/>
  <c r="G897" i="2"/>
  <c r="G895" i="2"/>
  <c r="G893" i="2"/>
  <c r="G891" i="2"/>
  <c r="G889" i="2"/>
  <c r="G843" i="2"/>
  <c r="G962" i="2"/>
  <c r="G956" i="2"/>
  <c r="G950" i="2"/>
  <c r="G926" i="2"/>
  <c r="G809" i="2"/>
  <c r="G807" i="2"/>
  <c r="G545" i="2"/>
  <c r="G543" i="2"/>
  <c r="G541" i="2"/>
  <c r="G539" i="2"/>
  <c r="G537" i="2"/>
  <c r="G535" i="2"/>
  <c r="G533" i="2"/>
  <c r="G531" i="2"/>
  <c r="G529" i="2"/>
  <c r="G526" i="3"/>
  <c r="G526" i="2" s="1"/>
  <c r="G527" i="2"/>
  <c r="G517" i="2"/>
  <c r="G515" i="2"/>
  <c r="G513" i="2"/>
  <c r="G511" i="2"/>
  <c r="G509" i="2"/>
  <c r="G503" i="2"/>
  <c r="G501" i="2"/>
  <c r="G499" i="2"/>
  <c r="G497" i="2"/>
  <c r="G495" i="2"/>
  <c r="G493" i="2"/>
  <c r="G491" i="2"/>
  <c r="G489" i="2"/>
  <c r="G487" i="2"/>
  <c r="G485" i="2"/>
  <c r="G483" i="2"/>
  <c r="G477" i="2"/>
  <c r="G475" i="2"/>
  <c r="G473" i="2"/>
  <c r="G471" i="2"/>
  <c r="G469" i="2"/>
  <c r="G467" i="2"/>
  <c r="G465" i="2"/>
  <c r="G463" i="2"/>
  <c r="G461" i="2"/>
  <c r="G458" i="3"/>
  <c r="G459" i="2"/>
  <c r="G886" i="2"/>
  <c r="G880" i="2"/>
  <c r="G840" i="2"/>
  <c r="G837" i="2"/>
  <c r="G834" i="2"/>
  <c r="G832" i="2"/>
  <c r="G830" i="2"/>
  <c r="G828" i="2"/>
  <c r="G826" i="2"/>
  <c r="G824" i="2"/>
  <c r="G822" i="2"/>
  <c r="G820" i="2"/>
  <c r="G818" i="2"/>
  <c r="G816" i="2"/>
  <c r="G814" i="2"/>
  <c r="G811" i="3"/>
  <c r="G812" i="2"/>
  <c r="G804" i="2"/>
  <c r="G802" i="2"/>
  <c r="G800" i="2"/>
  <c r="G798" i="2"/>
  <c r="G796" i="2"/>
  <c r="G794" i="2"/>
  <c r="G792" i="2"/>
  <c r="G790" i="2"/>
  <c r="G788" i="2"/>
  <c r="G786" i="2"/>
  <c r="G784" i="2"/>
  <c r="G782" i="2"/>
  <c r="G780" i="2"/>
  <c r="G778" i="2"/>
  <c r="G776" i="2"/>
  <c r="G774" i="2"/>
  <c r="G772" i="2"/>
  <c r="G770" i="2"/>
  <c r="G768" i="2"/>
  <c r="G766" i="2"/>
  <c r="G764" i="2"/>
  <c r="G762" i="2"/>
  <c r="G760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3" i="3"/>
  <c r="G733" i="2" s="1"/>
  <c r="G734" i="2"/>
  <c r="G660" i="2"/>
  <c r="G658" i="2"/>
  <c r="G524" i="2"/>
  <c r="G522" i="2"/>
  <c r="G958" i="2"/>
  <c r="G952" i="2"/>
  <c r="G945" i="3"/>
  <c r="G946" i="2"/>
  <c r="G928" i="2"/>
  <c r="G731" i="2"/>
  <c r="G729" i="2"/>
  <c r="G727" i="2"/>
  <c r="G725" i="2"/>
  <c r="G723" i="2"/>
  <c r="G721" i="2"/>
  <c r="G719" i="2"/>
  <c r="G717" i="2"/>
  <c r="G715" i="2"/>
  <c r="G713" i="2"/>
  <c r="G711" i="2"/>
  <c r="G709" i="2"/>
  <c r="G707" i="2"/>
  <c r="G705" i="2"/>
  <c r="G703" i="2"/>
  <c r="G701" i="2"/>
  <c r="G699" i="2"/>
  <c r="G697" i="2"/>
  <c r="G695" i="2"/>
  <c r="G693" i="2"/>
  <c r="G687" i="2"/>
  <c r="G685" i="2"/>
  <c r="G683" i="2"/>
  <c r="G681" i="2"/>
  <c r="G679" i="2"/>
  <c r="G677" i="2"/>
  <c r="G675" i="2"/>
  <c r="G673" i="2"/>
  <c r="G671" i="2"/>
  <c r="G669" i="2"/>
  <c r="G667" i="2"/>
  <c r="G665" i="2"/>
  <c r="G655" i="2"/>
  <c r="G653" i="2"/>
  <c r="G651" i="2"/>
  <c r="G649" i="2"/>
  <c r="G647" i="2"/>
  <c r="G645" i="2"/>
  <c r="G643" i="2"/>
  <c r="G640" i="3"/>
  <c r="G641" i="2"/>
  <c r="G637" i="2"/>
  <c r="G635" i="2"/>
  <c r="G633" i="2"/>
  <c r="G631" i="2"/>
  <c r="G629" i="2"/>
  <c r="G627" i="2"/>
  <c r="G625" i="2"/>
  <c r="G623" i="2"/>
  <c r="G621" i="2"/>
  <c r="G619" i="2"/>
  <c r="G617" i="2"/>
  <c r="G615" i="2"/>
  <c r="G613" i="2"/>
  <c r="G611" i="2"/>
  <c r="G609" i="2"/>
  <c r="G607" i="2"/>
  <c r="G605" i="2"/>
  <c r="G603" i="2"/>
  <c r="G601" i="2"/>
  <c r="G599" i="2"/>
  <c r="G597" i="2"/>
  <c r="G595" i="2"/>
  <c r="G593" i="2"/>
  <c r="G591" i="2"/>
  <c r="G589" i="2"/>
  <c r="G587" i="2"/>
  <c r="G585" i="2"/>
  <c r="G583" i="2"/>
  <c r="G581" i="2"/>
  <c r="G579" i="2"/>
  <c r="G577" i="2"/>
  <c r="G575" i="2"/>
  <c r="G573" i="2"/>
  <c r="G571" i="2"/>
  <c r="G569" i="2"/>
  <c r="G567" i="2"/>
  <c r="G565" i="2"/>
  <c r="G563" i="2"/>
  <c r="G561" i="2"/>
  <c r="G559" i="2"/>
  <c r="G557" i="2"/>
  <c r="G555" i="2"/>
  <c r="G553" i="2"/>
  <c r="G551" i="2"/>
  <c r="G549" i="2"/>
  <c r="G546" i="3"/>
  <c r="G546" i="2" s="1"/>
  <c r="G547" i="2"/>
  <c r="G453" i="2"/>
  <c r="G451" i="2"/>
  <c r="G449" i="2"/>
  <c r="G447" i="2"/>
  <c r="G445" i="2"/>
  <c r="G443" i="2"/>
  <c r="G441" i="2"/>
  <c r="G439" i="2"/>
  <c r="G437" i="2"/>
  <c r="G435" i="2"/>
  <c r="G433" i="2"/>
  <c r="G431" i="2"/>
  <c r="G429" i="2"/>
  <c r="G427" i="2"/>
  <c r="G425" i="2"/>
  <c r="G423" i="2"/>
  <c r="G421" i="2"/>
  <c r="G419" i="2"/>
  <c r="G417" i="2"/>
  <c r="G415" i="2"/>
  <c r="G413" i="2"/>
  <c r="G411" i="2"/>
  <c r="G409" i="2"/>
  <c r="G407" i="2"/>
  <c r="G405" i="2"/>
  <c r="G403" i="2"/>
  <c r="G401" i="2"/>
  <c r="G399" i="2"/>
  <c r="G397" i="2"/>
  <c r="G395" i="2"/>
  <c r="G393" i="2"/>
  <c r="G391" i="2"/>
  <c r="G389" i="2"/>
  <c r="G387" i="2"/>
  <c r="G385" i="2"/>
  <c r="G383" i="2"/>
  <c r="G942" i="2"/>
  <c r="G882" i="2"/>
  <c r="G876" i="2"/>
  <c r="G839" i="2"/>
  <c r="G836" i="2"/>
  <c r="G808" i="2"/>
  <c r="G805" i="3"/>
  <c r="G805" i="2" s="1"/>
  <c r="G806" i="2"/>
  <c r="G544" i="2"/>
  <c r="G542" i="2"/>
  <c r="G540" i="2"/>
  <c r="G538" i="2"/>
  <c r="G536" i="2"/>
  <c r="G534" i="2"/>
  <c r="G532" i="2"/>
  <c r="G530" i="2"/>
  <c r="G528" i="2"/>
  <c r="G518" i="2"/>
  <c r="G516" i="2"/>
  <c r="G514" i="2"/>
  <c r="G512" i="2"/>
  <c r="G510" i="2"/>
  <c r="G507" i="3"/>
  <c r="G508" i="2"/>
  <c r="G504" i="2"/>
  <c r="G502" i="2"/>
  <c r="G500" i="2"/>
  <c r="G498" i="2"/>
  <c r="G496" i="2"/>
  <c r="G494" i="2"/>
  <c r="G492" i="2"/>
  <c r="G490" i="2"/>
  <c r="G488" i="2"/>
  <c r="G486" i="2"/>
  <c r="G484" i="2"/>
  <c r="G481" i="3"/>
  <c r="G482" i="2"/>
  <c r="G478" i="2"/>
  <c r="G476" i="2"/>
  <c r="G474" i="2"/>
  <c r="G472" i="2"/>
  <c r="G470" i="2"/>
  <c r="G468" i="2"/>
  <c r="G466" i="2"/>
  <c r="G464" i="2"/>
  <c r="G462" i="2"/>
  <c r="G460" i="2"/>
  <c r="G884" i="2"/>
  <c r="G878" i="2"/>
  <c r="G838" i="2"/>
  <c r="G835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1" i="3"/>
  <c r="G692" i="2"/>
  <c r="G688" i="2"/>
  <c r="G686" i="2"/>
  <c r="G684" i="2"/>
  <c r="G682" i="2"/>
  <c r="G680" i="2"/>
  <c r="G678" i="2"/>
  <c r="G676" i="2"/>
  <c r="G674" i="2"/>
  <c r="G672" i="2"/>
  <c r="G670" i="2"/>
  <c r="G668" i="2"/>
  <c r="G666" i="2"/>
  <c r="G663" i="3"/>
  <c r="G664" i="2"/>
  <c r="G654" i="2"/>
  <c r="G652" i="2"/>
  <c r="G650" i="2"/>
  <c r="G648" i="2"/>
  <c r="G646" i="2"/>
  <c r="G644" i="2"/>
  <c r="G642" i="2"/>
  <c r="G636" i="2"/>
  <c r="G634" i="2"/>
  <c r="G632" i="2"/>
  <c r="G630" i="2"/>
  <c r="G628" i="2"/>
  <c r="G626" i="2"/>
  <c r="G624" i="2"/>
  <c r="G622" i="2"/>
  <c r="G620" i="2"/>
  <c r="G618" i="2"/>
  <c r="G616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452" i="2"/>
  <c r="G450" i="2"/>
  <c r="G448" i="2"/>
  <c r="G446" i="2"/>
  <c r="G444" i="2"/>
  <c r="G442" i="2"/>
  <c r="G440" i="2"/>
  <c r="G438" i="2"/>
  <c r="G436" i="2"/>
  <c r="G434" i="2"/>
  <c r="G432" i="2"/>
  <c r="G430" i="2"/>
  <c r="G428" i="2"/>
  <c r="G426" i="2"/>
  <c r="G424" i="2"/>
  <c r="G422" i="2"/>
  <c r="G420" i="2"/>
  <c r="G418" i="2"/>
  <c r="G416" i="2"/>
  <c r="G414" i="2"/>
  <c r="G412" i="2"/>
  <c r="G410" i="2"/>
  <c r="G408" i="2"/>
  <c r="G406" i="2"/>
  <c r="G404" i="2"/>
  <c r="G402" i="2"/>
  <c r="G400" i="2"/>
  <c r="G398" i="2"/>
  <c r="G396" i="2"/>
  <c r="G394" i="2"/>
  <c r="G392" i="2"/>
  <c r="G390" i="2"/>
  <c r="G388" i="2"/>
  <c r="G386" i="2"/>
  <c r="G384" i="2"/>
  <c r="G382" i="2"/>
  <c r="G923" i="3"/>
  <c r="G923" i="2" s="1"/>
  <c r="G924" i="2"/>
  <c r="G378" i="2"/>
  <c r="G377" i="2"/>
  <c r="G36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6" i="3"/>
  <c r="G66" i="2" s="1"/>
  <c r="G67" i="2"/>
  <c r="G831" i="2"/>
  <c r="G825" i="2"/>
  <c r="G819" i="2"/>
  <c r="G813" i="2"/>
  <c r="G801" i="2"/>
  <c r="G795" i="2"/>
  <c r="G789" i="2"/>
  <c r="G783" i="2"/>
  <c r="G777" i="2"/>
  <c r="G771" i="2"/>
  <c r="G765" i="2"/>
  <c r="G759" i="2"/>
  <c r="G753" i="2"/>
  <c r="G747" i="2"/>
  <c r="G741" i="2"/>
  <c r="G735" i="2"/>
  <c r="G661" i="2"/>
  <c r="G523" i="2"/>
  <c r="G376" i="2"/>
  <c r="G375" i="2"/>
  <c r="G368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3" i="3"/>
  <c r="G24" i="2"/>
  <c r="G20" i="2"/>
  <c r="G18" i="2"/>
  <c r="G16" i="2"/>
  <c r="G14" i="2"/>
  <c r="G12" i="2"/>
  <c r="G10" i="2"/>
  <c r="G8" i="2"/>
  <c r="G374" i="2"/>
  <c r="G373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64" i="3"/>
  <c r="G165" i="2"/>
  <c r="G161" i="2"/>
  <c r="G159" i="2"/>
  <c r="G157" i="2"/>
  <c r="G155" i="2"/>
  <c r="G153" i="2"/>
  <c r="G151" i="2"/>
  <c r="G960" i="2"/>
  <c r="G833" i="2"/>
  <c r="G827" i="2"/>
  <c r="G821" i="2"/>
  <c r="G815" i="2"/>
  <c r="G803" i="2"/>
  <c r="G797" i="2"/>
  <c r="G791" i="2"/>
  <c r="G785" i="2"/>
  <c r="G779" i="2"/>
  <c r="G773" i="2"/>
  <c r="G767" i="2"/>
  <c r="G761" i="2"/>
  <c r="G755" i="2"/>
  <c r="G749" i="2"/>
  <c r="G743" i="2"/>
  <c r="G737" i="2"/>
  <c r="G656" i="3"/>
  <c r="G656" i="2" s="1"/>
  <c r="G657" i="2"/>
  <c r="G525" i="2"/>
  <c r="G372" i="2"/>
  <c r="G367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68" i="2"/>
  <c r="G954" i="2"/>
  <c r="G381" i="2"/>
  <c r="G371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G238" i="3"/>
  <c r="G238" i="2" s="1"/>
  <c r="G239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19" i="2"/>
  <c r="G17" i="2"/>
  <c r="G15" i="2"/>
  <c r="G13" i="2"/>
  <c r="G11" i="2"/>
  <c r="G9" i="2"/>
  <c r="G6" i="3"/>
  <c r="G7" i="2"/>
  <c r="G948" i="2"/>
  <c r="G829" i="2"/>
  <c r="G823" i="2"/>
  <c r="G817" i="2"/>
  <c r="G799" i="2"/>
  <c r="G793" i="2"/>
  <c r="G787" i="2"/>
  <c r="G781" i="2"/>
  <c r="G775" i="2"/>
  <c r="G769" i="2"/>
  <c r="G763" i="2"/>
  <c r="G757" i="2"/>
  <c r="G751" i="2"/>
  <c r="G745" i="2"/>
  <c r="G739" i="2"/>
  <c r="G659" i="2"/>
  <c r="G520" i="3"/>
  <c r="G521" i="2"/>
  <c r="G380" i="2"/>
  <c r="G379" i="2"/>
  <c r="G370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1" i="3"/>
  <c r="G342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0" i="2"/>
  <c r="G158" i="2"/>
  <c r="G156" i="2"/>
  <c r="G154" i="2"/>
  <c r="G152" i="2"/>
  <c r="G149" i="3"/>
  <c r="G149" i="2" s="1"/>
  <c r="G150" i="2"/>
  <c r="H1116" i="2"/>
  <c r="H1101" i="2"/>
  <c r="H1099" i="2"/>
  <c r="H1097" i="2"/>
  <c r="H1095" i="2"/>
  <c r="H1093" i="2"/>
  <c r="H1091" i="2"/>
  <c r="H1089" i="2"/>
  <c r="H1087" i="2"/>
  <c r="H1085" i="2"/>
  <c r="H1083" i="2"/>
  <c r="H1081" i="2"/>
  <c r="H1079" i="2"/>
  <c r="H1077" i="2"/>
  <c r="H1075" i="2"/>
  <c r="H1073" i="2"/>
  <c r="H1071" i="2"/>
  <c r="H1069" i="2"/>
  <c r="H1067" i="2"/>
  <c r="H1065" i="2"/>
  <c r="H1063" i="2"/>
  <c r="H1061" i="2"/>
  <c r="H1058" i="3"/>
  <c r="H1058" i="2" s="1"/>
  <c r="H1059" i="2"/>
  <c r="H1056" i="2"/>
  <c r="H1054" i="2"/>
  <c r="H1052" i="2"/>
  <c r="H1050" i="2"/>
  <c r="H1048" i="2"/>
  <c r="H1046" i="2"/>
  <c r="H1044" i="2"/>
  <c r="H1042" i="2"/>
  <c r="H1040" i="2"/>
  <c r="H1038" i="2"/>
  <c r="H1036" i="2"/>
  <c r="H1034" i="2"/>
  <c r="H1032" i="2"/>
  <c r="H1030" i="2"/>
  <c r="H1028" i="2"/>
  <c r="H1026" i="2"/>
  <c r="H1024" i="2"/>
  <c r="H1021" i="3"/>
  <c r="H1022" i="2"/>
  <c r="H978" i="2"/>
  <c r="H976" i="2"/>
  <c r="H974" i="2"/>
  <c r="H972" i="2"/>
  <c r="H970" i="2"/>
  <c r="H968" i="2"/>
  <c r="H966" i="2"/>
  <c r="H963" i="3"/>
  <c r="H963" i="2" s="1"/>
  <c r="H964" i="2"/>
  <c r="H908" i="2"/>
  <c r="H906" i="2"/>
  <c r="H904" i="2"/>
  <c r="H902" i="2"/>
  <c r="H900" i="2"/>
  <c r="H898" i="2"/>
  <c r="H896" i="2"/>
  <c r="H894" i="2"/>
  <c r="H892" i="2"/>
  <c r="H890" i="2"/>
  <c r="H887" i="3"/>
  <c r="H887" i="2" s="1"/>
  <c r="H888" i="2"/>
  <c r="H844" i="2"/>
  <c r="H841" i="3"/>
  <c r="H841" i="2" s="1"/>
  <c r="H842" i="2"/>
  <c r="H1115" i="2"/>
  <c r="H1113" i="2"/>
  <c r="H1111" i="2"/>
  <c r="H1109" i="2"/>
  <c r="H1107" i="2"/>
  <c r="H1105" i="2"/>
  <c r="H961" i="2"/>
  <c r="H959" i="2"/>
  <c r="H957" i="2"/>
  <c r="H955" i="2"/>
  <c r="H953" i="2"/>
  <c r="H951" i="2"/>
  <c r="H949" i="2"/>
  <c r="H947" i="2"/>
  <c r="H929" i="2"/>
  <c r="H927" i="2"/>
  <c r="H925" i="2"/>
  <c r="H885" i="2"/>
  <c r="H883" i="2"/>
  <c r="H881" i="2"/>
  <c r="H879" i="2"/>
  <c r="H877" i="2"/>
  <c r="H874" i="3"/>
  <c r="H874" i="2" s="1"/>
  <c r="H875" i="2"/>
  <c r="H839" i="2"/>
  <c r="H837" i="2"/>
  <c r="H835" i="2"/>
  <c r="H1102" i="2"/>
  <c r="H1100" i="2"/>
  <c r="H1098" i="2"/>
  <c r="H1096" i="2"/>
  <c r="H1094" i="2"/>
  <c r="H1092" i="2"/>
  <c r="H1090" i="2"/>
  <c r="H1088" i="2"/>
  <c r="H1086" i="2"/>
  <c r="H1084" i="2"/>
  <c r="H1082" i="2"/>
  <c r="H1080" i="2"/>
  <c r="H1078" i="2"/>
  <c r="H1076" i="2"/>
  <c r="H1074" i="2"/>
  <c r="H1072" i="2"/>
  <c r="H1070" i="2"/>
  <c r="H1068" i="2"/>
  <c r="H1066" i="2"/>
  <c r="H1064" i="2"/>
  <c r="H1062" i="2"/>
  <c r="H1060" i="2"/>
  <c r="H1018" i="2"/>
  <c r="H1016" i="2"/>
  <c r="H1014" i="2"/>
  <c r="H1012" i="2"/>
  <c r="H1010" i="2"/>
  <c r="H1008" i="2"/>
  <c r="H1006" i="2"/>
  <c r="H1004" i="2"/>
  <c r="H1002" i="2"/>
  <c r="H1000" i="2"/>
  <c r="H998" i="2"/>
  <c r="H995" i="3"/>
  <c r="H996" i="2"/>
  <c r="H992" i="2"/>
  <c r="H990" i="2"/>
  <c r="H988" i="2"/>
  <c r="H986" i="2"/>
  <c r="H984" i="2"/>
  <c r="H982" i="2"/>
  <c r="H940" i="2"/>
  <c r="H938" i="2"/>
  <c r="H936" i="2"/>
  <c r="H934" i="2"/>
  <c r="H931" i="3"/>
  <c r="H932" i="2"/>
  <c r="H922" i="2"/>
  <c r="H920" i="2"/>
  <c r="H918" i="2"/>
  <c r="H916" i="2"/>
  <c r="H914" i="2"/>
  <c r="H912" i="2"/>
  <c r="H872" i="2"/>
  <c r="H870" i="2"/>
  <c r="H868" i="2"/>
  <c r="H866" i="2"/>
  <c r="H864" i="2"/>
  <c r="H862" i="2"/>
  <c r="H860" i="2"/>
  <c r="H858" i="2"/>
  <c r="H856" i="2"/>
  <c r="H854" i="2"/>
  <c r="H852" i="2"/>
  <c r="H850" i="2"/>
  <c r="H848" i="2"/>
  <c r="H845" i="3"/>
  <c r="H845" i="2" s="1"/>
  <c r="H846" i="2"/>
  <c r="H1057" i="2"/>
  <c r="H1055" i="2"/>
  <c r="H1053" i="2"/>
  <c r="H1051" i="2"/>
  <c r="H1049" i="2"/>
  <c r="H1047" i="2"/>
  <c r="H1045" i="2"/>
  <c r="H1043" i="2"/>
  <c r="H1041" i="2"/>
  <c r="H1039" i="2"/>
  <c r="H1037" i="2"/>
  <c r="H1035" i="2"/>
  <c r="H1033" i="2"/>
  <c r="H1031" i="2"/>
  <c r="H1029" i="2"/>
  <c r="H1027" i="2"/>
  <c r="H1025" i="2"/>
  <c r="H1023" i="2"/>
  <c r="H979" i="2"/>
  <c r="H977" i="2"/>
  <c r="H975" i="2"/>
  <c r="H973" i="2"/>
  <c r="H971" i="2"/>
  <c r="H969" i="2"/>
  <c r="H967" i="2"/>
  <c r="H965" i="2"/>
  <c r="H909" i="2"/>
  <c r="H907" i="2"/>
  <c r="H905" i="2"/>
  <c r="H903" i="2"/>
  <c r="H901" i="2"/>
  <c r="H899" i="2"/>
  <c r="H897" i="2"/>
  <c r="H895" i="2"/>
  <c r="H893" i="2"/>
  <c r="H891" i="2"/>
  <c r="H889" i="2"/>
  <c r="H843" i="2"/>
  <c r="H1114" i="2"/>
  <c r="H1112" i="2"/>
  <c r="H1110" i="2"/>
  <c r="H1108" i="2"/>
  <c r="H1106" i="2"/>
  <c r="H1103" i="3"/>
  <c r="H1103" i="2" s="1"/>
  <c r="H1104" i="2"/>
  <c r="H962" i="2"/>
  <c r="H960" i="2"/>
  <c r="H958" i="2"/>
  <c r="H956" i="2"/>
  <c r="H954" i="2"/>
  <c r="H952" i="2"/>
  <c r="H950" i="2"/>
  <c r="H948" i="2"/>
  <c r="H945" i="3"/>
  <c r="H946" i="2"/>
  <c r="H942" i="2"/>
  <c r="H928" i="2"/>
  <c r="H926" i="2"/>
  <c r="H923" i="3"/>
  <c r="H923" i="2" s="1"/>
  <c r="H924" i="2"/>
  <c r="H886" i="2"/>
  <c r="H884" i="2"/>
  <c r="H882" i="2"/>
  <c r="H880" i="2"/>
  <c r="H878" i="2"/>
  <c r="H876" i="2"/>
  <c r="H840" i="2"/>
  <c r="H838" i="2"/>
  <c r="H836" i="2"/>
  <c r="H834" i="2"/>
  <c r="H989" i="2"/>
  <c r="H985" i="2"/>
  <c r="H980" i="3"/>
  <c r="H980" i="2" s="1"/>
  <c r="H981" i="2"/>
  <c r="H941" i="2"/>
  <c r="H937" i="2"/>
  <c r="H933" i="2"/>
  <c r="H832" i="2"/>
  <c r="H830" i="2"/>
  <c r="H828" i="2"/>
  <c r="H826" i="2"/>
  <c r="H824" i="2"/>
  <c r="H822" i="2"/>
  <c r="H820" i="2"/>
  <c r="H818" i="2"/>
  <c r="H816" i="2"/>
  <c r="H814" i="2"/>
  <c r="H811" i="3"/>
  <c r="H812" i="2"/>
  <c r="H804" i="2"/>
  <c r="H802" i="2"/>
  <c r="H800" i="2"/>
  <c r="H798" i="2"/>
  <c r="H796" i="2"/>
  <c r="H794" i="2"/>
  <c r="H792" i="2"/>
  <c r="H790" i="2"/>
  <c r="H788" i="2"/>
  <c r="H786" i="2"/>
  <c r="H784" i="2"/>
  <c r="H782" i="2"/>
  <c r="H780" i="2"/>
  <c r="H778" i="2"/>
  <c r="H776" i="2"/>
  <c r="H774" i="2"/>
  <c r="H772" i="2"/>
  <c r="H770" i="2"/>
  <c r="H768" i="2"/>
  <c r="H766" i="2"/>
  <c r="H764" i="2"/>
  <c r="H762" i="2"/>
  <c r="H760" i="2"/>
  <c r="H758" i="2"/>
  <c r="H756" i="2"/>
  <c r="H754" i="2"/>
  <c r="H752" i="2"/>
  <c r="H750" i="2"/>
  <c r="H748" i="2"/>
  <c r="H746" i="2"/>
  <c r="H744" i="2"/>
  <c r="H742" i="2"/>
  <c r="H740" i="2"/>
  <c r="H738" i="2"/>
  <c r="H736" i="2"/>
  <c r="H733" i="3"/>
  <c r="H733" i="2" s="1"/>
  <c r="H734" i="2"/>
  <c r="H660" i="2"/>
  <c r="H658" i="2"/>
  <c r="H524" i="2"/>
  <c r="H522" i="2"/>
  <c r="H919" i="2"/>
  <c r="H915" i="2"/>
  <c r="H910" i="3"/>
  <c r="H910" i="2" s="1"/>
  <c r="H911" i="2"/>
  <c r="H871" i="2"/>
  <c r="H867" i="2"/>
  <c r="H863" i="2"/>
  <c r="H859" i="2"/>
  <c r="H855" i="2"/>
  <c r="H851" i="2"/>
  <c r="H847" i="2"/>
  <c r="H731" i="2"/>
  <c r="H729" i="2"/>
  <c r="H727" i="2"/>
  <c r="H725" i="2"/>
  <c r="H723" i="2"/>
  <c r="H721" i="2"/>
  <c r="H719" i="2"/>
  <c r="H717" i="2"/>
  <c r="H715" i="2"/>
  <c r="H713" i="2"/>
  <c r="H711" i="2"/>
  <c r="H709" i="2"/>
  <c r="H707" i="2"/>
  <c r="H705" i="2"/>
  <c r="H703" i="2"/>
  <c r="H701" i="2"/>
  <c r="H699" i="2"/>
  <c r="H697" i="2"/>
  <c r="H695" i="2"/>
  <c r="H693" i="2"/>
  <c r="H687" i="2"/>
  <c r="H685" i="2"/>
  <c r="H683" i="2"/>
  <c r="H681" i="2"/>
  <c r="H679" i="2"/>
  <c r="H677" i="2"/>
  <c r="H675" i="2"/>
  <c r="H673" i="2"/>
  <c r="H671" i="2"/>
  <c r="H669" i="2"/>
  <c r="H667" i="2"/>
  <c r="H665" i="2"/>
  <c r="H655" i="2"/>
  <c r="H653" i="2"/>
  <c r="H651" i="2"/>
  <c r="H649" i="2"/>
  <c r="H647" i="2"/>
  <c r="H645" i="2"/>
  <c r="H643" i="2"/>
  <c r="H640" i="3"/>
  <c r="H641" i="2"/>
  <c r="H637" i="2"/>
  <c r="H635" i="2"/>
  <c r="H633" i="2"/>
  <c r="H631" i="2"/>
  <c r="H629" i="2"/>
  <c r="H627" i="2"/>
  <c r="H625" i="2"/>
  <c r="H623" i="2"/>
  <c r="H621" i="2"/>
  <c r="H619" i="2"/>
  <c r="H617" i="2"/>
  <c r="H615" i="2"/>
  <c r="H613" i="2"/>
  <c r="H611" i="2"/>
  <c r="H609" i="2"/>
  <c r="H607" i="2"/>
  <c r="H605" i="2"/>
  <c r="H603" i="2"/>
  <c r="H601" i="2"/>
  <c r="H599" i="2"/>
  <c r="H597" i="2"/>
  <c r="H595" i="2"/>
  <c r="H593" i="2"/>
  <c r="H591" i="2"/>
  <c r="H589" i="2"/>
  <c r="H587" i="2"/>
  <c r="H585" i="2"/>
  <c r="H583" i="2"/>
  <c r="H581" i="2"/>
  <c r="H579" i="2"/>
  <c r="H577" i="2"/>
  <c r="H575" i="2"/>
  <c r="H573" i="2"/>
  <c r="H571" i="2"/>
  <c r="H569" i="2"/>
  <c r="H567" i="2"/>
  <c r="H565" i="2"/>
  <c r="H563" i="2"/>
  <c r="H561" i="2"/>
  <c r="H559" i="2"/>
  <c r="H557" i="2"/>
  <c r="H555" i="2"/>
  <c r="H553" i="2"/>
  <c r="H551" i="2"/>
  <c r="H549" i="2"/>
  <c r="H546" i="3"/>
  <c r="H546" i="2" s="1"/>
  <c r="H547" i="2"/>
  <c r="H453" i="2"/>
  <c r="H451" i="2"/>
  <c r="H449" i="2"/>
  <c r="H447" i="2"/>
  <c r="H445" i="2"/>
  <c r="H443" i="2"/>
  <c r="H441" i="2"/>
  <c r="H439" i="2"/>
  <c r="H437" i="2"/>
  <c r="H435" i="2"/>
  <c r="H433" i="2"/>
  <c r="H431" i="2"/>
  <c r="H429" i="2"/>
  <c r="H427" i="2"/>
  <c r="H425" i="2"/>
  <c r="H423" i="2"/>
  <c r="H421" i="2"/>
  <c r="H419" i="2"/>
  <c r="H417" i="2"/>
  <c r="H415" i="2"/>
  <c r="H413" i="2"/>
  <c r="H411" i="2"/>
  <c r="H409" i="2"/>
  <c r="H407" i="2"/>
  <c r="H405" i="2"/>
  <c r="H403" i="2"/>
  <c r="H401" i="2"/>
  <c r="H399" i="2"/>
  <c r="H397" i="2"/>
  <c r="H395" i="2"/>
  <c r="H393" i="2"/>
  <c r="H391" i="2"/>
  <c r="H389" i="2"/>
  <c r="H387" i="2"/>
  <c r="H385" i="2"/>
  <c r="H383" i="2"/>
  <c r="H381" i="2"/>
  <c r="H379" i="2"/>
  <c r="H377" i="2"/>
  <c r="H375" i="2"/>
  <c r="H373" i="2"/>
  <c r="H1019" i="2"/>
  <c r="H1015" i="2"/>
  <c r="H1011" i="2"/>
  <c r="H1007" i="2"/>
  <c r="H1003" i="2"/>
  <c r="H999" i="2"/>
  <c r="H808" i="2"/>
  <c r="H805" i="3"/>
  <c r="H805" i="2" s="1"/>
  <c r="H806" i="2"/>
  <c r="H544" i="2"/>
  <c r="H542" i="2"/>
  <c r="H540" i="2"/>
  <c r="H538" i="2"/>
  <c r="H536" i="2"/>
  <c r="H534" i="2"/>
  <c r="H532" i="2"/>
  <c r="H530" i="2"/>
  <c r="H528" i="2"/>
  <c r="H518" i="2"/>
  <c r="H516" i="2"/>
  <c r="H514" i="2"/>
  <c r="H512" i="2"/>
  <c r="H510" i="2"/>
  <c r="H507" i="3"/>
  <c r="H508" i="2"/>
  <c r="H504" i="2"/>
  <c r="H502" i="2"/>
  <c r="H500" i="2"/>
  <c r="H498" i="2"/>
  <c r="H496" i="2"/>
  <c r="H494" i="2"/>
  <c r="H492" i="2"/>
  <c r="H490" i="2"/>
  <c r="H488" i="2"/>
  <c r="H486" i="2"/>
  <c r="H484" i="2"/>
  <c r="H481" i="3"/>
  <c r="H482" i="2"/>
  <c r="H478" i="2"/>
  <c r="H476" i="2"/>
  <c r="H474" i="2"/>
  <c r="H472" i="2"/>
  <c r="H470" i="2"/>
  <c r="H468" i="2"/>
  <c r="H466" i="2"/>
  <c r="H464" i="2"/>
  <c r="H462" i="2"/>
  <c r="H460" i="2"/>
  <c r="H991" i="2"/>
  <c r="H987" i="2"/>
  <c r="H983" i="2"/>
  <c r="H939" i="2"/>
  <c r="H935" i="2"/>
  <c r="H833" i="2"/>
  <c r="H831" i="2"/>
  <c r="H829" i="2"/>
  <c r="H827" i="2"/>
  <c r="H825" i="2"/>
  <c r="H823" i="2"/>
  <c r="H821" i="2"/>
  <c r="H819" i="2"/>
  <c r="H817" i="2"/>
  <c r="H815" i="2"/>
  <c r="H813" i="2"/>
  <c r="H803" i="2"/>
  <c r="H801" i="2"/>
  <c r="H799" i="2"/>
  <c r="H797" i="2"/>
  <c r="H795" i="2"/>
  <c r="H793" i="2"/>
  <c r="H791" i="2"/>
  <c r="H789" i="2"/>
  <c r="H787" i="2"/>
  <c r="H785" i="2"/>
  <c r="H783" i="2"/>
  <c r="H781" i="2"/>
  <c r="H779" i="2"/>
  <c r="H777" i="2"/>
  <c r="H775" i="2"/>
  <c r="H773" i="2"/>
  <c r="H771" i="2"/>
  <c r="H769" i="2"/>
  <c r="H767" i="2"/>
  <c r="H765" i="2"/>
  <c r="H763" i="2"/>
  <c r="H761" i="2"/>
  <c r="H759" i="2"/>
  <c r="H757" i="2"/>
  <c r="H755" i="2"/>
  <c r="H753" i="2"/>
  <c r="H751" i="2"/>
  <c r="H749" i="2"/>
  <c r="H747" i="2"/>
  <c r="H745" i="2"/>
  <c r="H743" i="2"/>
  <c r="H741" i="2"/>
  <c r="H739" i="2"/>
  <c r="H737" i="2"/>
  <c r="H735" i="2"/>
  <c r="H661" i="2"/>
  <c r="H659" i="2"/>
  <c r="H656" i="3"/>
  <c r="H656" i="2" s="1"/>
  <c r="H657" i="2"/>
  <c r="H525" i="2"/>
  <c r="H523" i="2"/>
  <c r="H520" i="3"/>
  <c r="H521" i="2"/>
  <c r="H1017" i="2"/>
  <c r="H1013" i="2"/>
  <c r="H1009" i="2"/>
  <c r="H1005" i="2"/>
  <c r="H1001" i="2"/>
  <c r="H997" i="2"/>
  <c r="H809" i="2"/>
  <c r="H807" i="2"/>
  <c r="H545" i="2"/>
  <c r="H543" i="2"/>
  <c r="H541" i="2"/>
  <c r="H539" i="2"/>
  <c r="H537" i="2"/>
  <c r="H535" i="2"/>
  <c r="H533" i="2"/>
  <c r="H531" i="2"/>
  <c r="H529" i="2"/>
  <c r="H526" i="3"/>
  <c r="H526" i="2" s="1"/>
  <c r="H527" i="2"/>
  <c r="H517" i="2"/>
  <c r="H515" i="2"/>
  <c r="H513" i="2"/>
  <c r="H511" i="2"/>
  <c r="H509" i="2"/>
  <c r="H503" i="2"/>
  <c r="H501" i="2"/>
  <c r="H499" i="2"/>
  <c r="H497" i="2"/>
  <c r="H495" i="2"/>
  <c r="H493" i="2"/>
  <c r="H491" i="2"/>
  <c r="H489" i="2"/>
  <c r="H487" i="2"/>
  <c r="H485" i="2"/>
  <c r="H483" i="2"/>
  <c r="H477" i="2"/>
  <c r="H475" i="2"/>
  <c r="H473" i="2"/>
  <c r="H471" i="2"/>
  <c r="H469" i="2"/>
  <c r="H467" i="2"/>
  <c r="H465" i="2"/>
  <c r="H463" i="2"/>
  <c r="H461" i="2"/>
  <c r="H458" i="3"/>
  <c r="H459" i="2"/>
  <c r="H865" i="2"/>
  <c r="H686" i="2"/>
  <c r="H682" i="2"/>
  <c r="H678" i="2"/>
  <c r="H674" i="2"/>
  <c r="H670" i="2"/>
  <c r="H666" i="2"/>
  <c r="H652" i="2"/>
  <c r="H648" i="2"/>
  <c r="H644" i="2"/>
  <c r="H376" i="2"/>
  <c r="H368" i="2"/>
  <c r="H338" i="2"/>
  <c r="H336" i="2"/>
  <c r="H334" i="2"/>
  <c r="H332" i="2"/>
  <c r="H330" i="2"/>
  <c r="H328" i="2"/>
  <c r="H326" i="2"/>
  <c r="H324" i="2"/>
  <c r="H322" i="2"/>
  <c r="H320" i="2"/>
  <c r="H318" i="2"/>
  <c r="H316" i="2"/>
  <c r="H314" i="2"/>
  <c r="H312" i="2"/>
  <c r="H310" i="2"/>
  <c r="H308" i="2"/>
  <c r="H306" i="2"/>
  <c r="H304" i="2"/>
  <c r="H302" i="2"/>
  <c r="H300" i="2"/>
  <c r="H298" i="2"/>
  <c r="H296" i="2"/>
  <c r="H294" i="2"/>
  <c r="H292" i="2"/>
  <c r="H290" i="2"/>
  <c r="H288" i="2"/>
  <c r="H286" i="2"/>
  <c r="H284" i="2"/>
  <c r="H282" i="2"/>
  <c r="H280" i="2"/>
  <c r="H278" i="2"/>
  <c r="H276" i="2"/>
  <c r="H274" i="2"/>
  <c r="H272" i="2"/>
  <c r="H270" i="2"/>
  <c r="H268" i="2"/>
  <c r="H266" i="2"/>
  <c r="H264" i="2"/>
  <c r="H262" i="2"/>
  <c r="H260" i="2"/>
  <c r="H258" i="2"/>
  <c r="H256" i="2"/>
  <c r="H254" i="2"/>
  <c r="H252" i="2"/>
  <c r="H250" i="2"/>
  <c r="H248" i="2"/>
  <c r="H246" i="2"/>
  <c r="H244" i="2"/>
  <c r="H242" i="2"/>
  <c r="H240" i="2"/>
  <c r="H64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3" i="3"/>
  <c r="H24" i="2"/>
  <c r="H20" i="2"/>
  <c r="H18" i="2"/>
  <c r="H16" i="2"/>
  <c r="H14" i="2"/>
  <c r="H12" i="2"/>
  <c r="H10" i="2"/>
  <c r="H8" i="2"/>
  <c r="H869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60" i="2"/>
  <c r="H556" i="2"/>
  <c r="H552" i="2"/>
  <c r="H548" i="2"/>
  <c r="H374" i="2"/>
  <c r="H365" i="2"/>
  <c r="H363" i="2"/>
  <c r="H361" i="2"/>
  <c r="H359" i="2"/>
  <c r="H357" i="2"/>
  <c r="H355" i="2"/>
  <c r="H353" i="2"/>
  <c r="H351" i="2"/>
  <c r="H349" i="2"/>
  <c r="H347" i="2"/>
  <c r="H345" i="2"/>
  <c r="H343" i="2"/>
  <c r="H237" i="2"/>
  <c r="H235" i="2"/>
  <c r="H233" i="2"/>
  <c r="H231" i="2"/>
  <c r="H229" i="2"/>
  <c r="H227" i="2"/>
  <c r="H225" i="2"/>
  <c r="H223" i="2"/>
  <c r="H221" i="2"/>
  <c r="H219" i="2"/>
  <c r="H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H169" i="2"/>
  <c r="H167" i="2"/>
  <c r="H164" i="3"/>
  <c r="H165" i="2"/>
  <c r="H161" i="2"/>
  <c r="H159" i="2"/>
  <c r="H157" i="2"/>
  <c r="H155" i="2"/>
  <c r="H153" i="2"/>
  <c r="H151" i="2"/>
  <c r="H873" i="2"/>
  <c r="H849" i="2"/>
  <c r="H732" i="2"/>
  <c r="H728" i="2"/>
  <c r="H724" i="2"/>
  <c r="H720" i="2"/>
  <c r="H716" i="2"/>
  <c r="H712" i="2"/>
  <c r="H708" i="2"/>
  <c r="H704" i="2"/>
  <c r="H700" i="2"/>
  <c r="H696" i="2"/>
  <c r="H691" i="3"/>
  <c r="H692" i="2"/>
  <c r="H452" i="2"/>
  <c r="H448" i="2"/>
  <c r="H444" i="2"/>
  <c r="H440" i="2"/>
  <c r="H436" i="2"/>
  <c r="H432" i="2"/>
  <c r="H428" i="2"/>
  <c r="H424" i="2"/>
  <c r="H420" i="2"/>
  <c r="H416" i="2"/>
  <c r="H412" i="2"/>
  <c r="H408" i="2"/>
  <c r="H404" i="2"/>
  <c r="H400" i="2"/>
  <c r="H396" i="2"/>
  <c r="H392" i="2"/>
  <c r="H388" i="2"/>
  <c r="H384" i="2"/>
  <c r="H372" i="2"/>
  <c r="H367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6" i="2"/>
  <c r="H84" i="2"/>
  <c r="H82" i="2"/>
  <c r="H80" i="2"/>
  <c r="H78" i="2"/>
  <c r="H76" i="2"/>
  <c r="H74" i="2"/>
  <c r="H72" i="2"/>
  <c r="H70" i="2"/>
  <c r="H68" i="2"/>
  <c r="H913" i="2"/>
  <c r="H853" i="2"/>
  <c r="H688" i="2"/>
  <c r="H684" i="2"/>
  <c r="H680" i="2"/>
  <c r="H676" i="2"/>
  <c r="H672" i="2"/>
  <c r="H668" i="2"/>
  <c r="H663" i="3"/>
  <c r="H664" i="2"/>
  <c r="H654" i="2"/>
  <c r="H650" i="2"/>
  <c r="H646" i="2"/>
  <c r="H642" i="2"/>
  <c r="H371" i="2"/>
  <c r="H339" i="2"/>
  <c r="H337" i="2"/>
  <c r="H335" i="2"/>
  <c r="H333" i="2"/>
  <c r="H331" i="2"/>
  <c r="H329" i="2"/>
  <c r="H327" i="2"/>
  <c r="H325" i="2"/>
  <c r="H323" i="2"/>
  <c r="H321" i="2"/>
  <c r="H319" i="2"/>
  <c r="H317" i="2"/>
  <c r="H315" i="2"/>
  <c r="H313" i="2"/>
  <c r="H311" i="2"/>
  <c r="H309" i="2"/>
  <c r="H307" i="2"/>
  <c r="H305" i="2"/>
  <c r="H303" i="2"/>
  <c r="H301" i="2"/>
  <c r="H299" i="2"/>
  <c r="H297" i="2"/>
  <c r="H295" i="2"/>
  <c r="H293" i="2"/>
  <c r="H291" i="2"/>
  <c r="H289" i="2"/>
  <c r="H287" i="2"/>
  <c r="H285" i="2"/>
  <c r="H283" i="2"/>
  <c r="H281" i="2"/>
  <c r="H279" i="2"/>
  <c r="H277" i="2"/>
  <c r="H275" i="2"/>
  <c r="H273" i="2"/>
  <c r="H271" i="2"/>
  <c r="H269" i="2"/>
  <c r="H267" i="2"/>
  <c r="H265" i="2"/>
  <c r="H263" i="2"/>
  <c r="H261" i="2"/>
  <c r="H259" i="2"/>
  <c r="H257" i="2"/>
  <c r="H255" i="2"/>
  <c r="H253" i="2"/>
  <c r="H251" i="2"/>
  <c r="H249" i="2"/>
  <c r="H247" i="2"/>
  <c r="H245" i="2"/>
  <c r="H243" i="2"/>
  <c r="H241" i="2"/>
  <c r="H238" i="3"/>
  <c r="H238" i="2" s="1"/>
  <c r="H239" i="2"/>
  <c r="H65" i="2"/>
  <c r="H63" i="2"/>
  <c r="H61" i="2"/>
  <c r="H59" i="2"/>
  <c r="H57" i="2"/>
  <c r="H55" i="2"/>
  <c r="H53" i="2"/>
  <c r="H51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19" i="2"/>
  <c r="H17" i="2"/>
  <c r="H15" i="2"/>
  <c r="H13" i="2"/>
  <c r="H11" i="2"/>
  <c r="H9" i="2"/>
  <c r="H6" i="3"/>
  <c r="H7" i="2"/>
  <c r="H917" i="2"/>
  <c r="H857" i="2"/>
  <c r="H634" i="2"/>
  <c r="H630" i="2"/>
  <c r="H626" i="2"/>
  <c r="H622" i="2"/>
  <c r="H618" i="2"/>
  <c r="H614" i="2"/>
  <c r="H610" i="2"/>
  <c r="H606" i="2"/>
  <c r="H602" i="2"/>
  <c r="H598" i="2"/>
  <c r="H594" i="2"/>
  <c r="H590" i="2"/>
  <c r="H586" i="2"/>
  <c r="H582" i="2"/>
  <c r="H578" i="2"/>
  <c r="H574" i="2"/>
  <c r="H570" i="2"/>
  <c r="H566" i="2"/>
  <c r="H562" i="2"/>
  <c r="H558" i="2"/>
  <c r="H554" i="2"/>
  <c r="H550" i="2"/>
  <c r="H380" i="2"/>
  <c r="H370" i="2"/>
  <c r="H366" i="2"/>
  <c r="H364" i="2"/>
  <c r="H362" i="2"/>
  <c r="H360" i="2"/>
  <c r="H358" i="2"/>
  <c r="H356" i="2"/>
  <c r="H354" i="2"/>
  <c r="H352" i="2"/>
  <c r="H350" i="2"/>
  <c r="H348" i="2"/>
  <c r="H346" i="2"/>
  <c r="H344" i="2"/>
  <c r="H341" i="3"/>
  <c r="H342" i="2"/>
  <c r="H236" i="2"/>
  <c r="H234" i="2"/>
  <c r="H232" i="2"/>
  <c r="H230" i="2"/>
  <c r="H228" i="2"/>
  <c r="H226" i="2"/>
  <c r="H224" i="2"/>
  <c r="H222" i="2"/>
  <c r="H220" i="2"/>
  <c r="H218" i="2"/>
  <c r="H216" i="2"/>
  <c r="H214" i="2"/>
  <c r="H212" i="2"/>
  <c r="H210" i="2"/>
  <c r="H208" i="2"/>
  <c r="H206" i="2"/>
  <c r="H204" i="2"/>
  <c r="H202" i="2"/>
  <c r="H200" i="2"/>
  <c r="H198" i="2"/>
  <c r="H196" i="2"/>
  <c r="H194" i="2"/>
  <c r="H192" i="2"/>
  <c r="H190" i="2"/>
  <c r="H188" i="2"/>
  <c r="H186" i="2"/>
  <c r="H184" i="2"/>
  <c r="H182" i="2"/>
  <c r="H180" i="2"/>
  <c r="H178" i="2"/>
  <c r="H176" i="2"/>
  <c r="H174" i="2"/>
  <c r="H172" i="2"/>
  <c r="H170" i="2"/>
  <c r="H168" i="2"/>
  <c r="H166" i="2"/>
  <c r="H160" i="2"/>
  <c r="H158" i="2"/>
  <c r="H156" i="2"/>
  <c r="H154" i="2"/>
  <c r="H152" i="2"/>
  <c r="H149" i="3"/>
  <c r="H149" i="2" s="1"/>
  <c r="H150" i="2"/>
  <c r="H921" i="2"/>
  <c r="H861" i="2"/>
  <c r="H730" i="2"/>
  <c r="H726" i="2"/>
  <c r="H722" i="2"/>
  <c r="H718" i="2"/>
  <c r="H714" i="2"/>
  <c r="H710" i="2"/>
  <c r="H706" i="2"/>
  <c r="H702" i="2"/>
  <c r="H698" i="2"/>
  <c r="H69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6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73" i="2"/>
  <c r="H71" i="2"/>
  <c r="H69" i="2"/>
  <c r="H66" i="3"/>
  <c r="H66" i="2" s="1"/>
  <c r="H67" i="2"/>
  <c r="I1116" i="2"/>
  <c r="I1115" i="2"/>
  <c r="I1056" i="2"/>
  <c r="I1054" i="2"/>
  <c r="I1052" i="2"/>
  <c r="I1050" i="2"/>
  <c r="I1048" i="2"/>
  <c r="I1046" i="2"/>
  <c r="I1044" i="2"/>
  <c r="I1042" i="2"/>
  <c r="I1040" i="2"/>
  <c r="I1038" i="2"/>
  <c r="I1036" i="2"/>
  <c r="I1034" i="2"/>
  <c r="I1032" i="2"/>
  <c r="I1030" i="2"/>
  <c r="I1028" i="2"/>
  <c r="I1026" i="2"/>
  <c r="I1024" i="2"/>
  <c r="I1021" i="3"/>
  <c r="I1022" i="2"/>
  <c r="I1113" i="2"/>
  <c r="I1111" i="2"/>
  <c r="I1109" i="2"/>
  <c r="I1107" i="2"/>
  <c r="I1105" i="2"/>
  <c r="I961" i="2"/>
  <c r="I959" i="2"/>
  <c r="I957" i="2"/>
  <c r="I955" i="2"/>
  <c r="I953" i="2"/>
  <c r="I951" i="2"/>
  <c r="I949" i="2"/>
  <c r="I947" i="2"/>
  <c r="I929" i="2"/>
  <c r="I927" i="2"/>
  <c r="I925" i="2"/>
  <c r="I885" i="2"/>
  <c r="I883" i="2"/>
  <c r="I881" i="2"/>
  <c r="I879" i="2"/>
  <c r="I877" i="2"/>
  <c r="I874" i="3"/>
  <c r="I874" i="2" s="1"/>
  <c r="I875" i="2"/>
  <c r="I1102" i="2"/>
  <c r="I1100" i="2"/>
  <c r="I1098" i="2"/>
  <c r="I1096" i="2"/>
  <c r="I1094" i="2"/>
  <c r="I1092" i="2"/>
  <c r="I1090" i="2"/>
  <c r="I1088" i="2"/>
  <c r="I1086" i="2"/>
  <c r="I1084" i="2"/>
  <c r="I1082" i="2"/>
  <c r="I1080" i="2"/>
  <c r="I1078" i="2"/>
  <c r="I1076" i="2"/>
  <c r="I1074" i="2"/>
  <c r="I1072" i="2"/>
  <c r="I1070" i="2"/>
  <c r="I1068" i="2"/>
  <c r="I1066" i="2"/>
  <c r="I1064" i="2"/>
  <c r="I1062" i="2"/>
  <c r="I1060" i="2"/>
  <c r="I1018" i="2"/>
  <c r="I1016" i="2"/>
  <c r="I1014" i="2"/>
  <c r="I1012" i="2"/>
  <c r="I1010" i="2"/>
  <c r="I1008" i="2"/>
  <c r="I1006" i="2"/>
  <c r="I1004" i="2"/>
  <c r="I1002" i="2"/>
  <c r="I1000" i="2"/>
  <c r="I998" i="2"/>
  <c r="I995" i="3"/>
  <c r="I996" i="2"/>
  <c r="I992" i="2"/>
  <c r="I990" i="2"/>
  <c r="I988" i="2"/>
  <c r="I986" i="2"/>
  <c r="I984" i="2"/>
  <c r="I982" i="2"/>
  <c r="I940" i="2"/>
  <c r="I938" i="2"/>
  <c r="I936" i="2"/>
  <c r="I934" i="2"/>
  <c r="I931" i="3"/>
  <c r="I932" i="2"/>
  <c r="I922" i="2"/>
  <c r="I920" i="2"/>
  <c r="I918" i="2"/>
  <c r="I916" i="2"/>
  <c r="I914" i="2"/>
  <c r="I912" i="2"/>
  <c r="I872" i="2"/>
  <c r="I870" i="2"/>
  <c r="I868" i="2"/>
  <c r="I866" i="2"/>
  <c r="I864" i="2"/>
  <c r="I862" i="2"/>
  <c r="I860" i="2"/>
  <c r="I858" i="2"/>
  <c r="I856" i="2"/>
  <c r="I854" i="2"/>
  <c r="I852" i="2"/>
  <c r="I850" i="2"/>
  <c r="I848" i="2"/>
  <c r="I845" i="3"/>
  <c r="I845" i="2" s="1"/>
  <c r="I846" i="2"/>
  <c r="I1057" i="2"/>
  <c r="I1055" i="2"/>
  <c r="I1053" i="2"/>
  <c r="I1051" i="2"/>
  <c r="I1049" i="2"/>
  <c r="I1047" i="2"/>
  <c r="I1045" i="2"/>
  <c r="I1043" i="2"/>
  <c r="I1041" i="2"/>
  <c r="I1039" i="2"/>
  <c r="I1037" i="2"/>
  <c r="I1035" i="2"/>
  <c r="I1033" i="2"/>
  <c r="I1031" i="2"/>
  <c r="I1029" i="2"/>
  <c r="I1027" i="2"/>
  <c r="I1025" i="2"/>
  <c r="I1023" i="2"/>
  <c r="I979" i="2"/>
  <c r="I977" i="2"/>
  <c r="I975" i="2"/>
  <c r="I973" i="2"/>
  <c r="I971" i="2"/>
  <c r="I969" i="2"/>
  <c r="I967" i="2"/>
  <c r="I965" i="2"/>
  <c r="I909" i="2"/>
  <c r="I907" i="2"/>
  <c r="I905" i="2"/>
  <c r="I903" i="2"/>
  <c r="I901" i="2"/>
  <c r="I899" i="2"/>
  <c r="I897" i="2"/>
  <c r="I895" i="2"/>
  <c r="I893" i="2"/>
  <c r="I891" i="2"/>
  <c r="I889" i="2"/>
  <c r="I843" i="2"/>
  <c r="I1114" i="2"/>
  <c r="I1112" i="2"/>
  <c r="I1110" i="2"/>
  <c r="I1108" i="2"/>
  <c r="I1106" i="2"/>
  <c r="I1103" i="3"/>
  <c r="I1103" i="2" s="1"/>
  <c r="I1104" i="2"/>
  <c r="I962" i="2"/>
  <c r="I960" i="2"/>
  <c r="I958" i="2"/>
  <c r="I956" i="2"/>
  <c r="I954" i="2"/>
  <c r="I952" i="2"/>
  <c r="I950" i="2"/>
  <c r="I948" i="2"/>
  <c r="I945" i="3"/>
  <c r="I946" i="2"/>
  <c r="I942" i="2"/>
  <c r="I928" i="2"/>
  <c r="I926" i="2"/>
  <c r="I923" i="3"/>
  <c r="I923" i="2" s="1"/>
  <c r="I924" i="2"/>
  <c r="I886" i="2"/>
  <c r="I884" i="2"/>
  <c r="I882" i="2"/>
  <c r="I880" i="2"/>
  <c r="I878" i="2"/>
  <c r="I876" i="2"/>
  <c r="I840" i="2"/>
  <c r="I1101" i="2"/>
  <c r="I1099" i="2"/>
  <c r="I1097" i="2"/>
  <c r="I1095" i="2"/>
  <c r="I1093" i="2"/>
  <c r="I1091" i="2"/>
  <c r="I1089" i="2"/>
  <c r="I1087" i="2"/>
  <c r="I1085" i="2"/>
  <c r="I1083" i="2"/>
  <c r="I1081" i="2"/>
  <c r="I1079" i="2"/>
  <c r="I1077" i="2"/>
  <c r="I1075" i="2"/>
  <c r="I1073" i="2"/>
  <c r="I1071" i="2"/>
  <c r="I1069" i="2"/>
  <c r="I1067" i="2"/>
  <c r="I1065" i="2"/>
  <c r="I1063" i="2"/>
  <c r="I1061" i="2"/>
  <c r="I1058" i="3"/>
  <c r="I1058" i="2" s="1"/>
  <c r="I1059" i="2"/>
  <c r="I1019" i="2"/>
  <c r="I1017" i="2"/>
  <c r="I1015" i="2"/>
  <c r="I1013" i="2"/>
  <c r="I1011" i="2"/>
  <c r="I1009" i="2"/>
  <c r="I1007" i="2"/>
  <c r="I1005" i="2"/>
  <c r="I1003" i="2"/>
  <c r="I1001" i="2"/>
  <c r="I999" i="2"/>
  <c r="I997" i="2"/>
  <c r="I991" i="2"/>
  <c r="I989" i="2"/>
  <c r="I987" i="2"/>
  <c r="I985" i="2"/>
  <c r="I983" i="2"/>
  <c r="I980" i="3"/>
  <c r="I980" i="2" s="1"/>
  <c r="I981" i="2"/>
  <c r="I941" i="2"/>
  <c r="I939" i="2"/>
  <c r="I937" i="2"/>
  <c r="I935" i="2"/>
  <c r="I933" i="2"/>
  <c r="I921" i="2"/>
  <c r="I919" i="2"/>
  <c r="I917" i="2"/>
  <c r="I915" i="2"/>
  <c r="I913" i="2"/>
  <c r="I910" i="3"/>
  <c r="I910" i="2" s="1"/>
  <c r="I911" i="2"/>
  <c r="I873" i="2"/>
  <c r="I871" i="2"/>
  <c r="I869" i="2"/>
  <c r="I867" i="2"/>
  <c r="I865" i="2"/>
  <c r="I863" i="2"/>
  <c r="I861" i="2"/>
  <c r="I859" i="2"/>
  <c r="I857" i="2"/>
  <c r="I855" i="2"/>
  <c r="I853" i="2"/>
  <c r="I851" i="2"/>
  <c r="I849" i="2"/>
  <c r="I847" i="2"/>
  <c r="I978" i="2"/>
  <c r="I972" i="2"/>
  <c r="I966" i="2"/>
  <c r="I837" i="2"/>
  <c r="I834" i="2"/>
  <c r="I731" i="2"/>
  <c r="I729" i="2"/>
  <c r="I727" i="2"/>
  <c r="I725" i="2"/>
  <c r="I723" i="2"/>
  <c r="I721" i="2"/>
  <c r="I719" i="2"/>
  <c r="I717" i="2"/>
  <c r="I715" i="2"/>
  <c r="I713" i="2"/>
  <c r="I711" i="2"/>
  <c r="I709" i="2"/>
  <c r="I707" i="2"/>
  <c r="I705" i="2"/>
  <c r="I703" i="2"/>
  <c r="I701" i="2"/>
  <c r="I699" i="2"/>
  <c r="I697" i="2"/>
  <c r="I695" i="2"/>
  <c r="I693" i="2"/>
  <c r="I687" i="2"/>
  <c r="I685" i="2"/>
  <c r="I683" i="2"/>
  <c r="I681" i="2"/>
  <c r="I679" i="2"/>
  <c r="I677" i="2"/>
  <c r="I675" i="2"/>
  <c r="I673" i="2"/>
  <c r="I671" i="2"/>
  <c r="I669" i="2"/>
  <c r="I667" i="2"/>
  <c r="I665" i="2"/>
  <c r="I655" i="2"/>
  <c r="I653" i="2"/>
  <c r="I651" i="2"/>
  <c r="I649" i="2"/>
  <c r="I647" i="2"/>
  <c r="I645" i="2"/>
  <c r="I643" i="2"/>
  <c r="I640" i="3"/>
  <c r="I641" i="2"/>
  <c r="I637" i="2"/>
  <c r="I635" i="2"/>
  <c r="I633" i="2"/>
  <c r="I631" i="2"/>
  <c r="I629" i="2"/>
  <c r="I627" i="2"/>
  <c r="I625" i="2"/>
  <c r="I623" i="2"/>
  <c r="I621" i="2"/>
  <c r="I619" i="2"/>
  <c r="I617" i="2"/>
  <c r="I615" i="2"/>
  <c r="I613" i="2"/>
  <c r="I611" i="2"/>
  <c r="I609" i="2"/>
  <c r="I607" i="2"/>
  <c r="I605" i="2"/>
  <c r="I603" i="2"/>
  <c r="I601" i="2"/>
  <c r="I599" i="2"/>
  <c r="I597" i="2"/>
  <c r="I595" i="2"/>
  <c r="I593" i="2"/>
  <c r="I591" i="2"/>
  <c r="I589" i="2"/>
  <c r="I587" i="2"/>
  <c r="I585" i="2"/>
  <c r="I583" i="2"/>
  <c r="I581" i="2"/>
  <c r="I579" i="2"/>
  <c r="I577" i="2"/>
  <c r="I575" i="2"/>
  <c r="I573" i="2"/>
  <c r="I571" i="2"/>
  <c r="I569" i="2"/>
  <c r="I567" i="2"/>
  <c r="I565" i="2"/>
  <c r="I563" i="2"/>
  <c r="I561" i="2"/>
  <c r="I559" i="2"/>
  <c r="I557" i="2"/>
  <c r="I555" i="2"/>
  <c r="I553" i="2"/>
  <c r="I551" i="2"/>
  <c r="I549" i="2"/>
  <c r="I546" i="3"/>
  <c r="I546" i="2" s="1"/>
  <c r="I547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I908" i="2"/>
  <c r="I902" i="2"/>
  <c r="I896" i="2"/>
  <c r="I890" i="2"/>
  <c r="I844" i="2"/>
  <c r="I808" i="2"/>
  <c r="I805" i="3"/>
  <c r="I805" i="2" s="1"/>
  <c r="I806" i="2"/>
  <c r="I544" i="2"/>
  <c r="I542" i="2"/>
  <c r="I540" i="2"/>
  <c r="I538" i="2"/>
  <c r="I536" i="2"/>
  <c r="I534" i="2"/>
  <c r="I532" i="2"/>
  <c r="I530" i="2"/>
  <c r="I528" i="2"/>
  <c r="I518" i="2"/>
  <c r="I516" i="2"/>
  <c r="I514" i="2"/>
  <c r="I512" i="2"/>
  <c r="I510" i="2"/>
  <c r="I507" i="3"/>
  <c r="I508" i="2"/>
  <c r="I504" i="2"/>
  <c r="I502" i="2"/>
  <c r="I500" i="2"/>
  <c r="I498" i="2"/>
  <c r="I496" i="2"/>
  <c r="I494" i="2"/>
  <c r="I492" i="2"/>
  <c r="I490" i="2"/>
  <c r="I488" i="2"/>
  <c r="I486" i="2"/>
  <c r="I484" i="2"/>
  <c r="I481" i="3"/>
  <c r="I482" i="2"/>
  <c r="I478" i="2"/>
  <c r="I476" i="2"/>
  <c r="I474" i="2"/>
  <c r="I472" i="2"/>
  <c r="I470" i="2"/>
  <c r="I468" i="2"/>
  <c r="I466" i="2"/>
  <c r="I464" i="2"/>
  <c r="I462" i="2"/>
  <c r="I460" i="2"/>
  <c r="I974" i="2"/>
  <c r="I968" i="2"/>
  <c r="I839" i="2"/>
  <c r="I836" i="2"/>
  <c r="I833" i="2"/>
  <c r="I831" i="2"/>
  <c r="I829" i="2"/>
  <c r="I827" i="2"/>
  <c r="I825" i="2"/>
  <c r="I823" i="2"/>
  <c r="I821" i="2"/>
  <c r="I819" i="2"/>
  <c r="I817" i="2"/>
  <c r="I815" i="2"/>
  <c r="I813" i="2"/>
  <c r="I803" i="2"/>
  <c r="I801" i="2"/>
  <c r="I799" i="2"/>
  <c r="I797" i="2"/>
  <c r="I795" i="2"/>
  <c r="I793" i="2"/>
  <c r="I791" i="2"/>
  <c r="I789" i="2"/>
  <c r="I787" i="2"/>
  <c r="I785" i="2"/>
  <c r="I783" i="2"/>
  <c r="I781" i="2"/>
  <c r="I779" i="2"/>
  <c r="I777" i="2"/>
  <c r="I775" i="2"/>
  <c r="I773" i="2"/>
  <c r="I771" i="2"/>
  <c r="I769" i="2"/>
  <c r="I767" i="2"/>
  <c r="I765" i="2"/>
  <c r="I763" i="2"/>
  <c r="I761" i="2"/>
  <c r="I759" i="2"/>
  <c r="I757" i="2"/>
  <c r="I755" i="2"/>
  <c r="I753" i="2"/>
  <c r="I751" i="2"/>
  <c r="I749" i="2"/>
  <c r="I747" i="2"/>
  <c r="I745" i="2"/>
  <c r="I743" i="2"/>
  <c r="I741" i="2"/>
  <c r="I739" i="2"/>
  <c r="I737" i="2"/>
  <c r="I735" i="2"/>
  <c r="I661" i="2"/>
  <c r="I659" i="2"/>
  <c r="I656" i="3"/>
  <c r="I656" i="2" s="1"/>
  <c r="I657" i="2"/>
  <c r="I525" i="2"/>
  <c r="I523" i="2"/>
  <c r="I520" i="3"/>
  <c r="I521" i="2"/>
  <c r="I904" i="2"/>
  <c r="I898" i="2"/>
  <c r="I892" i="2"/>
  <c r="I732" i="2"/>
  <c r="I730" i="2"/>
  <c r="I728" i="2"/>
  <c r="I726" i="2"/>
  <c r="I724" i="2"/>
  <c r="I722" i="2"/>
  <c r="I720" i="2"/>
  <c r="I718" i="2"/>
  <c r="I716" i="2"/>
  <c r="I714" i="2"/>
  <c r="I712" i="2"/>
  <c r="I710" i="2"/>
  <c r="I708" i="2"/>
  <c r="I706" i="2"/>
  <c r="I704" i="2"/>
  <c r="I702" i="2"/>
  <c r="I700" i="2"/>
  <c r="I698" i="2"/>
  <c r="I696" i="2"/>
  <c r="I694" i="2"/>
  <c r="I691" i="3"/>
  <c r="I692" i="2"/>
  <c r="I688" i="2"/>
  <c r="I686" i="2"/>
  <c r="I684" i="2"/>
  <c r="I682" i="2"/>
  <c r="I680" i="2"/>
  <c r="I678" i="2"/>
  <c r="I676" i="2"/>
  <c r="I674" i="2"/>
  <c r="I672" i="2"/>
  <c r="I670" i="2"/>
  <c r="I668" i="2"/>
  <c r="I666" i="2"/>
  <c r="I663" i="3"/>
  <c r="I664" i="2"/>
  <c r="I654" i="2"/>
  <c r="I652" i="2"/>
  <c r="I650" i="2"/>
  <c r="I648" i="2"/>
  <c r="I646" i="2"/>
  <c r="I644" i="2"/>
  <c r="I642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386" i="2"/>
  <c r="I384" i="2"/>
  <c r="I382" i="2"/>
  <c r="I380" i="2"/>
  <c r="I378" i="2"/>
  <c r="I376" i="2"/>
  <c r="I374" i="2"/>
  <c r="I372" i="2"/>
  <c r="I370" i="2"/>
  <c r="I368" i="2"/>
  <c r="I906" i="2"/>
  <c r="I900" i="2"/>
  <c r="I894" i="2"/>
  <c r="I887" i="3"/>
  <c r="I887" i="2" s="1"/>
  <c r="I888" i="2"/>
  <c r="I841" i="3"/>
  <c r="I841" i="2" s="1"/>
  <c r="I842" i="2"/>
  <c r="I832" i="2"/>
  <c r="I830" i="2"/>
  <c r="I828" i="2"/>
  <c r="I826" i="2"/>
  <c r="I824" i="2"/>
  <c r="I822" i="2"/>
  <c r="I820" i="2"/>
  <c r="I818" i="2"/>
  <c r="I816" i="2"/>
  <c r="I814" i="2"/>
  <c r="I811" i="3"/>
  <c r="I812" i="2"/>
  <c r="I804" i="2"/>
  <c r="I802" i="2"/>
  <c r="I800" i="2"/>
  <c r="I798" i="2"/>
  <c r="I796" i="2"/>
  <c r="I794" i="2"/>
  <c r="I792" i="2"/>
  <c r="I790" i="2"/>
  <c r="I788" i="2"/>
  <c r="I786" i="2"/>
  <c r="I784" i="2"/>
  <c r="I782" i="2"/>
  <c r="I780" i="2"/>
  <c r="I778" i="2"/>
  <c r="I776" i="2"/>
  <c r="I774" i="2"/>
  <c r="I772" i="2"/>
  <c r="I770" i="2"/>
  <c r="I768" i="2"/>
  <c r="I766" i="2"/>
  <c r="I764" i="2"/>
  <c r="I762" i="2"/>
  <c r="I760" i="2"/>
  <c r="I758" i="2"/>
  <c r="I756" i="2"/>
  <c r="I754" i="2"/>
  <c r="I752" i="2"/>
  <c r="I750" i="2"/>
  <c r="I748" i="2"/>
  <c r="I746" i="2"/>
  <c r="I744" i="2"/>
  <c r="I742" i="2"/>
  <c r="I740" i="2"/>
  <c r="I738" i="2"/>
  <c r="I736" i="2"/>
  <c r="I733" i="3"/>
  <c r="I733" i="2" s="1"/>
  <c r="I734" i="2"/>
  <c r="I660" i="2"/>
  <c r="I658" i="2"/>
  <c r="I524" i="2"/>
  <c r="I522" i="2"/>
  <c r="I963" i="3"/>
  <c r="I963" i="2" s="1"/>
  <c r="I964" i="2"/>
  <c r="I835" i="2"/>
  <c r="I515" i="2"/>
  <c r="I509" i="2"/>
  <c r="I475" i="2"/>
  <c r="I469" i="2"/>
  <c r="I463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I177" i="2"/>
  <c r="I175" i="2"/>
  <c r="I173" i="2"/>
  <c r="I171" i="2"/>
  <c r="I169" i="2"/>
  <c r="I167" i="2"/>
  <c r="I164" i="3"/>
  <c r="I165" i="2"/>
  <c r="I161" i="2"/>
  <c r="I159" i="2"/>
  <c r="I157" i="2"/>
  <c r="I155" i="2"/>
  <c r="I153" i="2"/>
  <c r="I151" i="2"/>
  <c r="I545" i="2"/>
  <c r="I539" i="2"/>
  <c r="I533" i="2"/>
  <c r="I526" i="3"/>
  <c r="I526" i="2" s="1"/>
  <c r="I527" i="2"/>
  <c r="I499" i="2"/>
  <c r="I493" i="2"/>
  <c r="I487" i="2"/>
  <c r="I367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517" i="2"/>
  <c r="I511" i="2"/>
  <c r="I477" i="2"/>
  <c r="I471" i="2"/>
  <c r="I465" i="2"/>
  <c r="I458" i="3"/>
  <c r="I459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8" i="3"/>
  <c r="I238" i="2" s="1"/>
  <c r="I239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19" i="2"/>
  <c r="I17" i="2"/>
  <c r="I15" i="2"/>
  <c r="I13" i="2"/>
  <c r="I11" i="2"/>
  <c r="I9" i="2"/>
  <c r="I6" i="3"/>
  <c r="I7" i="2"/>
  <c r="I807" i="2"/>
  <c r="I541" i="2"/>
  <c r="I535" i="2"/>
  <c r="I529" i="2"/>
  <c r="I501" i="2"/>
  <c r="I495" i="2"/>
  <c r="I489" i="2"/>
  <c r="I483" i="2"/>
  <c r="I366" i="2"/>
  <c r="I364" i="2"/>
  <c r="I362" i="2"/>
  <c r="I360" i="2"/>
  <c r="I358" i="2"/>
  <c r="I356" i="2"/>
  <c r="I354" i="2"/>
  <c r="I352" i="2"/>
  <c r="I350" i="2"/>
  <c r="I348" i="2"/>
  <c r="I346" i="2"/>
  <c r="I344" i="2"/>
  <c r="I341" i="3"/>
  <c r="I342" i="2"/>
  <c r="I236" i="2"/>
  <c r="I234" i="2"/>
  <c r="I232" i="2"/>
  <c r="I230" i="2"/>
  <c r="I228" i="2"/>
  <c r="I226" i="2"/>
  <c r="I224" i="2"/>
  <c r="I222" i="2"/>
  <c r="I220" i="2"/>
  <c r="I218" i="2"/>
  <c r="I216" i="2"/>
  <c r="I214" i="2"/>
  <c r="I212" i="2"/>
  <c r="I210" i="2"/>
  <c r="I208" i="2"/>
  <c r="I206" i="2"/>
  <c r="I204" i="2"/>
  <c r="I202" i="2"/>
  <c r="I200" i="2"/>
  <c r="I198" i="2"/>
  <c r="I196" i="2"/>
  <c r="I194" i="2"/>
  <c r="I192" i="2"/>
  <c r="I190" i="2"/>
  <c r="I188" i="2"/>
  <c r="I186" i="2"/>
  <c r="I184" i="2"/>
  <c r="I182" i="2"/>
  <c r="I180" i="2"/>
  <c r="I178" i="2"/>
  <c r="I176" i="2"/>
  <c r="I174" i="2"/>
  <c r="I172" i="2"/>
  <c r="I170" i="2"/>
  <c r="I168" i="2"/>
  <c r="I166" i="2"/>
  <c r="I160" i="2"/>
  <c r="I158" i="2"/>
  <c r="I156" i="2"/>
  <c r="I154" i="2"/>
  <c r="I152" i="2"/>
  <c r="I149" i="3"/>
  <c r="I149" i="2" s="1"/>
  <c r="I150" i="2"/>
  <c r="I976" i="2"/>
  <c r="I838" i="2"/>
  <c r="I513" i="2"/>
  <c r="I473" i="2"/>
  <c r="I467" i="2"/>
  <c r="I461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6" i="3"/>
  <c r="I66" i="2" s="1"/>
  <c r="I67" i="2"/>
  <c r="I970" i="2"/>
  <c r="I809" i="2"/>
  <c r="I543" i="2"/>
  <c r="I537" i="2"/>
  <c r="I531" i="2"/>
  <c r="I503" i="2"/>
  <c r="I497" i="2"/>
  <c r="I491" i="2"/>
  <c r="I485" i="2"/>
  <c r="I338" i="2"/>
  <c r="I336" i="2"/>
  <c r="I334" i="2"/>
  <c r="I332" i="2"/>
  <c r="I330" i="2"/>
  <c r="I328" i="2"/>
  <c r="I326" i="2"/>
  <c r="I324" i="2"/>
  <c r="I322" i="2"/>
  <c r="I320" i="2"/>
  <c r="I318" i="2"/>
  <c r="I316" i="2"/>
  <c r="I314" i="2"/>
  <c r="I312" i="2"/>
  <c r="I310" i="2"/>
  <c r="I308" i="2"/>
  <c r="I306" i="2"/>
  <c r="I304" i="2"/>
  <c r="I302" i="2"/>
  <c r="I300" i="2"/>
  <c r="I298" i="2"/>
  <c r="I296" i="2"/>
  <c r="I294" i="2"/>
  <c r="I292" i="2"/>
  <c r="I290" i="2"/>
  <c r="I288" i="2"/>
  <c r="I286" i="2"/>
  <c r="I284" i="2"/>
  <c r="I282" i="2"/>
  <c r="I280" i="2"/>
  <c r="I278" i="2"/>
  <c r="I276" i="2"/>
  <c r="I274" i="2"/>
  <c r="I272" i="2"/>
  <c r="I270" i="2"/>
  <c r="I268" i="2"/>
  <c r="I266" i="2"/>
  <c r="I264" i="2"/>
  <c r="I262" i="2"/>
  <c r="I260" i="2"/>
  <c r="I258" i="2"/>
  <c r="I256" i="2"/>
  <c r="I254" i="2"/>
  <c r="I252" i="2"/>
  <c r="I250" i="2"/>
  <c r="I248" i="2"/>
  <c r="I246" i="2"/>
  <c r="I244" i="2"/>
  <c r="I242" i="2"/>
  <c r="I240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3" i="3"/>
  <c r="I24" i="2"/>
  <c r="I20" i="2"/>
  <c r="I18" i="2"/>
  <c r="I16" i="2"/>
  <c r="I14" i="2"/>
  <c r="I12" i="2"/>
  <c r="I10" i="2"/>
  <c r="I8" i="2"/>
  <c r="J1116" i="2"/>
  <c r="J1113" i="2"/>
  <c r="J1111" i="2"/>
  <c r="J1109" i="2"/>
  <c r="J1107" i="2"/>
  <c r="J1105" i="2"/>
  <c r="J1115" i="2"/>
  <c r="J1102" i="2"/>
  <c r="J1100" i="2"/>
  <c r="J1098" i="2"/>
  <c r="J1096" i="2"/>
  <c r="J1094" i="2"/>
  <c r="J1092" i="2"/>
  <c r="J1090" i="2"/>
  <c r="J1088" i="2"/>
  <c r="J1086" i="2"/>
  <c r="J1084" i="2"/>
  <c r="J1082" i="2"/>
  <c r="J1080" i="2"/>
  <c r="J1078" i="2"/>
  <c r="J1076" i="2"/>
  <c r="J1074" i="2"/>
  <c r="J1072" i="2"/>
  <c r="J1070" i="2"/>
  <c r="J1068" i="2"/>
  <c r="J1066" i="2"/>
  <c r="J1064" i="2"/>
  <c r="J1062" i="2"/>
  <c r="J1060" i="2"/>
  <c r="J1018" i="2"/>
  <c r="J1016" i="2"/>
  <c r="J1014" i="2"/>
  <c r="J1012" i="2"/>
  <c r="J1010" i="2"/>
  <c r="J1008" i="2"/>
  <c r="J1006" i="2"/>
  <c r="J1004" i="2"/>
  <c r="J1002" i="2"/>
  <c r="J1000" i="2"/>
  <c r="J998" i="2"/>
  <c r="J995" i="3"/>
  <c r="J996" i="2"/>
  <c r="J992" i="2"/>
  <c r="J990" i="2"/>
  <c r="J988" i="2"/>
  <c r="J986" i="2"/>
  <c r="J984" i="2"/>
  <c r="J982" i="2"/>
  <c r="J940" i="2"/>
  <c r="J938" i="2"/>
  <c r="J936" i="2"/>
  <c r="J934" i="2"/>
  <c r="J931" i="3"/>
  <c r="J932" i="2"/>
  <c r="J922" i="2"/>
  <c r="J920" i="2"/>
  <c r="J918" i="2"/>
  <c r="J916" i="2"/>
  <c r="J914" i="2"/>
  <c r="J912" i="2"/>
  <c r="J872" i="2"/>
  <c r="J870" i="2"/>
  <c r="J868" i="2"/>
  <c r="J866" i="2"/>
  <c r="J864" i="2"/>
  <c r="J862" i="2"/>
  <c r="J860" i="2"/>
  <c r="J858" i="2"/>
  <c r="J856" i="2"/>
  <c r="J854" i="2"/>
  <c r="J852" i="2"/>
  <c r="J850" i="2"/>
  <c r="J848" i="2"/>
  <c r="J845" i="3"/>
  <c r="J845" i="2" s="1"/>
  <c r="J846" i="2"/>
  <c r="J1057" i="2"/>
  <c r="J1055" i="2"/>
  <c r="J1053" i="2"/>
  <c r="J1051" i="2"/>
  <c r="J1049" i="2"/>
  <c r="J1047" i="2"/>
  <c r="J1045" i="2"/>
  <c r="J1043" i="2"/>
  <c r="J1041" i="2"/>
  <c r="J1039" i="2"/>
  <c r="J1037" i="2"/>
  <c r="J1035" i="2"/>
  <c r="J1033" i="2"/>
  <c r="J1031" i="2"/>
  <c r="J1029" i="2"/>
  <c r="J1027" i="2"/>
  <c r="J1025" i="2"/>
  <c r="J1023" i="2"/>
  <c r="J979" i="2"/>
  <c r="J977" i="2"/>
  <c r="J975" i="2"/>
  <c r="J973" i="2"/>
  <c r="J971" i="2"/>
  <c r="J969" i="2"/>
  <c r="J967" i="2"/>
  <c r="J965" i="2"/>
  <c r="J909" i="2"/>
  <c r="J907" i="2"/>
  <c r="J905" i="2"/>
  <c r="J903" i="2"/>
  <c r="J901" i="2"/>
  <c r="J899" i="2"/>
  <c r="J897" i="2"/>
  <c r="J895" i="2"/>
  <c r="J893" i="2"/>
  <c r="J891" i="2"/>
  <c r="J889" i="2"/>
  <c r="J843" i="2"/>
  <c r="J1114" i="2"/>
  <c r="J1112" i="2"/>
  <c r="J1110" i="2"/>
  <c r="J1108" i="2"/>
  <c r="J1106" i="2"/>
  <c r="J1103" i="3"/>
  <c r="J1103" i="2" s="1"/>
  <c r="J1104" i="2"/>
  <c r="J962" i="2"/>
  <c r="J960" i="2"/>
  <c r="J958" i="2"/>
  <c r="J956" i="2"/>
  <c r="J954" i="2"/>
  <c r="J952" i="2"/>
  <c r="J950" i="2"/>
  <c r="J948" i="2"/>
  <c r="J945" i="3"/>
  <c r="J946" i="2"/>
  <c r="J942" i="2"/>
  <c r="J928" i="2"/>
  <c r="J926" i="2"/>
  <c r="J923" i="3"/>
  <c r="J923" i="2" s="1"/>
  <c r="J924" i="2"/>
  <c r="J886" i="2"/>
  <c r="J884" i="2"/>
  <c r="J882" i="2"/>
  <c r="J880" i="2"/>
  <c r="J878" i="2"/>
  <c r="J876" i="2"/>
  <c r="J840" i="2"/>
  <c r="J1101" i="2"/>
  <c r="J1099" i="2"/>
  <c r="J1097" i="2"/>
  <c r="J1095" i="2"/>
  <c r="J1093" i="2"/>
  <c r="J1091" i="2"/>
  <c r="J1089" i="2"/>
  <c r="J1087" i="2"/>
  <c r="J1085" i="2"/>
  <c r="J1083" i="2"/>
  <c r="J1081" i="2"/>
  <c r="J1079" i="2"/>
  <c r="J1077" i="2"/>
  <c r="J1075" i="2"/>
  <c r="J1073" i="2"/>
  <c r="J1071" i="2"/>
  <c r="J1069" i="2"/>
  <c r="J1067" i="2"/>
  <c r="J1065" i="2"/>
  <c r="J1063" i="2"/>
  <c r="J1061" i="2"/>
  <c r="J1058" i="3"/>
  <c r="J1058" i="2" s="1"/>
  <c r="J1059" i="2"/>
  <c r="J1019" i="2"/>
  <c r="J1017" i="2"/>
  <c r="J1015" i="2"/>
  <c r="J1013" i="2"/>
  <c r="J1011" i="2"/>
  <c r="J1009" i="2"/>
  <c r="J1007" i="2"/>
  <c r="J1005" i="2"/>
  <c r="J1003" i="2"/>
  <c r="J1001" i="2"/>
  <c r="J999" i="2"/>
  <c r="J997" i="2"/>
  <c r="J991" i="2"/>
  <c r="J989" i="2"/>
  <c r="J987" i="2"/>
  <c r="J985" i="2"/>
  <c r="J983" i="2"/>
  <c r="J980" i="3"/>
  <c r="J980" i="2" s="1"/>
  <c r="J981" i="2"/>
  <c r="J941" i="2"/>
  <c r="J939" i="2"/>
  <c r="J937" i="2"/>
  <c r="J935" i="2"/>
  <c r="J933" i="2"/>
  <c r="J921" i="2"/>
  <c r="J919" i="2"/>
  <c r="J917" i="2"/>
  <c r="J915" i="2"/>
  <c r="J913" i="2"/>
  <c r="J910" i="3"/>
  <c r="J910" i="2" s="1"/>
  <c r="J911" i="2"/>
  <c r="J873" i="2"/>
  <c r="J871" i="2"/>
  <c r="J869" i="2"/>
  <c r="J867" i="2"/>
  <c r="J865" i="2"/>
  <c r="J863" i="2"/>
  <c r="J861" i="2"/>
  <c r="J859" i="2"/>
  <c r="J857" i="2"/>
  <c r="J855" i="2"/>
  <c r="J853" i="2"/>
  <c r="J851" i="2"/>
  <c r="J849" i="2"/>
  <c r="J847" i="2"/>
  <c r="J1056" i="2"/>
  <c r="J1054" i="2"/>
  <c r="J1052" i="2"/>
  <c r="J1050" i="2"/>
  <c r="J1048" i="2"/>
  <c r="J1046" i="2"/>
  <c r="J1044" i="2"/>
  <c r="J1042" i="2"/>
  <c r="J1040" i="2"/>
  <c r="J1038" i="2"/>
  <c r="J1036" i="2"/>
  <c r="J1034" i="2"/>
  <c r="J1032" i="2"/>
  <c r="J1030" i="2"/>
  <c r="J1028" i="2"/>
  <c r="J1026" i="2"/>
  <c r="J1024" i="2"/>
  <c r="J1021" i="3"/>
  <c r="J1022" i="2"/>
  <c r="J978" i="2"/>
  <c r="J976" i="2"/>
  <c r="J974" i="2"/>
  <c r="J972" i="2"/>
  <c r="J970" i="2"/>
  <c r="J968" i="2"/>
  <c r="J966" i="2"/>
  <c r="J963" i="3"/>
  <c r="J963" i="2" s="1"/>
  <c r="J964" i="2"/>
  <c r="J908" i="2"/>
  <c r="J906" i="2"/>
  <c r="J904" i="2"/>
  <c r="J902" i="2"/>
  <c r="J900" i="2"/>
  <c r="J898" i="2"/>
  <c r="J896" i="2"/>
  <c r="J894" i="2"/>
  <c r="J892" i="2"/>
  <c r="J890" i="2"/>
  <c r="J887" i="3"/>
  <c r="J887" i="2" s="1"/>
  <c r="J888" i="2"/>
  <c r="J844" i="2"/>
  <c r="J841" i="3"/>
  <c r="J841" i="2" s="1"/>
  <c r="J842" i="2"/>
  <c r="J885" i="2"/>
  <c r="J879" i="2"/>
  <c r="J808" i="2"/>
  <c r="J805" i="3"/>
  <c r="J805" i="2" s="1"/>
  <c r="J806" i="2"/>
  <c r="J544" i="2"/>
  <c r="J542" i="2"/>
  <c r="J540" i="2"/>
  <c r="J538" i="2"/>
  <c r="J536" i="2"/>
  <c r="J534" i="2"/>
  <c r="J532" i="2"/>
  <c r="J530" i="2"/>
  <c r="J528" i="2"/>
  <c r="J518" i="2"/>
  <c r="J516" i="2"/>
  <c r="J514" i="2"/>
  <c r="J512" i="2"/>
  <c r="J510" i="2"/>
  <c r="J507" i="3"/>
  <c r="J508" i="2"/>
  <c r="J504" i="2"/>
  <c r="J502" i="2"/>
  <c r="J500" i="2"/>
  <c r="J498" i="2"/>
  <c r="J496" i="2"/>
  <c r="J494" i="2"/>
  <c r="J492" i="2"/>
  <c r="J490" i="2"/>
  <c r="J488" i="2"/>
  <c r="J486" i="2"/>
  <c r="J484" i="2"/>
  <c r="J481" i="3"/>
  <c r="J482" i="2"/>
  <c r="J478" i="2"/>
  <c r="J476" i="2"/>
  <c r="J474" i="2"/>
  <c r="J472" i="2"/>
  <c r="J470" i="2"/>
  <c r="J468" i="2"/>
  <c r="J466" i="2"/>
  <c r="J464" i="2"/>
  <c r="J462" i="2"/>
  <c r="J460" i="2"/>
  <c r="J957" i="2"/>
  <c r="J951" i="2"/>
  <c r="J927" i="2"/>
  <c r="J839" i="2"/>
  <c r="J836" i="2"/>
  <c r="J833" i="2"/>
  <c r="J831" i="2"/>
  <c r="J829" i="2"/>
  <c r="J827" i="2"/>
  <c r="J825" i="2"/>
  <c r="J823" i="2"/>
  <c r="J821" i="2"/>
  <c r="J819" i="2"/>
  <c r="J817" i="2"/>
  <c r="J815" i="2"/>
  <c r="J813" i="2"/>
  <c r="J803" i="2"/>
  <c r="J801" i="2"/>
  <c r="J799" i="2"/>
  <c r="J797" i="2"/>
  <c r="J795" i="2"/>
  <c r="J793" i="2"/>
  <c r="J791" i="2"/>
  <c r="J789" i="2"/>
  <c r="J787" i="2"/>
  <c r="J785" i="2"/>
  <c r="J783" i="2"/>
  <c r="J781" i="2"/>
  <c r="J779" i="2"/>
  <c r="J777" i="2"/>
  <c r="J775" i="2"/>
  <c r="J773" i="2"/>
  <c r="J771" i="2"/>
  <c r="J769" i="2"/>
  <c r="J767" i="2"/>
  <c r="J765" i="2"/>
  <c r="J763" i="2"/>
  <c r="J761" i="2"/>
  <c r="J759" i="2"/>
  <c r="J757" i="2"/>
  <c r="J755" i="2"/>
  <c r="J753" i="2"/>
  <c r="J751" i="2"/>
  <c r="J749" i="2"/>
  <c r="J747" i="2"/>
  <c r="J745" i="2"/>
  <c r="J743" i="2"/>
  <c r="J741" i="2"/>
  <c r="J739" i="2"/>
  <c r="J737" i="2"/>
  <c r="J735" i="2"/>
  <c r="J661" i="2"/>
  <c r="J659" i="2"/>
  <c r="J656" i="3"/>
  <c r="J656" i="2" s="1"/>
  <c r="J657" i="2"/>
  <c r="J525" i="2"/>
  <c r="J523" i="2"/>
  <c r="J520" i="3"/>
  <c r="J521" i="2"/>
  <c r="J881" i="2"/>
  <c r="J874" i="3"/>
  <c r="J874" i="2" s="1"/>
  <c r="J875" i="2"/>
  <c r="J732" i="2"/>
  <c r="J730" i="2"/>
  <c r="J728" i="2"/>
  <c r="J726" i="2"/>
  <c r="J724" i="2"/>
  <c r="J722" i="2"/>
  <c r="J720" i="2"/>
  <c r="J718" i="2"/>
  <c r="J716" i="2"/>
  <c r="J714" i="2"/>
  <c r="J712" i="2"/>
  <c r="J710" i="2"/>
  <c r="J708" i="2"/>
  <c r="J706" i="2"/>
  <c r="J704" i="2"/>
  <c r="J702" i="2"/>
  <c r="J700" i="2"/>
  <c r="J698" i="2"/>
  <c r="J696" i="2"/>
  <c r="J694" i="2"/>
  <c r="J691" i="3"/>
  <c r="J692" i="2"/>
  <c r="J688" i="2"/>
  <c r="J686" i="2"/>
  <c r="J684" i="2"/>
  <c r="J682" i="2"/>
  <c r="J680" i="2"/>
  <c r="J678" i="2"/>
  <c r="J676" i="2"/>
  <c r="J674" i="2"/>
  <c r="J672" i="2"/>
  <c r="J670" i="2"/>
  <c r="J668" i="2"/>
  <c r="J666" i="2"/>
  <c r="J663" i="3"/>
  <c r="J664" i="2"/>
  <c r="J654" i="2"/>
  <c r="J652" i="2"/>
  <c r="J650" i="2"/>
  <c r="J648" i="2"/>
  <c r="J646" i="2"/>
  <c r="J644" i="2"/>
  <c r="J642" i="2"/>
  <c r="J636" i="2"/>
  <c r="J634" i="2"/>
  <c r="J632" i="2"/>
  <c r="J630" i="2"/>
  <c r="J628" i="2"/>
  <c r="J626" i="2"/>
  <c r="J624" i="2"/>
  <c r="J622" i="2"/>
  <c r="J620" i="2"/>
  <c r="J618" i="2"/>
  <c r="J616" i="2"/>
  <c r="J614" i="2"/>
  <c r="J612" i="2"/>
  <c r="J610" i="2"/>
  <c r="J608" i="2"/>
  <c r="J606" i="2"/>
  <c r="J604" i="2"/>
  <c r="J602" i="2"/>
  <c r="J600" i="2"/>
  <c r="J598" i="2"/>
  <c r="J596" i="2"/>
  <c r="J594" i="2"/>
  <c r="J592" i="2"/>
  <c r="J590" i="2"/>
  <c r="J588" i="2"/>
  <c r="J586" i="2"/>
  <c r="J584" i="2"/>
  <c r="J582" i="2"/>
  <c r="J580" i="2"/>
  <c r="J578" i="2"/>
  <c r="J576" i="2"/>
  <c r="J574" i="2"/>
  <c r="J572" i="2"/>
  <c r="J570" i="2"/>
  <c r="J568" i="2"/>
  <c r="J566" i="2"/>
  <c r="J564" i="2"/>
  <c r="J562" i="2"/>
  <c r="J560" i="2"/>
  <c r="J558" i="2"/>
  <c r="J556" i="2"/>
  <c r="J554" i="2"/>
  <c r="J552" i="2"/>
  <c r="J550" i="2"/>
  <c r="J548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J382" i="2"/>
  <c r="J959" i="2"/>
  <c r="J953" i="2"/>
  <c r="J947" i="2"/>
  <c r="J929" i="2"/>
  <c r="J838" i="2"/>
  <c r="J835" i="2"/>
  <c r="J809" i="2"/>
  <c r="J807" i="2"/>
  <c r="J545" i="2"/>
  <c r="J543" i="2"/>
  <c r="J541" i="2"/>
  <c r="J539" i="2"/>
  <c r="J537" i="2"/>
  <c r="J535" i="2"/>
  <c r="J533" i="2"/>
  <c r="J531" i="2"/>
  <c r="J529" i="2"/>
  <c r="J526" i="3"/>
  <c r="J526" i="2" s="1"/>
  <c r="J527" i="2"/>
  <c r="J517" i="2"/>
  <c r="J515" i="2"/>
  <c r="J513" i="2"/>
  <c r="J511" i="2"/>
  <c r="J509" i="2"/>
  <c r="J503" i="2"/>
  <c r="J501" i="2"/>
  <c r="J499" i="2"/>
  <c r="J497" i="2"/>
  <c r="J495" i="2"/>
  <c r="J493" i="2"/>
  <c r="J491" i="2"/>
  <c r="J489" i="2"/>
  <c r="J487" i="2"/>
  <c r="J485" i="2"/>
  <c r="J483" i="2"/>
  <c r="J477" i="2"/>
  <c r="J475" i="2"/>
  <c r="J473" i="2"/>
  <c r="J471" i="2"/>
  <c r="J469" i="2"/>
  <c r="J467" i="2"/>
  <c r="J465" i="2"/>
  <c r="J463" i="2"/>
  <c r="J461" i="2"/>
  <c r="J458" i="3"/>
  <c r="J459" i="2"/>
  <c r="J961" i="2"/>
  <c r="J955" i="2"/>
  <c r="J949" i="2"/>
  <c r="J925" i="2"/>
  <c r="J837" i="2"/>
  <c r="J834" i="2"/>
  <c r="J731" i="2"/>
  <c r="J729" i="2"/>
  <c r="J727" i="2"/>
  <c r="J725" i="2"/>
  <c r="J723" i="2"/>
  <c r="J721" i="2"/>
  <c r="J719" i="2"/>
  <c r="J717" i="2"/>
  <c r="J715" i="2"/>
  <c r="J713" i="2"/>
  <c r="J711" i="2"/>
  <c r="J709" i="2"/>
  <c r="J707" i="2"/>
  <c r="J705" i="2"/>
  <c r="J703" i="2"/>
  <c r="J701" i="2"/>
  <c r="J699" i="2"/>
  <c r="J697" i="2"/>
  <c r="J695" i="2"/>
  <c r="J693" i="2"/>
  <c r="J687" i="2"/>
  <c r="J685" i="2"/>
  <c r="J683" i="2"/>
  <c r="J681" i="2"/>
  <c r="J679" i="2"/>
  <c r="J677" i="2"/>
  <c r="J675" i="2"/>
  <c r="J673" i="2"/>
  <c r="J671" i="2"/>
  <c r="J669" i="2"/>
  <c r="J667" i="2"/>
  <c r="J665" i="2"/>
  <c r="J655" i="2"/>
  <c r="J653" i="2"/>
  <c r="J651" i="2"/>
  <c r="J649" i="2"/>
  <c r="J647" i="2"/>
  <c r="J645" i="2"/>
  <c r="J643" i="2"/>
  <c r="J640" i="3"/>
  <c r="J641" i="2"/>
  <c r="J637" i="2"/>
  <c r="J635" i="2"/>
  <c r="J633" i="2"/>
  <c r="J631" i="2"/>
  <c r="J629" i="2"/>
  <c r="J627" i="2"/>
  <c r="J625" i="2"/>
  <c r="J623" i="2"/>
  <c r="J621" i="2"/>
  <c r="J619" i="2"/>
  <c r="J617" i="2"/>
  <c r="J615" i="2"/>
  <c r="J613" i="2"/>
  <c r="J611" i="2"/>
  <c r="J609" i="2"/>
  <c r="J607" i="2"/>
  <c r="J605" i="2"/>
  <c r="J603" i="2"/>
  <c r="J601" i="2"/>
  <c r="J599" i="2"/>
  <c r="J597" i="2"/>
  <c r="J595" i="2"/>
  <c r="J593" i="2"/>
  <c r="J591" i="2"/>
  <c r="J589" i="2"/>
  <c r="J587" i="2"/>
  <c r="J585" i="2"/>
  <c r="J583" i="2"/>
  <c r="J581" i="2"/>
  <c r="J579" i="2"/>
  <c r="J577" i="2"/>
  <c r="J575" i="2"/>
  <c r="J573" i="2"/>
  <c r="J571" i="2"/>
  <c r="J569" i="2"/>
  <c r="J567" i="2"/>
  <c r="J565" i="2"/>
  <c r="J563" i="2"/>
  <c r="J561" i="2"/>
  <c r="J559" i="2"/>
  <c r="J557" i="2"/>
  <c r="J555" i="2"/>
  <c r="J553" i="2"/>
  <c r="J551" i="2"/>
  <c r="J549" i="2"/>
  <c r="J546" i="3"/>
  <c r="J546" i="2" s="1"/>
  <c r="J547" i="2"/>
  <c r="J453" i="2"/>
  <c r="J451" i="2"/>
  <c r="J449" i="2"/>
  <c r="J447" i="2"/>
  <c r="J445" i="2"/>
  <c r="J443" i="2"/>
  <c r="J441" i="2"/>
  <c r="J439" i="2"/>
  <c r="J437" i="2"/>
  <c r="J435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7" i="2"/>
  <c r="J405" i="2"/>
  <c r="J403" i="2"/>
  <c r="J401" i="2"/>
  <c r="J399" i="2"/>
  <c r="J397" i="2"/>
  <c r="J395" i="2"/>
  <c r="J393" i="2"/>
  <c r="J391" i="2"/>
  <c r="J389" i="2"/>
  <c r="J387" i="2"/>
  <c r="J385" i="2"/>
  <c r="J383" i="2"/>
  <c r="J381" i="2"/>
  <c r="J830" i="2"/>
  <c r="J824" i="2"/>
  <c r="J818" i="2"/>
  <c r="J811" i="3"/>
  <c r="J812" i="2"/>
  <c r="J800" i="2"/>
  <c r="J794" i="2"/>
  <c r="J788" i="2"/>
  <c r="J782" i="2"/>
  <c r="J776" i="2"/>
  <c r="J770" i="2"/>
  <c r="J764" i="2"/>
  <c r="J758" i="2"/>
  <c r="J752" i="2"/>
  <c r="J746" i="2"/>
  <c r="J740" i="2"/>
  <c r="J733" i="3"/>
  <c r="J733" i="2" s="1"/>
  <c r="J734" i="2"/>
  <c r="J660" i="2"/>
  <c r="J522" i="2"/>
  <c r="J375" i="2"/>
  <c r="J374" i="2"/>
  <c r="J367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373" i="2"/>
  <c r="J372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8" i="3"/>
  <c r="J238" i="2" s="1"/>
  <c r="J239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19" i="2"/>
  <c r="J17" i="2"/>
  <c r="J15" i="2"/>
  <c r="J13" i="2"/>
  <c r="J11" i="2"/>
  <c r="J9" i="2"/>
  <c r="J6" i="3"/>
  <c r="J7" i="2"/>
  <c r="J832" i="2"/>
  <c r="J826" i="2"/>
  <c r="J820" i="2"/>
  <c r="J814" i="2"/>
  <c r="J802" i="2"/>
  <c r="J796" i="2"/>
  <c r="J790" i="2"/>
  <c r="J784" i="2"/>
  <c r="J778" i="2"/>
  <c r="J772" i="2"/>
  <c r="J766" i="2"/>
  <c r="J760" i="2"/>
  <c r="J754" i="2"/>
  <c r="J748" i="2"/>
  <c r="J742" i="2"/>
  <c r="J736" i="2"/>
  <c r="J524" i="2"/>
  <c r="J371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1" i="3"/>
  <c r="J342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176" i="2"/>
  <c r="J174" i="2"/>
  <c r="J172" i="2"/>
  <c r="J170" i="2"/>
  <c r="J168" i="2"/>
  <c r="J166" i="2"/>
  <c r="J160" i="2"/>
  <c r="J158" i="2"/>
  <c r="J156" i="2"/>
  <c r="J154" i="2"/>
  <c r="J152" i="2"/>
  <c r="J149" i="3"/>
  <c r="J149" i="2" s="1"/>
  <c r="J150" i="2"/>
  <c r="J380" i="2"/>
  <c r="J370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6" i="3"/>
  <c r="J66" i="2" s="1"/>
  <c r="J67" i="2"/>
  <c r="J883" i="2"/>
  <c r="J828" i="2"/>
  <c r="J822" i="2"/>
  <c r="J816" i="2"/>
  <c r="J804" i="2"/>
  <c r="J798" i="2"/>
  <c r="J792" i="2"/>
  <c r="J786" i="2"/>
  <c r="J780" i="2"/>
  <c r="J774" i="2"/>
  <c r="J768" i="2"/>
  <c r="J762" i="2"/>
  <c r="J756" i="2"/>
  <c r="J750" i="2"/>
  <c r="J744" i="2"/>
  <c r="J738" i="2"/>
  <c r="J658" i="2"/>
  <c r="J379" i="2"/>
  <c r="J378" i="2"/>
  <c r="J369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3" i="3"/>
  <c r="J24" i="2"/>
  <c r="J20" i="2"/>
  <c r="J18" i="2"/>
  <c r="J16" i="2"/>
  <c r="J14" i="2"/>
  <c r="J12" i="2"/>
  <c r="J10" i="2"/>
  <c r="J8" i="2"/>
  <c r="J877" i="2"/>
  <c r="J377" i="2"/>
  <c r="J376" i="2"/>
  <c r="J368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179" i="2"/>
  <c r="J177" i="2"/>
  <c r="J175" i="2"/>
  <c r="J173" i="2"/>
  <c r="J171" i="2"/>
  <c r="J169" i="2"/>
  <c r="J167" i="2"/>
  <c r="J164" i="3"/>
  <c r="J165" i="2"/>
  <c r="J161" i="2"/>
  <c r="J159" i="2"/>
  <c r="J157" i="2"/>
  <c r="J155" i="2"/>
  <c r="J153" i="2"/>
  <c r="J151" i="2"/>
  <c r="F2" i="2"/>
  <c r="G2" i="2"/>
  <c r="H2" i="2"/>
  <c r="I2" i="2"/>
  <c r="J2" i="2"/>
  <c r="J4" i="3" l="1"/>
  <c r="J6" i="2"/>
  <c r="I519" i="3"/>
  <c r="I519" i="2" s="1"/>
  <c r="I520" i="2"/>
  <c r="J810" i="3"/>
  <c r="J810" i="2" s="1"/>
  <c r="J811" i="2"/>
  <c r="J662" i="3"/>
  <c r="J662" i="2" s="1"/>
  <c r="J663" i="2"/>
  <c r="J480" i="3"/>
  <c r="J481" i="2"/>
  <c r="I22" i="3"/>
  <c r="I23" i="2"/>
  <c r="H690" i="3"/>
  <c r="H691" i="2"/>
  <c r="H22" i="3"/>
  <c r="H23" i="2"/>
  <c r="H457" i="3"/>
  <c r="H458" i="2"/>
  <c r="H930" i="3"/>
  <c r="H930" i="2" s="1"/>
  <c r="H931" i="2"/>
  <c r="H995" i="2"/>
  <c r="G163" i="3"/>
  <c r="G164" i="2"/>
  <c r="F480" i="3"/>
  <c r="F481" i="2"/>
  <c r="J163" i="3"/>
  <c r="J164" i="2"/>
  <c r="J340" i="3"/>
  <c r="J340" i="2" s="1"/>
  <c r="J341" i="2"/>
  <c r="J22" i="3"/>
  <c r="J23" i="2"/>
  <c r="J507" i="2"/>
  <c r="J944" i="3"/>
  <c r="J945" i="2"/>
  <c r="I690" i="3"/>
  <c r="I691" i="2"/>
  <c r="I1020" i="3"/>
  <c r="I1020" i="2" s="1"/>
  <c r="I1021" i="2"/>
  <c r="H340" i="3"/>
  <c r="H340" i="2" s="1"/>
  <c r="H341" i="2"/>
  <c r="H662" i="3"/>
  <c r="H662" i="2" s="1"/>
  <c r="H663" i="2"/>
  <c r="H480" i="3"/>
  <c r="H481" i="2"/>
  <c r="H640" i="2"/>
  <c r="G690" i="3"/>
  <c r="G691" i="2"/>
  <c r="G480" i="3"/>
  <c r="G481" i="2"/>
  <c r="G640" i="2"/>
  <c r="G944" i="3"/>
  <c r="G945" i="2"/>
  <c r="F22" i="3"/>
  <c r="F23" i="2"/>
  <c r="F662" i="3"/>
  <c r="F662" i="2" s="1"/>
  <c r="F663" i="2"/>
  <c r="F163" i="3"/>
  <c r="F164" i="2"/>
  <c r="F995" i="2"/>
  <c r="H163" i="3"/>
  <c r="H164" i="2"/>
  <c r="H507" i="2"/>
  <c r="H944" i="3"/>
  <c r="H945" i="2"/>
  <c r="H1020" i="3"/>
  <c r="H1020" i="2" s="1"/>
  <c r="H1021" i="2"/>
  <c r="G507" i="2"/>
  <c r="F457" i="3"/>
  <c r="F458" i="2"/>
  <c r="F944" i="3"/>
  <c r="F945" i="2"/>
  <c r="J690" i="3"/>
  <c r="J691" i="2"/>
  <c r="J519" i="3"/>
  <c r="J519" i="2" s="1"/>
  <c r="J520" i="2"/>
  <c r="I930" i="3"/>
  <c r="I930" i="2" s="1"/>
  <c r="I931" i="2"/>
  <c r="I995" i="2"/>
  <c r="G519" i="3"/>
  <c r="G519" i="2" s="1"/>
  <c r="G520" i="2"/>
  <c r="G4" i="3"/>
  <c r="G6" i="2"/>
  <c r="G457" i="3"/>
  <c r="G458" i="2"/>
  <c r="G1020" i="3"/>
  <c r="G1020" i="2" s="1"/>
  <c r="G1021" i="2"/>
  <c r="F340" i="3"/>
  <c r="F340" i="2" s="1"/>
  <c r="F341" i="2"/>
  <c r="F1020" i="3"/>
  <c r="F1020" i="2" s="1"/>
  <c r="F1021" i="2"/>
  <c r="I4" i="3"/>
  <c r="I6" i="2"/>
  <c r="J457" i="3"/>
  <c r="J458" i="2"/>
  <c r="J1020" i="3"/>
  <c r="J1020" i="2" s="1"/>
  <c r="J1021" i="2"/>
  <c r="I340" i="3"/>
  <c r="I340" i="2" s="1"/>
  <c r="I341" i="2"/>
  <c r="I480" i="3"/>
  <c r="I481" i="2"/>
  <c r="H519" i="3"/>
  <c r="H519" i="2" s="1"/>
  <c r="H520" i="2"/>
  <c r="H810" i="3"/>
  <c r="H810" i="2" s="1"/>
  <c r="H811" i="2"/>
  <c r="G340" i="3"/>
  <c r="G340" i="2" s="1"/>
  <c r="G341" i="2"/>
  <c r="G810" i="3"/>
  <c r="G810" i="2" s="1"/>
  <c r="G811" i="2"/>
  <c r="G930" i="3"/>
  <c r="G930" i="2" s="1"/>
  <c r="G931" i="2"/>
  <c r="G995" i="2"/>
  <c r="F507" i="2"/>
  <c r="F519" i="3"/>
  <c r="F519" i="2" s="1"/>
  <c r="F520" i="2"/>
  <c r="F639" i="3"/>
  <c r="F640" i="2"/>
  <c r="F930" i="3"/>
  <c r="F930" i="2" s="1"/>
  <c r="F931" i="2"/>
  <c r="F4" i="3"/>
  <c r="F6" i="2"/>
  <c r="I163" i="3"/>
  <c r="I164" i="2"/>
  <c r="J640" i="2"/>
  <c r="J930" i="3"/>
  <c r="J930" i="2" s="1"/>
  <c r="J931" i="2"/>
  <c r="J995" i="2"/>
  <c r="I457" i="3"/>
  <c r="I458" i="2"/>
  <c r="I810" i="3"/>
  <c r="I810" i="2" s="1"/>
  <c r="I811" i="2"/>
  <c r="I662" i="3"/>
  <c r="I662" i="2" s="1"/>
  <c r="I663" i="2"/>
  <c r="I507" i="2"/>
  <c r="I640" i="2"/>
  <c r="I944" i="3"/>
  <c r="I945" i="2"/>
  <c r="H6" i="2"/>
  <c r="H4" i="3"/>
  <c r="G22" i="3"/>
  <c r="G23" i="2"/>
  <c r="G662" i="3"/>
  <c r="G662" i="2" s="1"/>
  <c r="G663" i="2"/>
  <c r="F690" i="3"/>
  <c r="F691" i="2"/>
  <c r="F810" i="3"/>
  <c r="F810" i="2" s="1"/>
  <c r="F811" i="2"/>
  <c r="J639" i="3" l="1"/>
  <c r="J638" i="3" s="1"/>
  <c r="J638" i="2" s="1"/>
  <c r="I639" i="3"/>
  <c r="I638" i="3" s="1"/>
  <c r="I638" i="2" s="1"/>
  <c r="I506" i="3"/>
  <c r="I506" i="2" s="1"/>
  <c r="F994" i="3"/>
  <c r="F993" i="3" s="1"/>
  <c r="F993" i="2" s="1"/>
  <c r="H994" i="3"/>
  <c r="H994" i="2" s="1"/>
  <c r="H689" i="3"/>
  <c r="H689" i="2" s="1"/>
  <c r="H690" i="2"/>
  <c r="J4" i="2"/>
  <c r="G21" i="3"/>
  <c r="G21" i="2" s="1"/>
  <c r="G22" i="2"/>
  <c r="F689" i="3"/>
  <c r="F689" i="2" s="1"/>
  <c r="F690" i="2"/>
  <c r="I456" i="3"/>
  <c r="I456" i="2" s="1"/>
  <c r="I457" i="2"/>
  <c r="G456" i="3"/>
  <c r="G456" i="2" s="1"/>
  <c r="G457" i="2"/>
  <c r="I994" i="3"/>
  <c r="J689" i="3"/>
  <c r="J689" i="2" s="1"/>
  <c r="J690" i="2"/>
  <c r="G506" i="3"/>
  <c r="H506" i="3"/>
  <c r="F162" i="3"/>
  <c r="F162" i="2" s="1"/>
  <c r="F163" i="2"/>
  <c r="G943" i="3"/>
  <c r="G943" i="2" s="1"/>
  <c r="G944" i="2"/>
  <c r="G689" i="3"/>
  <c r="G689" i="2" s="1"/>
  <c r="G690" i="2"/>
  <c r="I689" i="3"/>
  <c r="I689" i="2" s="1"/>
  <c r="I690" i="2"/>
  <c r="I943" i="3"/>
  <c r="I943" i="2" s="1"/>
  <c r="I944" i="2"/>
  <c r="J994" i="3"/>
  <c r="I162" i="3"/>
  <c r="I162" i="2" s="1"/>
  <c r="I163" i="2"/>
  <c r="F638" i="3"/>
  <c r="F638" i="2" s="1"/>
  <c r="F639" i="2"/>
  <c r="G994" i="3"/>
  <c r="I479" i="3"/>
  <c r="I479" i="2" s="1"/>
  <c r="I480" i="2"/>
  <c r="J456" i="3"/>
  <c r="J456" i="2" s="1"/>
  <c r="J457" i="2"/>
  <c r="G4" i="2"/>
  <c r="F943" i="3"/>
  <c r="F943" i="2" s="1"/>
  <c r="F944" i="2"/>
  <c r="H162" i="3"/>
  <c r="H162" i="2" s="1"/>
  <c r="H163" i="2"/>
  <c r="G639" i="3"/>
  <c r="H639" i="3"/>
  <c r="J943" i="3"/>
  <c r="J943" i="2" s="1"/>
  <c r="J944" i="2"/>
  <c r="G162" i="3"/>
  <c r="G162" i="2" s="1"/>
  <c r="G163" i="2"/>
  <c r="H456" i="3"/>
  <c r="H456" i="2" s="1"/>
  <c r="H457" i="2"/>
  <c r="F506" i="3"/>
  <c r="I21" i="3"/>
  <c r="I21" i="2" s="1"/>
  <c r="I22" i="2"/>
  <c r="H943" i="3"/>
  <c r="H943" i="2" s="1"/>
  <c r="H944" i="2"/>
  <c r="F21" i="3"/>
  <c r="F21" i="2" s="1"/>
  <c r="F22" i="2"/>
  <c r="G479" i="3"/>
  <c r="G479" i="2" s="1"/>
  <c r="G480" i="2"/>
  <c r="H479" i="3"/>
  <c r="H479" i="2" s="1"/>
  <c r="H480" i="2"/>
  <c r="J506" i="3"/>
  <c r="I4" i="2"/>
  <c r="F456" i="3"/>
  <c r="F456" i="2" s="1"/>
  <c r="F457" i="2"/>
  <c r="J162" i="3"/>
  <c r="J162" i="2" s="1"/>
  <c r="J163" i="2"/>
  <c r="H21" i="3"/>
  <c r="H21" i="2" s="1"/>
  <c r="H22" i="2"/>
  <c r="J479" i="3"/>
  <c r="J479" i="2" s="1"/>
  <c r="J480" i="2"/>
  <c r="H4" i="2"/>
  <c r="F4" i="2"/>
  <c r="J21" i="3"/>
  <c r="J21" i="2" s="1"/>
  <c r="J22" i="2"/>
  <c r="F479" i="3"/>
  <c r="F479" i="2" s="1"/>
  <c r="F480" i="2"/>
  <c r="I639" i="2" l="1"/>
  <c r="J639" i="2"/>
  <c r="H993" i="3"/>
  <c r="H993" i="2" s="1"/>
  <c r="F994" i="2"/>
  <c r="H638" i="3"/>
  <c r="H638" i="2" s="1"/>
  <c r="H639" i="2"/>
  <c r="G638" i="3"/>
  <c r="G638" i="2" s="1"/>
  <c r="G639" i="2"/>
  <c r="J505" i="3"/>
  <c r="J505" i="2" s="1"/>
  <c r="J506" i="2"/>
  <c r="I993" i="3"/>
  <c r="I993" i="2" s="1"/>
  <c r="I994" i="2"/>
  <c r="H506" i="2"/>
  <c r="I505" i="3"/>
  <c r="I505" i="2" s="1"/>
  <c r="F505" i="3"/>
  <c r="F505" i="2" s="1"/>
  <c r="F506" i="2"/>
  <c r="J993" i="3"/>
  <c r="J993" i="2" s="1"/>
  <c r="J994" i="2"/>
  <c r="G506" i="2"/>
  <c r="G993" i="3"/>
  <c r="G993" i="2" s="1"/>
  <c r="G994" i="2"/>
  <c r="H505" i="3" l="1"/>
  <c r="H505" i="2" s="1"/>
  <c r="J3" i="3"/>
  <c r="J3" i="2" s="1"/>
  <c r="I3" i="3"/>
  <c r="I3" i="2" s="1"/>
  <c r="G505" i="3"/>
  <c r="F3" i="3"/>
  <c r="F3" i="2" s="1"/>
  <c r="H3" i="3" l="1"/>
  <c r="H3" i="2" s="1"/>
  <c r="G505" i="2"/>
  <c r="G3" i="3"/>
  <c r="G3" i="2" s="1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<sst xmlns="http://schemas.openxmlformats.org/spreadsheetml/2006/main" count="29" uniqueCount="28">
  <si>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</si>
  <si>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SEAN BULLOCK at MACQUARIE UNIVERSITY.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</si>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</sst>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BDH|13403918386570590875</stp>
        <tr r="F1584" s="3"/>
      </tp>
      <tp t="s">
        <v>#N/A N/A</v>
        <stp/>
        <stp>BDH|11326593264878709096</stp>
        <tr r="F2067" s="3"/>
      </tp>
      <tp t="s">
        <v>#N/A N/A</v>
        <stp/>
        <stp>BDH|11226264583687730602</stp>
        <tr r="F2015" s="3"/>
      </tp>
      <tp t="s">
        <v>#N/A N/A</v>
        <stp/>
        <stp>BDH|16966420393785144491</stp>
        <tr r="F1759" s="3"/>
      </tp>
      <tp t="s">
        <v>#N/A N/A</v>
        <stp/>
        <stp>BDH|17566602458817702997</stp>
        <tr r="F1176" s="3"/>
      </tp>
      <tp t="s">
        <v>#N/A N/A</v>
        <stp/>
        <stp>BDH|16190717906222720922</stp>
        <tr r="F1271" s="3"/>
      </tp>
      <tp t="s">
        <v>#N/A N/A</v>
        <stp/>
        <stp>BDH|11947536735548930550</stp>
        <tr r="F2025" s="3"/>
      </tp>
      <tp t="s">
        <v>#N/A N/A</v>
        <stp/>
        <stp>BDH|10548804845834475268</stp>
        <tr r="F1905" s="3"/>
      </tp>
      <tp t="s">
        <v>#N/A N/A</v>
        <stp/>
        <stp>BDH|16690747806229031213</stp>
        <tr r="F2019" s="3"/>
      </tp>
      <tp t="s">
        <v>#N/A N/A</v>
        <stp/>
        <stp>BDH|13617622394803335568</stp>
        <tr r="F1676" s="3"/>
      </tp>
      <tp t="s">
        <v>#N/A N/A</v>
        <stp/>
        <stp>BDH|12073199816870242899</stp>
        <tr r="F2163" s="3"/>
      </tp>
      <tp t="s">
        <v>#N/A N/A</v>
        <stp/>
        <stp>BDH|16344763212482098835</stp>
        <tr r="F1196" s="3"/>
      </tp>
      <tp t="s">
        <v>#N/A N/A</v>
        <stp/>
        <stp>BDH|16866446193251127099</stp>
        <tr r="F2070" s="3"/>
      </tp>
      <tp t="s">
        <v>#N/A N/A</v>
        <stp/>
        <stp>BDH|10946537037158860427</stp>
        <tr r="F1322" s="3"/>
      </tp>
      <tp t="s">
        <v>#N/A N/A</v>
        <stp/>
        <stp>BDH|16577934834951451704</stp>
        <tr r="F1327" s="3"/>
      </tp>
      <tp t="s">
        <v>#N/A N/A</v>
        <stp/>
        <stp>BDH|13962998330060204343</stp>
        <tr r="F1812" s="3"/>
      </tp>
      <tp t="s">
        <v>#N/A N/A</v>
        <stp/>
        <stp>BDH|16070906696025635992</stp>
        <tr r="F1323" s="3"/>
      </tp>
      <tp t="s">
        <v>#N/A N/A</v>
        <stp/>
        <stp>BDH|16920011348458847007</stp>
        <tr r="F1936" s="3"/>
      </tp>
      <tp t="s">
        <v>#N/A N/A</v>
        <stp/>
        <stp>BDH|13199648035998357495</stp>
        <tr r="F1272" s="3"/>
      </tp>
      <tp t="s">
        <v>#N/A N/A</v>
        <stp/>
        <stp>BDH|14213115685597816046</stp>
        <tr r="F1839" s="3"/>
      </tp>
      <tp t="s">
        <v>#N/A N/A</v>
        <stp/>
        <stp>BDH|13398029993843931364</stp>
        <tr r="F1383" s="3"/>
      </tp>
      <tp t="s">
        <v>#N/A N/A</v>
        <stp/>
        <stp>BDH|15910276424476063977</stp>
        <tr r="F1301" s="3"/>
      </tp>
      <tp t="s">
        <v>#N/A N/A</v>
        <stp/>
        <stp>BDH|11023484236925577968</stp>
        <tr r="F1211" s="3"/>
      </tp>
      <tp t="s">
        <v>#N/A N/A</v>
        <stp/>
        <stp>BDH|12632501438956396810</stp>
        <tr r="F1155" s="3"/>
      </tp>
      <tp t="s">
        <v>#N/A N/A</v>
        <stp/>
        <stp>BDH|15734531988117911595</stp>
        <tr r="F1494" s="3"/>
      </tp>
      <tp t="s">
        <v>#N/A N/A</v>
        <stp/>
        <stp>BDH|13831540690463305633</stp>
        <tr r="F1255" s="3"/>
      </tp>
      <tp t="s">
        <v>#N/A N/A</v>
        <stp/>
        <stp>BDH|10157154552169980700</stp>
        <tr r="F2175" s="3"/>
      </tp>
      <tp t="s">
        <v>#N/A N/A</v>
        <stp/>
        <stp>BDH|14383437249056358842</stp>
        <tr r="F1180" s="3"/>
      </tp>
      <tp t="s">
        <v>#N/A N/A</v>
        <stp/>
        <stp>BDH|10700531205948232628</stp>
        <tr r="F1775" s="3"/>
      </tp>
      <tp t="s">
        <v>#N/A N/A</v>
        <stp/>
        <stp>BDH|16684789896246912505</stp>
        <tr r="F1638" s="3"/>
      </tp>
      <tp t="s">
        <v>#N/A N/A</v>
        <stp/>
        <stp>BDH|10683407812897268960</stp>
        <tr r="F1577" s="3"/>
      </tp>
      <tp t="s">
        <v>#N/A N/A</v>
        <stp/>
        <stp>BDH|13594186357108808415</stp>
        <tr r="F2134" s="3"/>
      </tp>
      <tp t="s">
        <v>#N/A N/A</v>
        <stp/>
        <stp>BDH|18371282110596899601</stp>
        <tr r="F1362" s="3"/>
      </tp>
      <tp t="s">
        <v>#N/A N/A</v>
        <stp/>
        <stp>BDH|13034351252567606929</stp>
        <tr r="F1740" s="3"/>
      </tp>
      <tp t="s">
        <v>#N/A N/A</v>
        <stp/>
        <stp>BDH|16505555392571077016</stp>
        <tr r="F1963" s="3"/>
        <tr r="F1938" s="3"/>
      </tp>
      <tp t="s">
        <v>#N/A N/A</v>
        <stp/>
        <stp>BDH|18110788533526044187</stp>
        <tr r="F2016" s="3"/>
      </tp>
      <tp t="s">
        <v>#N/A N/A</v>
        <stp/>
        <stp>BDH|13782966616990525077</stp>
        <tr r="F1363" s="3"/>
      </tp>
      <tp t="s">
        <v>#N/A N/A</v>
        <stp/>
        <stp>BDH|14153421187875077619</stp>
        <tr r="F1593" s="3"/>
      </tp>
      <tp t="s">
        <v>#N/A N/A</v>
        <stp/>
        <stp>BDH|14713603350284236804</stp>
        <tr r="F1972" s="3"/>
      </tp>
      <tp t="s">
        <v>#N/A N/A</v>
        <stp/>
        <stp>BDH|11897027681763651191</stp>
        <tr r="F2073" s="3"/>
      </tp>
      <tp t="s">
        <v>#N/A N/A</v>
        <stp/>
        <stp>BDH|11595927931799623962</stp>
        <tr r="F2177" s="3"/>
      </tp>
      <tp t="s">
        <v>#N/A N/A</v>
        <stp/>
        <stp>BDH|10473402574200077862</stp>
        <tr r="F1743" s="3"/>
      </tp>
      <tp t="s">
        <v>#N/A N/A</v>
        <stp/>
        <stp>BDH|12006878037394638608</stp>
        <tr r="F1930" s="3"/>
        <tr r="F1916" s="3"/>
      </tp>
      <tp t="s">
        <v>#N/A N/A</v>
        <stp/>
        <stp>BDH|10484696594746948292</stp>
        <tr r="F1195" s="3"/>
      </tp>
      <tp t="s">
        <v>#N/A N/A</v>
        <stp/>
        <stp>BDH|15172717186241769098</stp>
        <tr r="F1632" s="3"/>
      </tp>
      <tp t="s">
        <v>#N/A N/A</v>
        <stp/>
        <stp>BDH|14743512795766998524</stp>
        <tr r="F1266" s="3"/>
      </tp>
      <tp t="s">
        <v>#N/A N/A</v>
        <stp/>
        <stp>BDH|10564111468488474406</stp>
        <tr r="F1183" s="3"/>
      </tp>
      <tp t="s">
        <v>#N/A N/A</v>
        <stp/>
        <stp>BDH|17413948912146172284</stp>
        <tr r="F2111" s="3"/>
      </tp>
      <tp t="s">
        <v>#N/A N/A</v>
        <stp/>
        <stp>BDH|15948325075503304968</stp>
        <tr r="F1766" s="3"/>
      </tp>
      <tp t="s">
        <v>#N/A N/A</v>
        <stp/>
        <stp>BDH|15110432436019864071</stp>
        <tr r="F2076" s="3"/>
      </tp>
      <tp t="s">
        <v>#N/A N/A</v>
        <stp/>
        <stp>BDH|12177921285049587193</stp>
        <tr r="F1969" s="3"/>
      </tp>
      <tp t="s">
        <v>#N/A N/A</v>
        <stp/>
        <stp>BDH|12243226417429578385</stp>
        <tr r="F2159" s="3"/>
      </tp>
      <tp t="s">
        <v>#N/A N/A</v>
        <stp/>
        <stp>BDH|10639338728328348220</stp>
        <tr r="F1260" s="3"/>
      </tp>
      <tp t="s">
        <v>#N/A N/A</v>
        <stp/>
        <stp>BDH|10057093440218084750</stp>
        <tr r="F1765" s="3"/>
      </tp>
      <tp t="s">
        <v>#N/A N/A</v>
        <stp/>
        <stp>BDH|12442258884053868019</stp>
        <tr r="F1893" s="3"/>
      </tp>
      <tp t="s">
        <v>#N/A N/A</v>
        <stp/>
        <stp>BDH|12537798469321395991</stp>
        <tr r="F1852" s="3"/>
      </tp>
      <tp t="s">
        <v>#N/A N/A</v>
        <stp/>
        <stp>BDH|12424849208194750516</stp>
        <tr r="F2081" s="3"/>
      </tp>
      <tp t="s">
        <v>#N/A N/A</v>
        <stp/>
        <stp>BDH|15505953314942302496</stp>
        <tr r="F1896" s="3"/>
      </tp>
      <tp t="s">
        <v>#N/A N/A</v>
        <stp/>
        <stp>BDH|16566691458339546411</stp>
        <tr r="F2149" s="3"/>
      </tp>
      <tp t="s">
        <v>#N/A N/A</v>
        <stp/>
        <stp>BDH|11428872943144902196</stp>
        <tr r="F1157" s="3"/>
      </tp>
      <tp t="s">
        <v>#N/A N/A</v>
        <stp/>
        <stp>BDH|18138138105903220254</stp>
        <tr r="F1729" s="3"/>
      </tp>
      <tp t="s">
        <v>#N/A N/A</v>
        <stp/>
        <stp>BDH|10572475386100045474</stp>
        <tr r="F1335" s="3"/>
      </tp>
      <tp t="s">
        <v>#N/A N/A</v>
        <stp/>
        <stp>BDH|12915500143498047393</stp>
        <tr r="F1256" s="3"/>
      </tp>
      <tp t="s">
        <v>#N/A N/A</v>
        <stp/>
        <stp>BDH|15536337359638458383</stp>
        <tr r="F1803" s="3"/>
      </tp>
      <tp t="s">
        <v>#N/A N/A</v>
        <stp/>
        <stp>BDH|17629743882551210109</stp>
        <tr r="F2080" s="3"/>
      </tp>
      <tp t="s">
        <v>#N/A N/A</v>
        <stp/>
        <stp>BDH|15611187596437933236</stp>
        <tr r="F1356" s="3"/>
      </tp>
      <tp t="s">
        <v>#N/A N/A</v>
        <stp/>
        <stp>BDH|14047658827541771909</stp>
        <tr r="F2051" s="3"/>
      </tp>
      <tp t="s">
        <v>#N/A N/A</v>
        <stp/>
        <stp>BDH|15189807244122869395</stp>
        <tr r="F2125" s="3"/>
      </tp>
      <tp t="s">
        <v>#N/A N/A</v>
        <stp/>
        <stp>BDH|13336720792355651012</stp>
        <tr r="F1291" s="3"/>
      </tp>
      <tp t="s">
        <v>#N/A N/A</v>
        <stp/>
        <stp>BDH|17679053974430646853</stp>
        <tr r="F1748" s="3"/>
      </tp>
      <tp t="s">
        <v>#N/A N/A</v>
        <stp/>
        <stp>BDH|12133085804753587914</stp>
        <tr r="F1426" s="3"/>
      </tp>
      <tp t="s">
        <v>#N/A N/A</v>
        <stp/>
        <stp>BDH|17960048575218804090</stp>
        <tr r="F2161" s="3"/>
      </tp>
      <tp t="s">
        <v>#N/A N/A</v>
        <stp/>
        <stp>BDH|13312466182380754792</stp>
        <tr r="F1715" s="3"/>
      </tp>
      <tp t="s">
        <v>#N/A N/A</v>
        <stp/>
        <stp>BDH|10239948358835546136</stp>
        <tr r="F1917" s="3"/>
      </tp>
      <tp t="s">
        <v>#N/A N/A</v>
        <stp/>
        <stp>BDH|14630443719299537067</stp>
        <tr r="F1731" s="3"/>
      </tp>
      <tp t="s">
        <v>#N/A N/A</v>
        <stp/>
        <stp>BDH|12978953004116118510</stp>
        <tr r="F1471" s="3"/>
      </tp>
      <tp t="s">
        <v>#N/A N/A</v>
        <stp/>
        <stp>BDH|15316545096912321391</stp>
        <tr r="F1447" s="3"/>
      </tp>
      <tp t="s">
        <v>#N/A N/A</v>
        <stp/>
        <stp>BDH|10925879245145545142</stp>
        <tr r="F1178" s="3"/>
      </tp>
      <tp t="s">
        <v>#N/A N/A</v>
        <stp/>
        <stp>BDH|10665859417651000095</stp>
        <tr r="F1673" s="3"/>
      </tp>
      <tp t="s">
        <v>#N/A N/A</v>
        <stp/>
        <stp>BDH|17349227829659493610</stp>
        <tr r="F1857" s="3"/>
      </tp>
      <tp t="s">
        <v>#N/A N/A</v>
        <stp/>
        <stp>BDH|12430258455375434915</stp>
        <tr r="F1671" s="3"/>
      </tp>
      <tp t="s">
        <v>#N/A N/A</v>
        <stp/>
        <stp>BDH|12112492498860572641</stp>
        <tr r="F1785" s="3"/>
      </tp>
      <tp t="s">
        <v>#N/A N/A</v>
        <stp/>
        <stp>BDH|14368228367288309160</stp>
        <tr r="F1807" s="3"/>
      </tp>
      <tp t="s">
        <v>#N/A N/A</v>
        <stp/>
        <stp>BDH|11305224286650253264</stp>
        <tr r="F2100" s="3"/>
      </tp>
      <tp t="s">
        <v>#N/A N/A</v>
        <stp/>
        <stp>BDH|14322214326898665519</stp>
        <tr r="F1283" s="3"/>
      </tp>
      <tp t="s">
        <v>#N/A N/A</v>
        <stp/>
        <stp>BDH|14324463645155736851</stp>
        <tr r="F1216" s="3"/>
      </tp>
      <tp t="s">
        <v>#N/A N/A</v>
        <stp/>
        <stp>BDH|13415187572825890943</stp>
        <tr r="F1376" s="3"/>
      </tp>
      <tp t="s">
        <v>#N/A N/A</v>
        <stp/>
        <stp>BDH|18174013158847535386</stp>
        <tr r="F1654" s="3"/>
      </tp>
      <tp t="s">
        <v>#N/A N/A</v>
        <stp/>
        <stp>BDH|15194572695348688802</stp>
        <tr r="F1387" s="3"/>
      </tp>
      <tp t="s">
        <v>#N/A N/A</v>
        <stp/>
        <stp>BDH|12848297601711305866</stp>
        <tr r="F1698" s="3"/>
      </tp>
      <tp t="s">
        <v>#N/A N/A</v>
        <stp/>
        <stp>BDH|14334564561318424653</stp>
        <tr r="F1849" s="3"/>
      </tp>
      <tp t="s">
        <v>#N/A N/A</v>
        <stp/>
        <stp>BDH|10054453267129289241</stp>
        <tr r="F1585" s="3"/>
      </tp>
      <tp t="s">
        <v>#N/A N/A</v>
        <stp/>
        <stp>BDH|18115405035045028339</stp>
        <tr r="F1427" s="3"/>
      </tp>
      <tp t="s">
        <v>#N/A N/A</v>
        <stp/>
        <stp>BDH|13914290524023275919</stp>
        <tr r="F1229" s="3"/>
      </tp>
      <tp t="s">
        <v>#N/A N/A</v>
        <stp/>
        <stp>BDH|17421047455893385817</stp>
        <tr r="F1588" s="3"/>
      </tp>
      <tp t="s">
        <v>#N/A N/A</v>
        <stp/>
        <stp>BDH|14420283259682322814</stp>
        <tr r="F1177" s="3"/>
      </tp>
      <tp t="s">
        <v>#N/A N/A</v>
        <stp/>
        <stp>BDH|17010680288282367242</stp>
        <tr r="F1336" s="3"/>
      </tp>
      <tp t="s">
        <v>#N/A N/A</v>
        <stp/>
        <stp>BDH|12224785452219893063</stp>
        <tr r="F1481" s="3"/>
      </tp>
      <tp t="s">
        <v>#N/A N/A</v>
        <stp/>
        <stp>BDH|14433811651393906340</stp>
        <tr r="F1854" s="3"/>
      </tp>
      <tp t="s">
        <v>#N/A N/A</v>
        <stp/>
        <stp>BDH|10772173127089655385</stp>
        <tr r="F2087" s="3"/>
      </tp>
      <tp t="s">
        <v>#N/A N/A</v>
        <stp/>
        <stp>BDH|13315190080801046225</stp>
        <tr r="F1359" s="3"/>
      </tp>
      <tp t="s">
        <v>#N/A N/A</v>
        <stp/>
        <stp>BDH|16452989606700222607</stp>
        <tr r="F1816" s="3"/>
      </tp>
      <tp t="s">
        <v>#N/A N/A</v>
        <stp/>
        <stp>BDH|15752331770169981107</stp>
        <tr r="F1428" s="3"/>
      </tp>
      <tp t="s">
        <v>#N/A N/A</v>
        <stp/>
        <stp>BDH|13867027316389383218</stp>
        <tr r="C2206" s="3"/>
      </tp>
      <tp t="s">
        <v>#N/A N/A</v>
        <stp/>
        <stp>BDH|13523920377962232132</stp>
        <tr r="F1317" s="3"/>
      </tp>
      <tp t="s">
        <v>#N/A N/A</v>
        <stp/>
        <stp>BDH|15119274556824609875</stp>
        <tr r="F1434" s="3"/>
      </tp>
      <tp t="s">
        <v>#N/A N/A</v>
        <stp/>
        <stp>BDH|12489505581644314562</stp>
        <tr r="F1358" s="3"/>
      </tp>
      <tp t="s">
        <v>#N/A N/A</v>
        <stp/>
        <stp>BDH|12653801328943779597</stp>
        <tr r="F1635" s="3"/>
      </tp>
      <tp t="s">
        <v>#N/A N/A</v>
        <stp/>
        <stp>BDH|15254664161672486918</stp>
        <tr r="F1237" s="3"/>
      </tp>
      <tp t="s">
        <v>#N/A N/A</v>
        <stp/>
        <stp>BDH|15380686728489717671</stp>
        <tr r="F1581" s="3"/>
      </tp>
      <tp t="s">
        <v>#N/A N/A</v>
        <stp/>
        <stp>BDH|15366701998946111396</stp>
        <tr r="F1190" s="3"/>
      </tp>
      <tp t="s">
        <v>#N/A N/A</v>
        <stp/>
        <stp>BDH|15387238346328440513</stp>
        <tr r="F1297" s="3"/>
      </tp>
      <tp t="s">
        <v>#N/A N/A</v>
        <stp/>
        <stp>BDH|16973888656644267175</stp>
        <tr r="F1595" s="3"/>
      </tp>
      <tp t="s">
        <v>#N/A N/A</v>
        <stp/>
        <stp>BDH|13446212444478473377</stp>
        <tr r="F1707" s="3"/>
      </tp>
      <tp t="s">
        <v>#N/A N/A</v>
        <stp/>
        <stp>BDH|13974807800282968748</stp>
        <tr r="F1371" s="3"/>
      </tp>
      <tp t="s">
        <v>#N/A N/A</v>
        <stp/>
        <stp>BDH|10031583753528670693</stp>
        <tr r="F1793" s="3"/>
      </tp>
      <tp t="s">
        <v>#N/A N/A</v>
        <stp/>
        <stp>BDH|12191939470666246475</stp>
        <tr r="F2023" s="3"/>
      </tp>
      <tp t="s">
        <v>#N/A N/A</v>
        <stp/>
        <stp>BDH|10122902840406448527</stp>
        <tr r="F1497" s="3"/>
      </tp>
      <tp t="s">
        <v>#N/A N/A</v>
        <stp/>
        <stp>BDH|17535626394333640531</stp>
        <tr r="F2093" s="3"/>
      </tp>
      <tp t="s">
        <v>#N/A N/A</v>
        <stp/>
        <stp>BDH|11860813577478096871</stp>
        <tr r="F1704" s="3"/>
      </tp>
      <tp t="s">
        <v>#N/A N/A</v>
        <stp/>
        <stp>BDH|10952408733301621851</stp>
        <tr r="F1957" s="3"/>
      </tp>
      <tp t="s">
        <v>#N/A N/A</v>
        <stp/>
        <stp>BDH|12994807386469276541</stp>
        <tr r="F1650" s="3"/>
      </tp>
      <tp t="s">
        <v>#N/A N/A</v>
        <stp/>
        <stp>BDH|13797088466742310936</stp>
        <tr r="F1212" s="3"/>
      </tp>
      <tp t="s">
        <v>#N/A N/A</v>
        <stp/>
        <stp>BDH|15267229835219628382</stp>
        <tr r="F1342" s="3"/>
      </tp>
      <tp t="s">
        <v>#N/A N/A</v>
        <stp/>
        <stp>BDH|16394166738862755806</stp>
        <tr r="F1674" s="3"/>
      </tp>
      <tp t="s">
        <v>#N/A N/A</v>
        <stp/>
        <stp>BDH|10207005301527799996</stp>
        <tr r="F2174" s="3"/>
      </tp>
      <tp t="s">
        <v>#N/A N/A</v>
        <stp/>
        <stp>BDH|12391604392653887058</stp>
        <tr r="F2066" s="3"/>
      </tp>
      <tp t="s">
        <v>#N/A N/A</v>
        <stp/>
        <stp>BDH|14555858815911910235</stp>
        <tr r="F1433" s="3"/>
      </tp>
      <tp t="s">
        <v>#N/A N/A</v>
        <stp/>
        <stp>BDH|12046999155989534973</stp>
        <tr r="F1758" s="3"/>
      </tp>
      <tp t="s">
        <v>#N/A N/A</v>
        <stp/>
        <stp>BDH|12019416176036081862</stp>
        <tr r="F1639" s="3"/>
      </tp>
      <tp t="s">
        <v>#N/A N/A</v>
        <stp/>
        <stp>BDH|13114362417376354824</stp>
        <tr r="F1542" s="3"/>
      </tp>
      <tp t="s">
        <v>#N/A N/A</v>
        <stp/>
        <stp>BDH|13952473743608550495</stp>
        <tr r="F1926" s="3"/>
      </tp>
      <tp t="s">
        <v>#N/A N/A</v>
        <stp/>
        <stp>BDH|11066352061472238974</stp>
        <tr r="F1364" s="3"/>
      </tp>
      <tp t="s">
        <v>#N/A N/A</v>
        <stp/>
        <stp>BDH|17283477149910976869</stp>
        <tr r="F1832" s="3"/>
      </tp>
      <tp t="s">
        <v>#N/A N/A</v>
        <stp/>
        <stp>BDH|18292216542390646146</stp>
        <tr r="F1983" s="3"/>
      </tp>
      <tp t="s">
        <v>#N/A N/A</v>
        <stp/>
        <stp>BDH|16147130711928801180</stp>
        <tr r="F1168" s="3"/>
      </tp>
      <tp t="s">
        <v>#N/A N/A</v>
        <stp/>
        <stp>BDH|13933977938466101042</stp>
        <tr r="F1388" s="3"/>
      </tp>
      <tp t="s">
        <v>#N/A N/A</v>
        <stp/>
        <stp>BDH|18410539882948744208</stp>
        <tr r="F1754" s="3"/>
      </tp>
      <tp t="s">
        <v>#N/A N/A</v>
        <stp/>
        <stp>BDH|12430242930108051420</stp>
        <tr r="F1153" s="3"/>
      </tp>
      <tp t="s">
        <v>#N/A N/A</v>
        <stp/>
        <stp>BDH|11530676496103218238</stp>
        <tr r="F1394" s="3"/>
      </tp>
      <tp t="s">
        <v>#N/A N/A</v>
        <stp/>
        <stp>BDH|13579423843279672575</stp>
        <tr r="F1627" s="3"/>
      </tp>
      <tp t="s">
        <v>#N/A N/A</v>
        <stp/>
        <stp>BDH|11140054340712144810</stp>
        <tr r="F2143" s="3"/>
      </tp>
      <tp t="s">
        <v>#N/A N/A</v>
        <stp/>
        <stp>BDH|13691523834712404820</stp>
        <tr r="F1572" s="3"/>
      </tp>
      <tp t="s">
        <v>#N/A N/A</v>
        <stp/>
        <stp>BDH|17150431230238716737</stp>
        <tr r="F1189" s="3"/>
      </tp>
      <tp t="s">
        <v>#N/A N/A</v>
        <stp/>
        <stp>BDH|13042643377448221586</stp>
        <tr r="F1345" s="3"/>
      </tp>
      <tp t="s">
        <v>#N/A N/A</v>
        <stp/>
        <stp>BDH|14089955479533150648</stp>
        <tr r="F1525" s="3"/>
      </tp>
      <tp t="s">
        <v>#N/A N/A</v>
        <stp/>
        <stp>BDH|12354881559503910331</stp>
        <tr r="F1399" s="3"/>
      </tp>
      <tp t="s">
        <v>#N/A N/A</v>
        <stp/>
        <stp>BDH|16421538718368373575</stp>
        <tr r="F1855" s="3"/>
      </tp>
      <tp t="s">
        <v>#N/A N/A</v>
        <stp/>
        <stp>BDH|14899641495303772748</stp>
        <tr r="F1604" s="3"/>
      </tp>
      <tp t="s">
        <v>#N/A N/A</v>
        <stp/>
        <stp>BDH|14528970344090864633</stp>
        <tr r="F1143" s="3"/>
      </tp>
      <tp t="s">
        <v>#N/A N/A</v>
        <stp/>
        <stp>BDH|10870238465952786958</stp>
        <tr r="F1490" s="3"/>
      </tp>
      <tp t="s">
        <v>#N/A N/A</v>
        <stp/>
        <stp>BDH|13512361287092335675</stp>
        <tr r="F1802" s="3"/>
      </tp>
      <tp t="s">
        <v>#N/A N/A</v>
        <stp/>
        <stp>BDH|12239642690042355374</stp>
        <tr r="F2078" s="3"/>
      </tp>
      <tp t="s">
        <v>#N/A N/A</v>
        <stp/>
        <stp>BDH|16373736576299781344</stp>
        <tr r="F1197" s="3"/>
      </tp>
      <tp t="s">
        <v>#N/A N/A</v>
        <stp/>
        <stp>BDH|16118127272018518416</stp>
        <tr r="F2095" s="3"/>
      </tp>
      <tp t="s">
        <v>#N/A N/A</v>
        <stp/>
        <stp>BDH|10417020941061196923</stp>
        <tr r="F2155" s="3"/>
      </tp>
      <tp t="s">
        <v>#N/A N/A</v>
        <stp/>
        <stp>BDH|17643574941869065372</stp>
        <tr r="F1770" s="3"/>
      </tp>
      <tp t="s">
        <v>#N/A N/A</v>
        <stp/>
        <stp>BDH|17331924776251777470</stp>
        <tr r="F1460" s="3"/>
      </tp>
      <tp t="s">
        <v>#N/A N/A</v>
        <stp/>
        <stp>BDH|15517907356921694434</stp>
        <tr r="F1658" s="3"/>
      </tp>
      <tp t="s">
        <v>#N/A N/A</v>
        <stp/>
        <stp>BDH|14950895635617155422</stp>
        <tr r="F1419" s="3"/>
      </tp>
      <tp t="s">
        <v>#N/A N/A</v>
        <stp/>
        <stp>BDH|14663045220382560810</stp>
        <tr r="F1554" s="3"/>
      </tp>
      <tp t="s">
        <v>#N/A N/A</v>
        <stp/>
        <stp>BDH|14426808831874505782</stp>
        <tr r="F1482" s="3"/>
      </tp>
      <tp t="s">
        <v>#N/A N/A</v>
        <stp/>
        <stp>BDH|17263990371461241406</stp>
        <tr r="F1667" s="3"/>
      </tp>
      <tp t="s">
        <v>#N/A N/A</v>
        <stp/>
        <stp>BDH|13707684782130268176</stp>
        <tr r="F1293" s="3"/>
      </tp>
      <tp t="s">
        <v>#N/A N/A</v>
        <stp/>
        <stp>BDH|15743789562271706912</stp>
        <tr r="F1285" s="3"/>
      </tp>
      <tp t="s">
        <v>#N/A N/A</v>
        <stp/>
        <stp>BDH|15590856141997330294</stp>
        <tr r="F1890" s="3"/>
      </tp>
      <tp t="s">
        <v>#N/A N/A</v>
        <stp/>
        <stp>BDH|15203307615998841359</stp>
        <tr r="F1396" s="3"/>
      </tp>
      <tp t="s">
        <v>#N/A N/A</v>
        <stp/>
        <stp>BDH|17101073273984937869</stp>
        <tr r="F1204" s="3"/>
      </tp>
      <tp t="s">
        <v>#N/A N/A</v>
        <stp/>
        <stp>BDH|14261890002682431201</stp>
        <tr r="F1276" s="3"/>
      </tp>
      <tp t="s">
        <v>#N/A N/A</v>
        <stp/>
        <stp>BDH|10853002620887493913</stp>
        <tr r="F1788" s="3"/>
      </tp>
      <tp t="s">
        <v>#N/A N/A</v>
        <stp/>
        <stp>BDH|10513875278730108343</stp>
        <tr r="F1664" s="3"/>
      </tp>
      <tp t="s">
        <v>#N/A N/A</v>
        <stp/>
        <stp>BDH|11042529738832436907</stp>
        <tr r="F1535" s="3"/>
      </tp>
      <tp t="s">
        <v>#N/A N/A</v>
        <stp/>
        <stp>BDH|16330613867343849930</stp>
        <tr r="F1814" s="3"/>
      </tp>
      <tp t="s">
        <v>#N/A N/A</v>
        <stp/>
        <stp>BDH|18109731872373009619</stp>
        <tr r="F1244" s="3"/>
      </tp>
      <tp t="s">
        <v>#N/A N/A</v>
        <stp/>
        <stp>BDH|15587132840478175563</stp>
        <tr r="F1536" s="3"/>
      </tp>
      <tp t="s">
        <v>#N/A N/A</v>
        <stp/>
        <stp>BDH|11681110294472565672</stp>
        <tr r="F1981" s="3"/>
      </tp>
      <tp t="s">
        <v>#N/A N/A</v>
        <stp/>
        <stp>BDH|18339923774753728834</stp>
        <tr r="F1163" s="3"/>
      </tp>
      <tp t="s">
        <v>#N/A N/A</v>
        <stp/>
        <stp>BDH|12270695087679969844</stp>
        <tr r="F1693" s="3"/>
      </tp>
      <tp t="s">
        <v>#N/A N/A</v>
        <stp/>
        <stp>BDH|12272934467270542020</stp>
        <tr r="F1695" s="3"/>
      </tp>
      <tp t="s">
        <v>#N/A N/A</v>
        <stp/>
        <stp>BDH|10228674797664370614</stp>
        <tr r="F1694" s="3"/>
      </tp>
      <tp t="s">
        <v>#N/A N/A</v>
        <stp/>
        <stp>BDH|10174901295574050941</stp>
        <tr r="F1508" s="3"/>
      </tp>
      <tp t="s">
        <v>#N/A N/A</v>
        <stp/>
        <stp>BDH|12798770443849265529</stp>
        <tr r="F1591" s="3"/>
      </tp>
      <tp t="s">
        <v>#N/A N/A</v>
        <stp/>
        <stp>BDH|14700250099542932016</stp>
        <tr r="F1679" s="3"/>
      </tp>
      <tp t="s">
        <v>#N/A N/A</v>
        <stp/>
        <stp>BDH|13325118904629772635</stp>
        <tr r="F1464" s="3"/>
      </tp>
      <tp t="s">
        <v>#N/A N/A</v>
        <stp/>
        <stp>BDH|14202671911997785914</stp>
        <tr r="F1653" s="3"/>
      </tp>
      <tp t="s">
        <v>#N/A N/A</v>
        <stp/>
        <stp>BDH|17629486570811923825</stp>
        <tr r="F1837" s="3"/>
      </tp>
      <tp t="s">
        <v>#N/A N/A</v>
        <stp/>
        <stp>BDH|14441345992802334144</stp>
        <tr r="F2057" s="3"/>
      </tp>
      <tp t="s">
        <v>#N/A N/A</v>
        <stp/>
        <stp>BDH|16881484283214098367</stp>
        <tr r="F2075" s="3"/>
      </tp>
      <tp t="s">
        <v>#N/A N/A</v>
        <stp/>
        <stp>BDH|10098061545388568125</stp>
        <tr r="F2176" s="3"/>
      </tp>
      <tp t="s">
        <v>#N/A N/A</v>
        <stp/>
        <stp>BDH|15820360482233995014</stp>
        <tr r="F1484" s="3"/>
      </tp>
      <tp t="s">
        <v>#N/A N/A</v>
        <stp/>
        <stp>BDH|17015261382700848080</stp>
        <tr r="F1747" s="3"/>
      </tp>
      <tp t="s">
        <v>#N/A N/A</v>
        <stp/>
        <stp>BDH|17044782860903998851</stp>
        <tr r="F1868" s="3"/>
      </tp>
      <tp t="s">
        <v>#N/A N/A</v>
        <stp/>
        <stp>BDH|13772756146774460977</stp>
        <tr r="F1435" s="3"/>
      </tp>
      <tp t="s">
        <v>#N/A N/A</v>
        <stp/>
        <stp>BDH|11075606294417089425</stp>
        <tr r="F2046" s="3"/>
      </tp>
      <tp t="s">
        <v>#N/A N/A</v>
        <stp/>
        <stp>BDH|17268528821618139566</stp>
        <tr r="F2120" s="3"/>
      </tp>
      <tp t="s">
        <v>#N/A N/A</v>
        <stp/>
        <stp>BDH|17190265510908779163</stp>
        <tr r="F1202" s="3"/>
      </tp>
      <tp t="s">
        <v>#N/A N/A</v>
        <stp/>
        <stp>BDH|14478565745028708064</stp>
        <tr r="F2041" s="3"/>
        <tr r="F2026" s="3"/>
      </tp>
      <tp t="s">
        <v>#N/A N/A</v>
        <stp/>
        <stp>BDH|14355786323088519448</stp>
        <tr r="F1355" s="3"/>
      </tp>
      <tp t="s">
        <v>#N/A N/A</v>
        <stp/>
        <stp>BDH|10470959779150589369</stp>
        <tr r="F1794" s="3"/>
      </tp>
      <tp t="s">
        <v>#N/A N/A</v>
        <stp/>
        <stp>BDH|17645217679488459715</stp>
        <tr r="F2032" s="3"/>
      </tp>
      <tp t="s">
        <v>#N/A N/A</v>
        <stp/>
        <stp>BDH|13520788385479328809</stp>
        <tr r="F1842" s="3"/>
      </tp>
      <tp t="s">
        <v>#N/A N/A</v>
        <stp/>
        <stp>BDH|10303293990002241422</stp>
        <tr r="F1372" s="3"/>
      </tp>
      <tp t="s">
        <v>#N/A N/A</v>
        <stp/>
        <stp>BDH|13420877171766917769</stp>
        <tr r="F1797" s="3"/>
      </tp>
      <tp t="s">
        <v>#N/A N/A</v>
        <stp/>
        <stp>BDH|16052280862476765906</stp>
        <tr r="F1466" s="3"/>
      </tp>
      <tp t="s">
        <v>#N/A N/A</v>
        <stp/>
        <stp>BDH|18056113269787121545</stp>
        <tr r="F1733" s="3"/>
      </tp>
      <tp t="s">
        <v>#N/A N/A</v>
        <stp/>
        <stp>BDH|15264135329618217366</stp>
        <tr r="F1489" s="3"/>
      </tp>
      <tp t="s">
        <v>#N/A N/A</v>
        <stp/>
        <stp>BDH|18361794316423774077</stp>
        <tr r="F1662" s="3"/>
      </tp>
      <tp t="s">
        <v>#N/A N/A</v>
        <stp/>
        <stp>BDH|15397904751582433692</stp>
        <tr r="F1166" s="3"/>
      </tp>
      <tp t="s">
        <v>#N/A N/A</v>
        <stp/>
        <stp>BDH|11018074488207680361</stp>
        <tr r="F2131" s="3"/>
      </tp>
      <tp t="s">
        <v>#N/A N/A</v>
        <stp/>
        <stp>BDH|17988346725873487830</stp>
        <tr r="F1958" s="3"/>
      </tp>
      <tp t="s">
        <v>#N/A N/A</v>
        <stp/>
        <stp>BDH|16717816439611154116</stp>
        <tr r="F1280" s="3"/>
      </tp>
      <tp t="s">
        <v>#N/A N/A</v>
        <stp/>
        <stp>BDH|10820231790923478518</stp>
        <tr r="F1154" s="3"/>
      </tp>
      <tp t="s">
        <v>#N/A N/A</v>
        <stp/>
        <stp>BDH|15706494638246091668</stp>
        <tr r="F1231" s="3"/>
      </tp>
      <tp t="s">
        <v>#N/A N/A</v>
        <stp/>
        <stp>BDH|15224443873413563731</stp>
        <tr r="F1473" s="3"/>
      </tp>
      <tp t="s">
        <v>#N/A N/A</v>
        <stp/>
        <stp>BDH|16491041350767178635</stp>
        <tr r="F2108" s="3"/>
      </tp>
      <tp t="s">
        <v>#N/A N/A</v>
        <stp/>
        <stp>BDH|18340649264543810994</stp>
        <tr r="F1223" s="3"/>
      </tp>
      <tp t="s">
        <v>#N/A N/A</v>
        <stp/>
        <stp>BDH|10723268212015741419</stp>
        <tr r="F1945" s="3"/>
      </tp>
      <tp t="s">
        <v>#N/A N/A</v>
        <stp/>
        <stp>BDH|16770691369402224612</stp>
        <tr r="F1422" s="3"/>
      </tp>
      <tp t="s">
        <v>#N/A N/A</v>
        <stp/>
        <stp>BDH|10548242716024392534</stp>
        <tr r="F1742" s="3"/>
      </tp>
      <tp t="s">
        <v>#N/A N/A</v>
        <stp/>
        <stp>BDH|12169248620882695244</stp>
        <tr r="F1675" s="3"/>
      </tp>
      <tp t="s">
        <v>#N/A N/A</v>
        <stp/>
        <stp>BDH|12140738202471746605</stp>
        <tr r="F1579" s="3"/>
      </tp>
      <tp t="s">
        <v>#N/A N/A</v>
        <stp/>
        <stp>BDH|12730910569977130891</stp>
        <tr r="F1305" s="3"/>
      </tp>
      <tp t="s">
        <v>#N/A N/A</v>
        <stp/>
        <stp>BDH|14391014176404360502</stp>
        <tr r="F1563" s="3"/>
      </tp>
      <tp t="s">
        <v>#N/A N/A</v>
        <stp/>
        <stp>BDH|15227346538673013496</stp>
        <tr r="F1562" s="3"/>
      </tp>
      <tp t="s">
        <v>#N/A N/A</v>
        <stp/>
        <stp>BDH|16161816396786253328</stp>
        <tr r="F1697" s="3"/>
      </tp>
      <tp t="s">
        <v>#N/A N/A</v>
        <stp/>
        <stp>BDH|16327497709568162848</stp>
        <tr r="F1877" s="3"/>
      </tp>
      <tp t="s">
        <v>#N/A N/A</v>
        <stp/>
        <stp>BDH|17673626324567044663</stp>
        <tr r="F1856" s="3"/>
      </tp>
      <tp t="s">
        <v>#N/A N/A</v>
        <stp/>
        <stp>BDH|16876398312893058554</stp>
        <tr r="F1298" s="3"/>
      </tp>
      <tp t="s">
        <v>#N/A N/A</v>
        <stp/>
        <stp>BDH|16548422612195522460</stp>
        <tr r="F1465" s="3"/>
      </tp>
      <tp t="s">
        <v>#N/A N/A</v>
        <stp/>
        <stp>BDH|10453843952298887739</stp>
        <tr r="F1151" s="3"/>
      </tp>
      <tp t="s">
        <v>#N/A N/A</v>
        <stp/>
        <stp>BDH|16934380458231697373</stp>
        <tr r="F1977" s="3"/>
      </tp>
      <tp t="s">
        <v>#N/A N/A</v>
        <stp/>
        <stp>BDH|11032830570708987429</stp>
        <tr r="F1296" s="3"/>
      </tp>
      <tp t="s">
        <v>#N/A N/A</v>
        <stp/>
        <stp>BDH|17814748430220090165</stp>
        <tr r="F1330" s="3"/>
      </tp>
      <tp t="s">
        <v>#N/A N/A</v>
        <stp/>
        <stp>BDH|18300653546820985836</stp>
        <tr r="F1288" s="3"/>
      </tp>
      <tp t="s">
        <v>#N/A N/A</v>
        <stp/>
        <stp>BDH|16998222826785128106</stp>
        <tr r="F1360" s="3"/>
      </tp>
      <tp t="s">
        <v>#N/A N/A</v>
        <stp/>
        <stp>BDH|15469153175312968317</stp>
        <tr r="F1809" s="3"/>
      </tp>
      <tp t="s">
        <v>#N/A N/A</v>
        <stp/>
        <stp>BDH|10875148925918080966</stp>
        <tr r="F1792" s="3"/>
      </tp>
      <tp t="s">
        <v>#N/A N/A</v>
        <stp/>
        <stp>BDH|12768028083841127988</stp>
        <tr r="F2136" s="3"/>
      </tp>
      <tp t="s">
        <v>#N/A N/A</v>
        <stp/>
        <stp>BDH|18052338681519592886</stp>
        <tr r="F1898" s="3"/>
      </tp>
      <tp t="s">
        <v>#N/A N/A</v>
        <stp/>
        <stp>BDH|11639301301441822118</stp>
        <tr r="F1918" s="3"/>
      </tp>
      <tp t="s">
        <v>#N/A N/A</v>
        <stp/>
        <stp>BDH|13745934683968038899</stp>
        <tr r="F1381" s="3"/>
      </tp>
      <tp t="s">
        <v>#N/A N/A</v>
        <stp/>
        <stp>BDH|13165303424655808537</stp>
        <tr r="F2154" s="3"/>
      </tp>
      <tp t="s">
        <v>#N/A N/A</v>
        <stp/>
        <stp>BDH|16700745465035191164</stp>
        <tr r="F1437" s="3"/>
      </tp>
      <tp t="s">
        <v>#N/A N/A</v>
        <stp/>
        <stp>BDH|14026175895047528864</stp>
        <tr r="F2166" s="3"/>
      </tp>
      <tp t="s">
        <v>#N/A N/A</v>
        <stp/>
        <stp>BDH|17744311001726649100</stp>
        <tr r="F1458" s="3"/>
      </tp>
      <tp t="s">
        <v>#N/A N/A</v>
        <stp/>
        <stp>BDH|17162489859425159008</stp>
        <tr r="F1401" s="3"/>
      </tp>
      <tp t="s">
        <v>#N/A N/A</v>
        <stp/>
        <stp>BDH|10055725421246267001</stp>
        <tr r="F1941" s="3"/>
      </tp>
      <tp t="s">
        <v>#N/A N/A</v>
        <stp/>
        <stp>BDH|14652079113606030025</stp>
        <tr r="F1934" s="3"/>
      </tp>
      <tp t="s">
        <v>#N/A N/A</v>
        <stp/>
        <stp>BDH|11250506402905681265</stp>
        <tr r="F2170" s="3"/>
      </tp>
      <tp t="s">
        <v>#N/A N/A</v>
        <stp/>
        <stp>BDH|15456527425720478140</stp>
        <tr r="F1880" s="3"/>
      </tp>
      <tp t="s">
        <v>#N/A N/A</v>
        <stp/>
        <stp>BDH|15238022245403456120</stp>
        <tr r="F1405" s="3"/>
      </tp>
      <tp t="s">
        <v>#N/A N/A</v>
        <stp/>
        <stp>BDH|10179169332653615213</stp>
        <tr r="F1992" s="3"/>
      </tp>
      <tp t="s">
        <v>#N/A N/A</v>
        <stp/>
        <stp>BDH|17733774965966686360</stp>
        <tr r="F1760" s="3"/>
      </tp>
      <tp t="s">
        <v>#N/A N/A</v>
        <stp/>
        <stp>BDH|15188141970802955292</stp>
        <tr r="F2096" s="3"/>
      </tp>
      <tp t="s">
        <v>#N/A N/A</v>
        <stp/>
        <stp>BDH|12588005037044357654</stp>
        <tr r="F1243" s="3"/>
      </tp>
      <tp t="s">
        <v>#N/A N/A</v>
        <stp/>
        <stp>BDH|13328448370546956599</stp>
        <tr r="F1501" s="3"/>
      </tp>
      <tp t="s">
        <v>#N/A N/A</v>
        <stp/>
        <stp>BDH|16697795153671895631</stp>
        <tr r="F1822" s="3"/>
      </tp>
      <tp t="s">
        <v>#N/A N/A</v>
        <stp/>
        <stp>BDH|16079896734106349882</stp>
        <tr r="F1395" s="3"/>
      </tp>
      <tp t="s">
        <v>#N/A N/A</v>
        <stp/>
        <stp>BDH|12587789469253709356</stp>
        <tr r="F1186" s="3"/>
      </tp>
      <tp t="s">
        <v>#N/A N/A</v>
        <stp/>
        <stp>BDH|12765658934993035700</stp>
        <tr r="F1665" s="3"/>
      </tp>
      <tp t="s">
        <v>#N/A N/A</v>
        <stp/>
        <stp>BDH|12450240837098897861</stp>
        <tr r="F1534" s="3"/>
      </tp>
      <tp t="s">
        <v>#N/A N/A</v>
        <stp/>
        <stp>BDH|14911492065285953051</stp>
        <tr r="F1507" s="3"/>
      </tp>
      <tp t="s">
        <v>#N/A N/A</v>
        <stp/>
        <stp>BDH|14330192140960715260</stp>
        <tr r="F1692" s="3"/>
      </tp>
      <tp t="s">
        <v>#N/A N/A</v>
        <stp/>
        <stp>BDH|13734736969696135771</stp>
        <tr r="F1492" s="3"/>
      </tp>
      <tp t="s">
        <v>#N/A N/A</v>
        <stp/>
        <stp>BDH|11534603248260799004</stp>
        <tr r="F1392" s="3"/>
      </tp>
      <tp t="s">
        <v>#N/A N/A</v>
        <stp/>
        <stp>BDH|11614936888740750304</stp>
        <tr r="F2116" s="3"/>
      </tp>
      <tp t="s">
        <v>#N/A N/A</v>
        <stp/>
        <stp>BDH|14790195830351377402</stp>
        <tr r="F2007" s="3"/>
        <tr r="F1935" s="3"/>
        <tr r="F1906" s="3"/>
      </tp>
      <tp t="s">
        <v>#N/A N/A</v>
        <stp/>
        <stp>BDH|14916106441857304563</stp>
        <tr r="F1750" s="3"/>
      </tp>
      <tp t="s">
        <v>#N/A N/A</v>
        <stp/>
        <stp>BDH|15253160679474751477</stp>
        <tr r="F1347" s="3"/>
      </tp>
      <tp t="s">
        <v>#N/A N/A</v>
        <stp/>
        <stp>BDH|14743440984588390382</stp>
        <tr r="F1860" s="3"/>
      </tp>
      <tp t="s">
        <v>#N/A N/A</v>
        <stp/>
        <stp>BDH|18123640822316218996</stp>
        <tr r="F1713" s="3"/>
      </tp>
      <tp t="s">
        <v>#N/A N/A</v>
        <stp/>
        <stp>BDH|16336310319910126752</stp>
        <tr r="F1509" s="3"/>
      </tp>
      <tp t="s">
        <v>#N/A N/A</v>
        <stp/>
        <stp>BDH|11143398667092761572</stp>
        <tr r="F1425" s="3"/>
      </tp>
      <tp t="s">
        <v>#N/A N/A</v>
        <stp/>
        <stp>BDH|11852612415485668052</stp>
        <tr r="F1488" s="3"/>
      </tp>
      <tp t="s">
        <v>#N/A N/A</v>
        <stp/>
        <stp>BDH|16852238654637748566</stp>
        <tr r="F1302" s="3"/>
      </tp>
      <tp t="s">
        <v>#N/A N/A</v>
        <stp/>
        <stp>BDH|15626798249613051577</stp>
        <tr r="F1821" s="3"/>
      </tp>
      <tp t="s">
        <v>#N/A N/A</v>
        <stp/>
        <stp>BDH|13113325566473352575</stp>
        <tr r="F2128" s="3"/>
      </tp>
      <tp t="s">
        <v>#N/A N/A</v>
        <stp/>
        <stp>BDH|11150307967272636617</stp>
        <tr r="F1478" s="3"/>
      </tp>
      <tp t="s">
        <v>#N/A N/A</v>
        <stp/>
        <stp>BDH|13347839966808308551</stp>
        <tr r="F1942" s="3"/>
      </tp>
      <tp t="s">
        <v>#N/A N/A</v>
        <stp/>
        <stp>BDH|14509555803728996995</stp>
        <tr r="F2138" s="3"/>
      </tp>
      <tp t="s">
        <v>#N/A N/A</v>
        <stp/>
        <stp>BDH|18422359829589816033</stp>
        <tr r="F1741" s="3"/>
      </tp>
      <tp t="s">
        <v>#N/A N/A</v>
        <stp/>
        <stp>BDH|16160042370507213628</stp>
        <tr r="F1540" s="3"/>
      </tp>
      <tp t="s">
        <v>#N/A N/A</v>
        <stp/>
        <stp>BDH|15216510316170902196</stp>
        <tr r="F1978" s="3"/>
      </tp>
      <tp t="s">
        <v>#N/A N/A</v>
        <stp/>
        <stp>BDH|12314119241663026478</stp>
        <tr r="F1418" s="3"/>
      </tp>
      <tp t="s">
        <v>#N/A N/A</v>
        <stp/>
        <stp>BDH|16375151146834383749</stp>
        <tr r="F1469" s="3"/>
      </tp>
      <tp t="s">
        <v>#N/A N/A</v>
        <stp/>
        <stp>BDH|14479260394258330720</stp>
        <tr r="F1518" s="3"/>
      </tp>
      <tp t="s">
        <v>#N/A N/A</v>
        <stp/>
        <stp>BDH|15102279163812739341</stp>
        <tr r="F1615" s="3"/>
        <tr r="F1209" s="3"/>
      </tp>
      <tp t="s">
        <v>#N/A N/A</v>
        <stp/>
        <stp>BDH|18149187674129897738</stp>
        <tr r="F1459" s="3"/>
      </tp>
      <tp t="s">
        <v>#N/A N/A</v>
        <stp/>
        <stp>BDH|13459344083681174944</stp>
        <tr r="F1549" s="3"/>
      </tp>
      <tp t="s">
        <v>#N/A N/A</v>
        <stp/>
        <stp>BDH|10171642372815623483</stp>
        <tr r="F1158" s="3"/>
      </tp>
      <tp t="s">
        <v>#N/A N/A</v>
        <stp/>
        <stp>BDH|13505548671861188088</stp>
        <tr r="F2042" s="3"/>
        <tr r="F1220" s="3"/>
      </tp>
      <tp t="s">
        <v>#N/A N/A</v>
        <stp/>
        <stp>BDH|12883660243809719935</stp>
        <tr r="F1862" s="3"/>
      </tp>
      <tp t="s">
        <v>#N/A N/A</v>
        <stp/>
        <stp>BDH|15604388407422115407</stp>
        <tr r="F1795" s="3"/>
      </tp>
      <tp t="s">
        <v>#N/A N/A</v>
        <stp/>
        <stp>BDH|13863356067241487757</stp>
        <tr r="F1241" s="3"/>
      </tp>
      <tp t="s">
        <v>#N/A N/A</v>
        <stp/>
        <stp>BDH|13989915870329625440</stp>
        <tr r="F1960" s="3"/>
      </tp>
      <tp t="s">
        <v>#N/A N/A</v>
        <stp/>
        <stp>BDH|12225038150990361784</stp>
        <tr r="F1687" s="3"/>
      </tp>
      <tp t="s">
        <v>#N/A N/A</v>
        <stp/>
        <stp>BDH|12037949398903325139</stp>
        <tr r="F1887" s="3"/>
      </tp>
      <tp t="s">
        <v>#N/A N/A</v>
        <stp/>
        <stp>BDH|15580793604644119653</stp>
        <tr r="F1714" s="3"/>
      </tp>
      <tp t="s">
        <v>#N/A N/A</v>
        <stp/>
        <stp>BDH|12894011456532642559</stp>
        <tr r="F1682" s="3"/>
      </tp>
      <tp t="s">
        <v>#N/A N/A</v>
        <stp/>
        <stp>BDH|13910719452335763424</stp>
        <tr r="F1670" s="3"/>
      </tp>
      <tp t="s">
        <v>#N/A N/A</v>
        <stp/>
        <stp>BDH|15379492091878114050</stp>
        <tr r="F1913" s="3"/>
      </tp>
      <tp t="s">
        <v>#N/A N/A</v>
        <stp/>
        <stp>BDH|15513615128440570161</stp>
        <tr r="F1861" s="3"/>
      </tp>
      <tp t="s">
        <v>#N/A N/A</v>
        <stp/>
        <stp>BDH|14797511528870417342</stp>
        <tr r="F1569" s="3"/>
      </tp>
      <tp t="s">
        <v>#N/A N/A</v>
        <stp/>
        <stp>BDH|10815646444642625002</stp>
        <tr r="F1485" s="3"/>
      </tp>
      <tp t="s">
        <v>#N/A N/A</v>
        <stp/>
        <stp>BDH|11153592567004171607</stp>
        <tr r="F1921" s="3"/>
      </tp>
      <tp t="s">
        <v>#N/A N/A</v>
        <stp/>
        <stp>BDH|15177831989553450612</stp>
        <tr r="F1773" s="3"/>
      </tp>
      <tp t="s">
        <v>#N/A N/A</v>
        <stp/>
        <stp>BDH|11873029895351785893</stp>
        <tr r="F1173" s="3"/>
      </tp>
      <tp t="s">
        <v>#N/A N/A</v>
        <stp/>
        <stp>BDH|17420755013369328911</stp>
        <tr r="F2105" s="3"/>
      </tp>
      <tp t="s">
        <v>#N/A N/A</v>
        <stp/>
        <stp>BDH|13760138274976184218</stp>
        <tr r="F1319" s="3"/>
      </tp>
      <tp t="s">
        <v>#N/A N/A</v>
        <stp/>
        <stp>BDH|13179590466089988847</stp>
        <tr r="F1385" s="3"/>
      </tp>
      <tp t="s">
        <v>#N/A N/A</v>
        <stp/>
        <stp>BDH|10627494336315231382</stp>
        <tr r="F1252" s="3"/>
      </tp>
      <tp t="s">
        <v>#N/A N/A</v>
        <stp/>
        <stp>BDH|12196146886323343923</stp>
        <tr r="F1637" s="3"/>
      </tp>
      <tp t="s">
        <v>#N/A N/A</v>
        <stp/>
        <stp>BDH|17330361513377216367</stp>
        <tr r="F1783" s="3"/>
      </tp>
      <tp t="s">
        <v>#N/A N/A</v>
        <stp/>
        <stp>BDH|16668411163750799567</stp>
        <tr r="F1432" s="3"/>
      </tp>
      <tp t="s">
        <v>#N/A N/A</v>
        <stp/>
        <stp>BDH|12857206673975885361</stp>
        <tr r="F1486" s="3"/>
      </tp>
      <tp t="s">
        <v>#N/A N/A</v>
        <stp/>
        <stp>BDH|14369040512107303336</stp>
        <tr r="F2049" s="3"/>
      </tp>
      <tp t="s">
        <v>#N/A N/A</v>
        <stp/>
        <stp>BDH|12605522757131677202</stp>
        <tr r="F1532" s="3"/>
      </tp>
      <tp t="s">
        <v>#N/A N/A</v>
        <stp/>
        <stp>BDH|12813386119450941140</stp>
        <tr r="F2054" s="3"/>
      </tp>
      <tp t="s">
        <v>#N/A N/A</v>
        <stp/>
        <stp>BDH|10185135646390631457</stp>
        <tr r="F2178" s="3"/>
      </tp>
      <tp t="s">
        <v>#N/A N/A</v>
        <stp/>
        <stp>BDH|16190373545158120856</stp>
        <tr r="F1262" s="3"/>
      </tp>
      <tp t="s">
        <v>#N/A N/A</v>
        <stp/>
        <stp>BDH|12388698084315170884</stp>
        <tr r="F1884" s="3"/>
      </tp>
      <tp t="s">
        <v>#N/A N/A</v>
        <stp/>
        <stp>BDH|12112544572045626463</stp>
        <tr r="F1172" s="3"/>
      </tp>
      <tp t="s">
        <v>#N/A N/A</v>
        <stp/>
        <stp>BDH|11852860123963971929</stp>
        <tr r="F1570" s="3"/>
      </tp>
      <tp t="s">
        <v>#N/A N/A</v>
        <stp/>
        <stp>BDH|12510244563282607527</stp>
        <tr r="F1726" s="3"/>
      </tp>
      <tp t="s">
        <v>#N/A N/A</v>
        <stp/>
        <stp>BDH|14843657903826723513</stp>
        <tr r="F1897" s="3"/>
      </tp>
      <tp t="s">
        <v>#N/A N/A</v>
        <stp/>
        <stp>BDH|18146884743827235202</stp>
        <tr r="F1539" s="3"/>
      </tp>
      <tp t="s">
        <v>#N/A N/A</v>
        <stp/>
        <stp>BDH|14951516877644185360</stp>
        <tr r="F2012" s="3"/>
      </tp>
      <tp t="s">
        <v>#N/A N/A</v>
        <stp/>
        <stp>BDH|14431941641890920804</stp>
        <tr r="F1798" s="3"/>
      </tp>
      <tp t="s">
        <v>#N/A N/A</v>
        <stp/>
        <stp>BDH|13153347966335152299</stp>
        <tr r="F1652" s="3"/>
      </tp>
      <tp t="s">
        <v>#N/A N/A</v>
        <stp/>
        <stp>BDH|11373884254609109455</stp>
        <tr r="F2035" s="3"/>
      </tp>
      <tp t="s">
        <v>#N/A N/A</v>
        <stp/>
        <stp>BDH|11466778559513265120</stp>
        <tr r="F1215" s="3"/>
      </tp>
      <tp t="s">
        <v>#N/A N/A</v>
        <stp/>
        <stp>BDH|13462699085608113435</stp>
        <tr r="F1246" s="3"/>
      </tp>
      <tp t="s">
        <v>#N/A N/A</v>
        <stp/>
        <stp>BDH|17038085735145700001</stp>
        <tr r="F1496" s="3"/>
      </tp>
      <tp t="s">
        <v>#N/A N/A</v>
        <stp/>
        <stp>BDH|11405370839199286951</stp>
        <tr r="F1769" s="3"/>
      </tp>
      <tp t="s">
        <v>#N/A N/A</v>
        <stp/>
        <stp>BDH|14483453588621260865</stp>
        <tr r="F2097" s="3"/>
      </tp>
      <tp t="s">
        <v>#N/A N/A</v>
        <stp/>
        <stp>BDH|14408686862810489575</stp>
        <tr r="F1339" s="3"/>
      </tp>
      <tp t="s">
        <v>#N/A N/A</v>
        <stp/>
        <stp>BDH|11481689051330620365</stp>
        <tr r="F2103" s="3"/>
      </tp>
      <tp t="s">
        <v>#N/A N/A</v>
        <stp/>
        <stp>BDH|18144944675827493080</stp>
        <tr r="F1152" s="3"/>
      </tp>
      <tp t="s">
        <v>#N/A N/A</v>
        <stp/>
        <stp>BDH|15688420936886977573</stp>
        <tr r="F1415" s="3"/>
      </tp>
      <tp t="s">
        <v>#N/A N/A</v>
        <stp/>
        <stp>BDH|15668703951894195295</stp>
        <tr r="F1834" s="3"/>
      </tp>
      <tp t="s">
        <v>#N/A N/A</v>
        <stp/>
        <stp>BDH|15813427473113170471</stp>
        <tr r="F1567" s="3"/>
      </tp>
      <tp t="s">
        <v>#N/A N/A</v>
        <stp/>
        <stp>BDH|17703564349531512639</stp>
        <tr r="F1248" s="3"/>
      </tp>
      <tp t="s">
        <v>#N/A N/A</v>
        <stp/>
        <stp>BDH|14234795075190598556</stp>
        <tr r="F1971" s="3"/>
        <tr r="F1959" s="3"/>
      </tp>
      <tp t="s">
        <v>#N/A N/A</v>
        <stp/>
        <stp>BDH|18066442581424649622</stp>
        <tr r="F1753" s="3"/>
      </tp>
      <tp t="s">
        <v>#N/A N/A</v>
        <stp/>
        <stp>BDH|16845711712246239094</stp>
        <tr r="F1502" s="3"/>
      </tp>
      <tp t="s">
        <v>#N/A N/A</v>
        <stp/>
        <stp>BDH|13123531276135506214</stp>
        <tr r="F1806" s="3"/>
      </tp>
      <tp t="s">
        <v>#N/A N/A</v>
        <stp/>
        <stp>BDH|16856796351193308115</stp>
        <tr r="F1468" s="3"/>
      </tp>
      <tp t="s">
        <v>#N/A N/A</v>
        <stp/>
        <stp>BDH|14453918294244394603</stp>
        <tr r="F1353" s="3"/>
      </tp>
      <tp t="s">
        <v>#N/A N/A</v>
        <stp/>
        <stp>BDH|14626881529268797055</stp>
        <tr r="F1732" s="3"/>
      </tp>
      <tp t="s">
        <v>#N/A N/A</v>
        <stp/>
        <stp>BDH|14359403086228424647</stp>
        <tr r="F1500" s="3"/>
      </tp>
      <tp t="s">
        <v>#N/A N/A</v>
        <stp/>
        <stp>BDH|11173909445968084204</stp>
        <tr r="F1463" s="3"/>
      </tp>
      <tp t="s">
        <v>#N/A N/A</v>
        <stp/>
        <stp>BDH|12529361221031027466</stp>
        <tr r="F1267" s="3"/>
      </tp>
      <tp t="s">
        <v>#N/A N/A</v>
        <stp/>
        <stp>BDH|12961999587143397600</stp>
        <tr r="F1328" s="3"/>
      </tp>
      <tp t="s">
        <v>#N/A N/A</v>
        <stp/>
        <stp>BDH|17227714153230469307</stp>
        <tr r="F2129" s="3"/>
      </tp>
      <tp t="s">
        <v>#N/A N/A</v>
        <stp/>
        <stp>BDH|14553653011424685105</stp>
        <tr r="F1789" s="3"/>
      </tp>
      <tp t="s">
        <v>#N/A N/A</v>
        <stp/>
        <stp>BDH|14895018678946111362</stp>
        <tr r="F1899" s="3"/>
        <tr r="F1867" s="3"/>
      </tp>
      <tp t="s">
        <v>#N/A N/A</v>
        <stp/>
        <stp>BDH|14712727108180780531</stp>
        <tr r="F2091" s="3"/>
      </tp>
      <tp t="s">
        <v>#N/A N/A</v>
        <stp/>
        <stp>BDH|10153195308376982107</stp>
        <tr r="F1524" s="3"/>
      </tp>
      <tp t="s">
        <v>#N/A N/A</v>
        <stp/>
        <stp>BDH|13919354865787593749</stp>
        <tr r="F1164" s="3"/>
      </tp>
      <tp t="s">
        <v>#N/A N/A</v>
        <stp/>
        <stp>BDH|12766750785453451889</stp>
        <tr r="F1207" s="3"/>
      </tp>
      <tp t="s">
        <v>#N/A N/A</v>
        <stp/>
        <stp>BDH|13407696435324100428</stp>
        <tr r="F1449" s="3"/>
      </tp>
      <tp t="s">
        <v>#N/A N/A</v>
        <stp/>
        <stp>BDH|11606064611336967033</stp>
        <tr r="F1379" s="3"/>
      </tp>
      <tp t="s">
        <v>#N/A N/A</v>
        <stp/>
        <stp>BDH|10536802285422997429</stp>
        <tr r="F1331" s="3"/>
      </tp>
      <tp t="s">
        <v>#N/A N/A</v>
        <stp/>
        <stp>BDH|16899100967692160549</stp>
        <tr r="F1624" s="3"/>
        <tr r="F1630" s="3"/>
      </tp>
      <tp t="s">
        <v>#N/A N/A</v>
        <stp/>
        <stp>BDH|12914085378721111224</stp>
        <tr r="F1980" s="3"/>
      </tp>
      <tp t="s">
        <v>#N/A N/A</v>
        <stp/>
        <stp>BDH|12988711418933460197</stp>
        <tr r="F1312" s="3"/>
      </tp>
      <tp t="s">
        <v>#N/A N/A</v>
        <stp/>
        <stp>BDH|11875432296332944889</stp>
        <tr r="F1873" s="3"/>
      </tp>
      <tp t="s">
        <v>#N/A N/A</v>
        <stp/>
        <stp>BDH|10234792873770404605</stp>
        <tr r="F1240" s="3"/>
      </tp>
      <tp t="s">
        <v>#N/A N/A</v>
        <stp/>
        <stp>BDH|12538759747326140195</stp>
        <tr r="F1498" s="3"/>
      </tp>
      <tp t="s">
        <v>#N/A N/A</v>
        <stp/>
        <stp>BDH|12991242356067660423</stp>
        <tr r="F2135" s="3"/>
      </tp>
      <tp t="s">
        <v>#N/A N/A</v>
        <stp/>
        <stp>BDH|16888346446923330467</stp>
        <tr r="F1607" s="3"/>
      </tp>
      <tp t="s">
        <v>#N/A N/A</v>
        <stp/>
        <stp>BDH|10157207419987369256</stp>
        <tr r="F1848" s="3"/>
      </tp>
      <tp t="s">
        <v>#N/A N/A</v>
        <stp/>
        <stp>BDH|12509410538247112439</stp>
        <tr r="F1286" s="3"/>
      </tp>
      <tp t="s">
        <v>#N/A N/A</v>
        <stp/>
        <stp>BDH|17844815527233891970</stp>
        <tr r="F1135" s="3"/>
      </tp>
      <tp t="s">
        <v>#N/A N/A</v>
        <stp/>
        <stp>BDH|14330468165975347421</stp>
        <tr r="F1721" s="3"/>
      </tp>
      <tp t="s">
        <v>#N/A N/A</v>
        <stp/>
        <stp>BDH|13837193614302456614</stp>
        <tr r="F1268" s="3"/>
      </tp>
      <tp t="s">
        <v>#N/A N/A</v>
        <stp/>
        <stp>BDH|15601357830207772579</stp>
        <tr r="F2099" s="3"/>
      </tp>
      <tp t="s">
        <v>#N/A N/A</v>
        <stp/>
        <stp>BDH|17187681712675102297</stp>
        <tr r="F1226" s="3"/>
      </tp>
      <tp t="s">
        <v>#N/A N/A</v>
        <stp/>
        <stp>BDH|11816581225583753210</stp>
        <tr r="F1966" s="3"/>
      </tp>
      <tp t="s">
        <v>#N/A N/A</v>
        <stp/>
        <stp>BDH|17761082151444847151</stp>
        <tr r="F2090" s="3"/>
      </tp>
      <tp t="s">
        <v>#N/A N/A</v>
        <stp/>
        <stp>BDH|16096025838501915312</stp>
        <tr r="F1310" s="3"/>
      </tp>
      <tp t="s">
        <v>#N/A N/A</v>
        <stp/>
        <stp>BDH|10410443233590914088</stp>
        <tr r="F1217" s="3"/>
      </tp>
      <tp t="s">
        <v>#N/A N/A</v>
        <stp/>
        <stp>BDH|14583774467645221727</stp>
        <tr r="F1869" s="3"/>
      </tp>
      <tp t="s">
        <v>#N/A N/A</v>
        <stp/>
        <stp>BDH|15115196709935290665</stp>
        <tr r="F1762" s="3"/>
      </tp>
      <tp t="s">
        <v>#N/A N/A</v>
        <stp/>
        <stp>BDH|15905922388313174076</stp>
        <tr r="F2045" s="3"/>
        <tr r="F2029" s="3"/>
      </tp>
      <tp t="s">
        <v>#N/A N/A</v>
        <stp/>
        <stp>BDH|15849416538643314664</stp>
        <tr r="F1613" s="3"/>
      </tp>
      <tp t="s">
        <v>#N/A N/A</v>
        <stp/>
        <stp>BDH|10846049351827055591</stp>
        <tr r="F1520" s="3"/>
      </tp>
      <tp t="s">
        <v>#N/A N/A</v>
        <stp/>
        <stp>BDH|13578549179067749189</stp>
        <tr r="F1514" s="3"/>
      </tp>
      <tp t="s">
        <v>#N/A N/A</v>
        <stp/>
        <stp>BDH|16280858982492638347</stp>
        <tr r="F1961" s="3"/>
      </tp>
      <tp t="s">
        <v>#N/A N/A</v>
        <stp/>
        <stp>BDH|12380316948570592298</stp>
        <tr r="F1370" s="3"/>
      </tp>
      <tp t="s">
        <v>#N/A N/A</v>
        <stp/>
        <stp>BDH|10506649621980024389</stp>
        <tr r="F1907" s="3"/>
      </tp>
      <tp t="s">
        <v>#N/A N/A</v>
        <stp/>
        <stp>BDH|12243641652680997656</stp>
        <tr r="F1407" s="3"/>
      </tp>
      <tp t="s">
        <v>#N/A N/A</v>
        <stp/>
        <stp>BDH|17752727692019619796</stp>
        <tr r="F2122" s="3"/>
      </tp>
      <tp t="s">
        <v>#N/A N/A</v>
        <stp/>
        <stp>BDH|10569430313400607280</stp>
        <tr r="F1445" s="3"/>
      </tp>
      <tp t="s">
        <v>#N/A N/A</v>
        <stp/>
        <stp>BDH|16886802782217240654</stp>
        <tr r="F2065" s="3"/>
      </tp>
      <tp t="s">
        <v>#N/A N/A</v>
        <stp/>
        <stp>BDH|12648721059251850685</stp>
        <tr r="F1156" s="3"/>
      </tp>
      <tp t="s">
        <v>#N/A N/A</v>
        <stp/>
        <stp>BDH|10057708728623363169</stp>
        <tr r="F2113" s="3"/>
      </tp>
      <tp t="s">
        <v>#N/A N/A</v>
        <stp/>
        <stp>BDH|16941297323452690390</stp>
        <tr r="F1717" s="3"/>
      </tp>
      <tp t="s">
        <v>#N/A N/A</v>
        <stp/>
        <stp>BDH|16769332932004126661</stp>
        <tr r="F2162" s="3"/>
      </tp>
      <tp t="s">
        <v>#N/A N/A</v>
        <stp/>
        <stp>BDH|16173547422077708214</stp>
        <tr r="F1636" s="3"/>
      </tp>
      <tp t="s">
        <v>#N/A N/A</v>
        <stp/>
        <stp>BDH|12717996638884784822</stp>
        <tr r="F1612" s="3"/>
      </tp>
      <tp t="s">
        <v>#N/A N/A</v>
        <stp/>
        <stp>BDH|15871469365493933007</stp>
        <tr r="F1659" s="3"/>
      </tp>
      <tp t="s">
        <v>#N/A N/A</v>
        <stp/>
        <stp>BDH|12925656882178410087</stp>
        <tr r="F1545" s="3"/>
      </tp>
      <tp t="s">
        <v>#N/A N/A</v>
        <stp/>
        <stp>BDH|17141006431488142830</stp>
        <tr r="F1644" s="3"/>
        <tr r="F1623" s="3"/>
      </tp>
      <tp t="s">
        <v>#N/A N/A</v>
        <stp/>
        <stp>BDH|16421712373515375770</stp>
        <tr r="F1188" s="3"/>
      </tp>
      <tp t="s">
        <v>#N/A N/A</v>
        <stp/>
        <stp>BDH|12076203854619340850</stp>
        <tr r="F1299" s="3"/>
      </tp>
      <tp t="s">
        <v>#N/A N/A</v>
        <stp/>
        <stp>BDH|18320678693826055524</stp>
        <tr r="F1420" s="3"/>
      </tp>
      <tp t="s">
        <v>#N/A N/A</v>
        <stp/>
        <stp>BDH|12311562072077792341</stp>
        <tr r="F1735" s="3"/>
      </tp>
      <tp t="s">
        <v>#N/A N/A</v>
        <stp/>
        <stp>BDH|17042103551684766321</stp>
        <tr r="F2009" s="3"/>
      </tp>
      <tp t="s">
        <v>#N/A N/A</v>
        <stp/>
        <stp>BDH|14452123167445670207</stp>
        <tr r="F1829" s="3"/>
      </tp>
      <tp t="s">
        <v>#N/A N/A</v>
        <stp/>
        <stp>BDH|12127426177480057535</stp>
        <tr r="F1233" s="3"/>
      </tp>
      <tp t="s">
        <v>#N/A N/A</v>
        <stp/>
        <stp>BDH|12083398342581840044</stp>
        <tr r="F2061" s="3"/>
      </tp>
      <tp t="s">
        <v>#N/A N/A</v>
        <stp/>
        <stp>BDH|14019123147850280519</stp>
        <tr r="F1149" s="3"/>
      </tp>
      <tp t="s">
        <v>#N/A N/A</v>
        <stp/>
        <stp>BDH|10592973262849154276</stp>
        <tr r="F2102" s="3"/>
      </tp>
      <tp t="s">
        <v>#N/A N/A</v>
        <stp/>
        <stp>BDH|11737950180164842039</stp>
        <tr r="F1606" s="3"/>
      </tp>
      <tp t="s">
        <v>#N/A N/A</v>
        <stp/>
        <stp>BDH|14392836602941902927</stp>
        <tr r="F1295" s="3"/>
      </tp>
      <tp t="s">
        <v>#N/A N/A</v>
        <stp/>
        <stp>BDH|15846760262516138666</stp>
        <tr r="F1218" s="3"/>
      </tp>
      <tp t="s">
        <v>#N/A N/A</v>
        <stp/>
        <stp>BDH|14172781174707789702</stp>
        <tr r="F1430" s="3"/>
      </tp>
      <tp t="s">
        <v>#N/A N/A</v>
        <stp/>
        <stp>BDH|12940545834582188223</stp>
        <tr r="F2050" s="3"/>
      </tp>
      <tp t="s">
        <v>#N/A N/A</v>
        <stp/>
        <stp>BDH|11567278004392515593</stp>
        <tr r="F1230" s="3"/>
      </tp>
      <tp t="s">
        <v>#N/A N/A</v>
        <stp/>
        <stp>BDH|15440954199415209401</stp>
        <tr r="F1191" s="3"/>
      </tp>
      <tp t="s">
        <v>#N/A N/A</v>
        <stp/>
        <stp>BDH|10885359548921086287</stp>
        <tr r="F1986" s="3"/>
      </tp>
      <tp t="s">
        <v>#N/A N/A</v>
        <stp/>
        <stp>BDH|17582296257176530211</stp>
        <tr r="F1238" s="3"/>
      </tp>
      <tp t="s">
        <v>#N/A N/A</v>
        <stp/>
        <stp>BDH|14778583037765238348</stp>
        <tr r="F1989" s="3"/>
      </tp>
      <tp t="s">
        <v>#N/A N/A</v>
        <stp/>
        <stp>BDH|11322156640468694910</stp>
        <tr r="F2144" s="3"/>
      </tp>
      <tp t="s">
        <v>#N/A N/A</v>
        <stp/>
        <stp>BDH|17024315371567875195</stp>
        <tr r="F2013" s="3"/>
      </tp>
      <tp t="s">
        <v>#N/A N/A</v>
        <stp/>
        <stp>BDH|17777832144687219934</stp>
        <tr r="F1516" s="3"/>
      </tp>
      <tp t="s">
        <v>#N/A N/A</v>
        <stp/>
        <stp>BDH|13501423657006536145</stp>
        <tr r="F2082" s="3"/>
      </tp>
      <tp t="s">
        <v>#N/A N/A</v>
        <stp/>
        <stp>BDH|12048641345143179630</stp>
        <tr r="F2002" s="3"/>
      </tp>
      <tp t="s">
        <v>#N/A N/A</v>
        <stp/>
        <stp>BDH|14422569465155181756</stp>
        <tr r="F1544" s="3"/>
      </tp>
      <tp t="s">
        <v>#N/A N/A</v>
        <stp/>
        <stp>BDH|15365139151491368507</stp>
        <tr r="F1575" s="3"/>
      </tp>
      <tp t="s">
        <v>#N/A N/A</v>
        <stp/>
        <stp>BDH|14150443965640400366</stp>
        <tr r="F1374" s="3"/>
      </tp>
      <tp t="s">
        <v>#N/A N/A</v>
        <stp/>
        <stp>BDH|18339519096940858197</stp>
        <tr r="F1835" s="3"/>
      </tp>
      <tp t="s">
        <v>#N/A N/A</v>
        <stp/>
        <stp>BDH|13660096502191179787</stp>
        <tr r="F1582" s="3"/>
      </tp>
      <tp t="s">
        <v>#N/A N/A</v>
        <stp/>
        <stp>BDH|15311063125563702137</stp>
        <tr r="F1784" s="3"/>
      </tp>
      <tp t="s">
        <v>#N/A N/A</v>
        <stp/>
        <stp>BDH|13281336974003790163</stp>
        <tr r="F1300" s="3"/>
      </tp>
      <tp t="s">
        <v>#N/A N/A</v>
        <stp/>
        <stp>BDH|18092971264287141556</stp>
        <tr r="F1476" s="3"/>
      </tp>
      <tp t="s">
        <v>#N/A N/A</v>
        <stp/>
        <stp>BDH|13509559866827668278</stp>
        <tr r="F1332" s="3"/>
      </tp>
      <tp t="s">
        <v>#N/A N/A</v>
        <stp/>
        <stp>BDH|11402347909085805269</stp>
        <tr r="F2106" s="3"/>
      </tp>
      <tp t="s">
        <v>#N/A N/A</v>
        <stp/>
        <stp>BDH|17925569679346398626</stp>
        <tr r="F2145" s="3"/>
      </tp>
      <tp t="s">
        <v>#N/A N/A</v>
        <stp/>
        <stp>BDH|12682411238511000194</stp>
        <tr r="F1329" s="3"/>
      </tp>
      <tp t="s">
        <v>#N/A N/A</v>
        <stp/>
        <stp>BDH|12790771932121904222</stp>
        <tr r="F1232" s="3"/>
      </tp>
      <tp t="s">
        <v>#N/A N/A</v>
        <stp/>
        <stp>BDH|15043047420343512186</stp>
        <tr r="C2204" s="3"/>
      </tp>
      <tp t="s">
        <v>#N/A N/A</v>
        <stp/>
        <stp>BDH|11248599102441749079</stp>
        <tr r="F1438" s="3"/>
        <tr r="F1337" s="3"/>
      </tp>
      <tp t="s">
        <v>#N/A N/A</v>
        <stp/>
        <stp>BDH|14323990690406679743</stp>
        <tr r="F1666" s="3"/>
      </tp>
      <tp t="s">
        <v>#N/A N/A</v>
        <stp/>
        <stp>BDH|11037223241673807105</stp>
        <tr r="F1550" s="3"/>
      </tp>
      <tp t="s">
        <v>#N/A N/A</v>
        <stp/>
        <stp>BDH|17098049229840028078</stp>
        <tr r="F1397" s="3"/>
      </tp>
      <tp t="s">
        <v>#N/A N/A</v>
        <stp/>
        <stp>BDH|14168478259126196637</stp>
        <tr r="F1631" s="3"/>
      </tp>
      <tp t="s">
        <v>#N/A N/A</v>
        <stp/>
        <stp>BDH|13230794632635387762</stp>
        <tr r="F1621" s="3"/>
      </tp>
      <tp t="s">
        <v>#N/A N/A</v>
        <stp/>
        <stp>BDH|13318289937377748077</stp>
        <tr r="F1645" s="3"/>
      </tp>
      <tp t="s">
        <v>#N/A N/A</v>
        <stp/>
        <stp>BDH|10932198100825744189</stp>
        <tr r="F2173" s="3"/>
        <tr r="F2072" s="3"/>
      </tp>
      <tp t="s">
        <v>#N/A N/A</v>
        <stp/>
        <stp>BDH|11095533811591595188</stp>
        <tr r="F1441" s="3"/>
      </tp>
      <tp t="s">
        <v>#N/A N/A</v>
        <stp/>
        <stp>BDH|11486437803117260798</stp>
        <tr r="F1838" s="3"/>
      </tp>
      <tp t="s">
        <v>#N/A N/A</v>
        <stp/>
        <stp>BDH|17125168076777827377</stp>
        <tr r="F2107" s="3"/>
      </tp>
      <tp t="s">
        <v>#N/A N/A</v>
        <stp/>
        <stp>BDH|16959334540455122156</stp>
        <tr r="F1357" s="3"/>
      </tp>
    </main>
    <main first="bloomberg.ccyreader">
      <tp>
        <v>0</v>
        <stp/>
        <stp>#track</stp>
        <stp>DBG</stp>
        <stp>BIHITX</stp>
        <stp>1.0</stp>
        <stp>RepeatHit</stp>
        <tr r="A1126" s="3"/>
      </tp>
    </main>
    <main first="bofaddin.rtdserver">
      <tp t="s">
        <v>#N/A N/A</v>
        <stp/>
        <stp>BDH|9697964775085274</stp>
        <tr r="F1964" s="3"/>
      </tp>
      <tp t="s">
        <v>#N/A N/A</v>
        <stp/>
        <stp>BDH|5642812891998839043</stp>
        <tr r="F1691" s="3"/>
      </tp>
      <tp t="s">
        <v>#N/A N/A</v>
        <stp/>
        <stp>BDH|3937603706988773119</stp>
        <tr r="F1763" s="3"/>
      </tp>
      <tp t="s">
        <v>#N/A N/A</v>
        <stp/>
        <stp>BDH|9632482857803373737</stp>
        <tr r="F1641" s="3"/>
      </tp>
      <tp t="s">
        <v>#N/A N/A</v>
        <stp/>
        <stp>BDH|5158207088864722774</stp>
        <tr r="F1804" s="3"/>
      </tp>
      <tp t="s">
        <v>#N/A N/A</v>
        <stp/>
        <stp>BDH|3022876589587993893</stp>
        <tr r="F2158" s="3"/>
      </tp>
      <tp t="s">
        <v>#N/A N/A</v>
        <stp/>
        <stp>BDH|8410787670456653249</stp>
        <tr r="F1338" s="3"/>
      </tp>
      <tp t="s">
        <v>#N/A N/A</v>
        <stp/>
        <stp>BDH|1463653950929681788</stp>
        <tr r="F2077" s="3"/>
      </tp>
      <tp t="s">
        <v>#N/A N/A</v>
        <stp/>
        <stp>BDH|6569702335446920855</stp>
        <tr r="F1952" s="3"/>
      </tp>
      <tp t="s">
        <v>#N/A N/A</v>
        <stp/>
        <stp>BDH|9113534603307502760</stp>
        <tr r="F1767" s="3"/>
      </tp>
      <tp t="s">
        <v>#N/A N/A</v>
        <stp/>
        <stp>BDH|2666784673626790885</stp>
        <tr r="F1927" s="3"/>
      </tp>
      <tp t="s">
        <v>#N/A N/A</v>
        <stp/>
        <stp>BDH|9155443414798734851</stp>
        <tr r="F1141" s="3"/>
      </tp>
      <tp t="s">
        <v>#N/A N/A</v>
        <stp/>
        <stp>BDH|8498927797742048622</stp>
        <tr r="F1688" s="3"/>
      </tp>
      <tp t="s">
        <v>#N/A N/A</v>
        <stp/>
        <stp>BDH|9115771932220665127</stp>
        <tr r="F1939" s="3"/>
      </tp>
      <tp t="s">
        <v>#N/A N/A</v>
        <stp/>
        <stp>BDH|7220556896535732265</stp>
        <tr r="F1352" s="3"/>
      </tp>
      <tp t="s">
        <v>#N/A N/A</v>
        <stp/>
        <stp>BDH|3420985991279892653</stp>
        <tr r="F1931" s="3"/>
        <tr r="F1928" s="3"/>
      </tp>
      <tp t="s">
        <v>#N/A N/A</v>
        <stp/>
        <stp>BDH|5919500489187147301</stp>
        <tr r="F2008" s="3"/>
      </tp>
      <tp t="s">
        <v>#N/A N/A</v>
        <stp/>
        <stp>BDH|1885547191441806042</stp>
        <tr r="C2196" s="3"/>
      </tp>
      <tp t="s">
        <v>#N/A N/A</v>
        <stp/>
        <stp>BDH|9131463988831825816</stp>
        <tr r="F1996" s="3"/>
      </tp>
      <tp t="s">
        <v>#N/A N/A</v>
        <stp/>
        <stp>BDH|3875255504768922577</stp>
        <tr r="F1660" s="3"/>
      </tp>
      <tp t="s">
        <v>#N/A N/A</v>
        <stp/>
        <stp>BDH|2604638940005196932</stp>
        <tr r="F1414" s="3"/>
      </tp>
      <tp t="s">
        <v>#N/A N/A</v>
        <stp/>
        <stp>BDH|3615552047839820799</stp>
        <tr r="F2030" s="3"/>
        <tr r="F2059" s="3"/>
        <tr r="F2047" s="3"/>
      </tp>
      <tp t="s">
        <v>#N/A N/A</v>
        <stp/>
        <stp>BDH|9007154682215102936</stp>
        <tr r="F2004" s="3"/>
      </tp>
      <tp t="s">
        <v>#N/A N/A</v>
        <stp/>
        <stp>BDH|7276981654115214293</stp>
        <tr r="F1586" s="3"/>
      </tp>
      <tp t="s">
        <v>#N/A N/A</v>
        <stp/>
        <stp>BDH|3373129577631346809</stp>
        <tr r="F1530" s="3"/>
      </tp>
      <tp t="s">
        <v>#N/A N/A</v>
        <stp/>
        <stp>BDH|42994112440201942</stp>
        <tr r="F1245" s="3"/>
      </tp>
      <tp t="s">
        <v>#N/A N/A</v>
        <stp/>
        <stp>BDH|7889703860579182230</stp>
        <tr r="F1175" s="3"/>
      </tp>
      <tp t="s">
        <v>#N/A N/A</v>
        <stp/>
        <stp>BDH|4504355005292931877</stp>
        <tr r="F1314" s="3"/>
      </tp>
      <tp t="s">
        <v>#N/A N/A</v>
        <stp/>
        <stp>BDH|2610868646563935047</stp>
        <tr r="F1589" s="3"/>
      </tp>
      <tp t="s">
        <v>#N/A N/A</v>
        <stp/>
        <stp>BDH|9020446305500255088</stp>
        <tr r="F1259" s="3"/>
      </tp>
      <tp t="s">
        <v>#N/A N/A</v>
        <stp/>
        <stp>BDH|4747977829270197209</stp>
        <tr r="F2048" s="3"/>
        <tr r="F2034" s="3"/>
      </tp>
      <tp t="s">
        <v>#N/A N/A</v>
        <stp/>
        <stp>BDH|9904141403016430322</stp>
        <tr r="F1583" s="3"/>
      </tp>
      <tp t="s">
        <v>#N/A N/A</v>
        <stp/>
        <stp>BDH|6022422799086658044</stp>
        <tr r="F2182" s="3"/>
      </tp>
      <tp t="s">
        <v>#N/A N/A</v>
        <stp/>
        <stp>BDH|4733677990996896016</stp>
        <tr r="F1690" s="3"/>
      </tp>
      <tp t="s">
        <v>#N/A N/A</v>
        <stp/>
        <stp>BDH|4385128285030566084</stp>
        <tr r="F1511" s="3"/>
      </tp>
      <tp t="s">
        <v>#N/A N/A</v>
        <stp/>
        <stp>BDH|9235084855197536643</stp>
        <tr r="F1828" s="3"/>
      </tp>
      <tp t="s">
        <v>#N/A N/A</v>
        <stp/>
        <stp>BDH|6739280942175123829</stp>
        <tr r="F1587" s="3"/>
      </tp>
      <tp t="s">
        <v>#N/A N/A</v>
        <stp/>
        <stp>BDH|5920775449249976215</stp>
        <tr r="F1165" s="3"/>
      </tp>
      <tp t="s">
        <v>#N/A N/A</v>
        <stp/>
        <stp>BDH|9180442395499920067</stp>
        <tr r="F1242" s="3"/>
      </tp>
      <tp t="s">
        <v>#N/A N/A</v>
        <stp/>
        <stp>BDH|3814167801846231918</stp>
        <tr r="F2058" s="3"/>
      </tp>
      <tp t="s">
        <v>#N/A N/A</v>
        <stp/>
        <stp>BDH|8199697643815436232</stp>
        <tr r="F1745" s="3"/>
      </tp>
      <tp t="s">
        <v>#N/A N/A</v>
        <stp/>
        <stp>BDH|5657630048139974390</stp>
        <tr r="F1739" s="3"/>
      </tp>
      <tp t="s">
        <v>#N/A N/A</v>
        <stp/>
        <stp>BDH|2900531715318091322</stp>
        <tr r="F1313" s="3"/>
      </tp>
      <tp t="s">
        <v>#N/A N/A</v>
        <stp/>
        <stp>BDH|2914806622131080464</stp>
        <tr r="F1833" s="3"/>
      </tp>
      <tp t="s">
        <v>#N/A N/A</v>
        <stp/>
        <stp>BDH|5282493841081673911</stp>
        <tr r="F2152" s="3"/>
      </tp>
      <tp t="s">
        <v>#N/A N/A</v>
        <stp/>
        <stp>BDH|5855634790040832712</stp>
        <tr r="F1208" s="3"/>
      </tp>
      <tp t="s">
        <v>#N/A N/A</v>
        <stp/>
        <stp>BDH|5187805058922989727</stp>
        <tr r="F1810" s="3"/>
      </tp>
      <tp t="s">
        <v>#N/A N/A</v>
        <stp/>
        <stp>BDH|4315797151602370984</stp>
        <tr r="F1537" s="3"/>
      </tp>
      <tp t="s">
        <v>#N/A N/A</v>
        <stp/>
        <stp>BDH|1342636340526435843</stp>
        <tr r="F1257" s="3"/>
      </tp>
      <tp t="s">
        <v>#N/A N/A</v>
        <stp/>
        <stp>BDH|4084552044451309928</stp>
        <tr r="F1719" s="3"/>
      </tp>
      <tp t="s">
        <v>#N/A N/A</v>
        <stp/>
        <stp>BDH|7301244761708382652</stp>
        <tr r="F1919" s="3"/>
      </tp>
      <tp t="s">
        <v>#N/A N/A</v>
        <stp/>
        <stp>BDH|8359006449931865025</stp>
        <tr r="F1646" s="3"/>
      </tp>
      <tp t="s">
        <v>#N/A N/A</v>
        <stp/>
        <stp>BDH|6684425285966371136</stp>
        <tr r="F1450" s="3"/>
      </tp>
      <tp t="s">
        <v>#N/A N/A</v>
        <stp/>
        <stp>BDH|9393703019786307481</stp>
        <tr r="F1718" s="3"/>
      </tp>
      <tp t="s">
        <v>#N/A N/A</v>
        <stp/>
        <stp>BDH|6907250906621570890</stp>
        <tr r="F1444" s="3"/>
      </tp>
      <tp t="s">
        <v>#N/A N/A</v>
        <stp/>
        <stp>BDH|7336455684445284360</stp>
        <tr r="F1167" s="3"/>
      </tp>
      <tp t="s">
        <v>#N/A N/A</v>
        <stp/>
        <stp>BDH|5906389855728501663</stp>
        <tr r="F2083" s="3"/>
      </tp>
      <tp t="s">
        <v>#N/A N/A</v>
        <stp/>
        <stp>BDH|5074058490894857595</stp>
        <tr r="F1943" s="3"/>
      </tp>
      <tp t="s">
        <v>#N/A N/A</v>
        <stp/>
        <stp>BDH|4285268854296612825</stp>
        <tr r="F1672" s="3"/>
      </tp>
      <tp t="s">
        <v>#N/A N/A</v>
        <stp/>
        <stp>BDH|9766759816324884689</stp>
        <tr r="F2071" s="3"/>
      </tp>
      <tp t="s">
        <v>#N/A N/A</v>
        <stp/>
        <stp>BDH|3354733094240523059</stp>
        <tr r="F1845" s="3"/>
      </tp>
      <tp t="s">
        <v>#N/A N/A</v>
        <stp/>
        <stp>BDH|9008959492684264005</stp>
        <tr r="F1483" s="3"/>
      </tp>
      <tp t="s">
        <v>#N/A N/A</v>
        <stp/>
        <stp>BDH|2689564705189419340</stp>
        <tr r="F2010" s="3"/>
      </tp>
      <tp t="s">
        <v>#N/A N/A</v>
        <stp/>
        <stp>BDH|9768969498455367206</stp>
        <tr r="F2132" s="3"/>
      </tp>
      <tp t="s">
        <v>#N/A N/A</v>
        <stp/>
        <stp>BDH|4447251176057437899</stp>
        <tr r="F2092" s="3"/>
      </tp>
      <tp t="s">
        <v>#N/A N/A</v>
        <stp/>
        <stp>BDH|4718277716230937943</stp>
        <tr r="F1472" s="3"/>
      </tp>
      <tp t="s">
        <v>#N/A N/A</v>
        <stp/>
        <stp>BDH|1056014904278806764</stp>
        <tr r="F1470" s="3"/>
      </tp>
      <tp t="s">
        <v>#N/A N/A</v>
        <stp/>
        <stp>BDH|8695217765182223092</stp>
        <tr r="F1820" s="3"/>
      </tp>
      <tp t="s">
        <v>#N/A N/A</v>
        <stp/>
        <stp>BDH|2495113595100905471</stp>
        <tr r="F1995" s="3"/>
        <tr r="F1932" s="3"/>
      </tp>
      <tp t="s">
        <v>#N/A N/A</v>
        <stp/>
        <stp>BDH|7785919742422378685</stp>
        <tr r="F1844" s="3"/>
      </tp>
      <tp t="s">
        <v>#N/A N/A</v>
        <stp/>
        <stp>BDH|8986037072691362045</stp>
        <tr r="F1159" s="3"/>
      </tp>
      <tp t="s">
        <v>#N/A N/A</v>
        <stp/>
        <stp>BDH|4874950601566184525</stp>
        <tr r="F2137" s="3"/>
      </tp>
      <tp t="s">
        <v>#N/A N/A</v>
        <stp/>
        <stp>BDH|9833720807086276621</stp>
        <tr r="F1866" s="3"/>
      </tp>
      <tp t="s">
        <v>#N/A N/A</v>
        <stp/>
        <stp>BDH|9070613026765862621</stp>
        <tr r="F1614" s="3"/>
      </tp>
      <tp t="s">
        <v>#N/A N/A</v>
        <stp/>
        <stp>BDH|3549923472624051774</stp>
        <tr r="F1720" s="3"/>
      </tp>
      <tp t="s">
        <v>#N/A N/A</v>
        <stp/>
        <stp>BDH|8219430108526382485</stp>
        <tr r="F2118" s="3"/>
      </tp>
      <tp t="s">
        <v>#N/A N/A</v>
        <stp/>
        <stp>BDH|1339669607259222038</stp>
        <tr r="F1564" s="3"/>
      </tp>
      <tp t="s">
        <v>#N/A N/A</v>
        <stp/>
        <stp>BDH|7369376281476093461</stp>
        <tr r="F1214" s="3"/>
      </tp>
      <tp t="s">
        <v>#N/A N/A</v>
        <stp/>
        <stp>BDH|8072167786487647861</stp>
        <tr r="F1616" s="3"/>
      </tp>
      <tp t="s">
        <v>#N/A N/A</v>
        <stp/>
        <stp>BDH|3199166312468795524</stp>
        <tr r="F1757" s="3"/>
      </tp>
      <tp t="s">
        <v>#N/A N/A</v>
        <stp/>
        <stp>BDH|6168259515763745864</stp>
        <tr r="F1722" s="3"/>
      </tp>
      <tp t="s">
        <v>#N/A N/A</v>
        <stp/>
        <stp>BDH|9371474134345969582</stp>
        <tr r="F1512" s="3"/>
      </tp>
      <tp t="s">
        <v>#N/A N/A</v>
        <stp/>
        <stp>BDH|5660219588643088294</stp>
        <tr r="F1818" s="3"/>
      </tp>
      <tp t="s">
        <v>#N/A N/A</v>
        <stp/>
        <stp>BDH|5619739124796402839</stp>
        <tr r="F1778" s="3"/>
      </tp>
      <tp t="s">
        <v>#N/A N/A</v>
        <stp/>
        <stp>BDH|9243800025638682573</stp>
        <tr r="F1134" s="3"/>
      </tp>
      <tp t="s">
        <v>#N/A N/A</v>
        <stp/>
        <stp>BDH|1981545533829865026</stp>
        <tr r="F1181" s="3"/>
      </tp>
      <tp t="s">
        <v>#N/A N/A</v>
        <stp/>
        <stp>BDH|4817622763123820941</stp>
        <tr r="F1891" s="3"/>
      </tp>
      <tp t="s">
        <v>#N/A N/A</v>
        <stp/>
        <stp>BDH|6544844400629128953</stp>
        <tr r="F1548" s="3"/>
      </tp>
      <tp t="s">
        <v>#N/A N/A</v>
        <stp/>
        <stp>BDH|1752894230332400707</stp>
        <tr r="F1421" s="3"/>
      </tp>
      <tp t="s">
        <v>#N/A N/A</v>
        <stp/>
        <stp>BDH|9220376767731190293</stp>
        <tr r="F1510" s="3"/>
      </tp>
      <tp t="s">
        <v>#N/A N/A</v>
        <stp/>
        <stp>BDH|3947138417908148468</stp>
        <tr r="F1136" s="3"/>
      </tp>
      <tp t="s">
        <v>#N/A N/A</v>
        <stp/>
        <stp>BDH|3086517488623538271</stp>
        <tr r="F1738" s="3"/>
      </tp>
      <tp t="s">
        <v>#N/A N/A</v>
        <stp/>
        <stp>BDH|8675117998997657821</stp>
        <tr r="F1227" s="3"/>
      </tp>
      <tp t="s">
        <v>#N/A N/A</v>
        <stp/>
        <stp>BDH|9523235244510919033</stp>
        <tr r="F1561" s="3"/>
      </tp>
      <tp t="s">
        <v>#N/A N/A</v>
        <stp/>
        <stp>BDH|8985270431830504625</stp>
        <tr r="F1786" s="3"/>
      </tp>
      <tp t="s">
        <v>#N/A N/A</v>
        <stp/>
        <stp>BDH|2303886657159480907</stp>
        <tr r="F1791" s="3"/>
      </tp>
      <tp t="s">
        <v>#N/A N/A</v>
        <stp/>
        <stp>BDH|7674061352659898430</stp>
        <tr r="F1968" s="3"/>
        <tr r="F1951" s="3"/>
      </tp>
      <tp t="s">
        <v>#N/A N/A</v>
        <stp/>
        <stp>BDH|1148616091337606692</stp>
        <tr r="F1439" s="3"/>
      </tp>
      <tp t="s">
        <v>#N/A N/A</v>
        <stp/>
        <stp>BDH|2919849662071523255</stp>
        <tr r="F1709" s="3"/>
      </tp>
      <tp t="s">
        <v>#N/A N/A</v>
        <stp/>
        <stp>BDH|4822011344598639776</stp>
        <tr r="F1284" s="3"/>
      </tp>
      <tp t="s">
        <v>#N/A N/A</v>
        <stp/>
        <stp>BDH|9593008331221920415</stp>
        <tr r="F2181" s="3"/>
      </tp>
      <tp t="s">
        <v>#N/A N/A</v>
        <stp/>
        <stp>BDH|5724441682352547489</stp>
        <tr r="F2156" s="3"/>
      </tp>
      <tp t="s">
        <v>#N/A N/A</v>
        <stp/>
        <stp>BDH|2427480887765051468</stp>
        <tr r="F1640" s="3"/>
      </tp>
      <tp t="s">
        <v>#N/A N/A</v>
        <stp/>
        <stp>BDH|5206210783231475164</stp>
        <tr r="F1678" s="3"/>
      </tp>
      <tp t="s">
        <v>#N/A N/A</v>
        <stp/>
        <stp>BDH|1800399076293771931</stp>
        <tr r="F1629" s="3"/>
      </tp>
      <tp t="s">
        <v>#N/A N/A</v>
        <stp/>
        <stp>BDH|7658230060368625434</stp>
        <tr r="F1924" s="3"/>
      </tp>
      <tp t="s">
        <v>#N/A N/A</v>
        <stp/>
        <stp>BDH|8404454051821356731</stp>
        <tr r="F1198" s="3"/>
      </tp>
      <tp t="s">
        <v>#N/A N/A</v>
        <stp/>
        <stp>BDH|1255400906523255969</stp>
        <tr r="F1956" s="3"/>
      </tp>
      <tp t="s">
        <v>#N/A N/A</v>
        <stp/>
        <stp>BDH|8710220694495225939</stp>
        <tr r="F2000" s="3"/>
        <tr r="F1950" s="3"/>
      </tp>
      <tp t="s">
        <v>#N/A N/A</v>
        <stp/>
        <stp>BDH|4450390625229129388</stp>
        <tr r="F1403" s="3"/>
      </tp>
      <tp t="s">
        <v>#N/A N/A</v>
        <stp/>
        <stp>BDH|9774290352061927035</stp>
        <tr r="F1603" s="3"/>
      </tp>
      <tp t="s">
        <v>#N/A N/A</v>
        <stp/>
        <stp>BDH|3989899970317336451</stp>
        <tr r="F1683" s="3"/>
      </tp>
      <tp t="s">
        <v>#N/A N/A</v>
        <stp/>
        <stp>BDH|3902675182151281388</stp>
        <tr r="F1668" s="3"/>
      </tp>
      <tp t="s">
        <v>#N/A N/A</v>
        <stp/>
        <stp>BDH|4466890229402549366</stp>
        <tr r="F2119" s="3"/>
      </tp>
      <tp t="s">
        <v>#N/A N/A</v>
        <stp/>
        <stp>BDH|7506079926653172927</stp>
        <tr r="F1655" s="3"/>
      </tp>
      <tp t="s">
        <v>#N/A N/A</v>
        <stp/>
        <stp>BDH|3288557430558092220</stp>
        <tr r="F1185" s="3"/>
      </tp>
      <tp t="s">
        <v>#N/A N/A</v>
        <stp/>
        <stp>BDH|6109971903179656961</stp>
        <tr r="F1273" s="3"/>
      </tp>
      <tp t="s">
        <v>#N/A N/A</v>
        <stp/>
        <stp>BDH|5992521426289199498</stp>
        <tr r="F1440" s="3"/>
      </tp>
      <tp t="s">
        <v>#N/A N/A</v>
        <stp/>
        <stp>BDH|7169674586784376587</stp>
        <tr r="F1417" s="3"/>
      </tp>
      <tp t="s">
        <v>#N/A N/A</v>
        <stp/>
        <stp>BDH|8041522164473537087</stp>
        <tr r="F1147" s="3"/>
      </tp>
      <tp t="s">
        <v>#N/A N/A</v>
        <stp/>
        <stp>BDH|6522486954466582971</stp>
        <tr r="F1565" s="3"/>
      </tp>
      <tp t="s">
        <v>#N/A N/A</v>
        <stp/>
        <stp>BDH|7178779671946992955</stp>
        <tr r="F1859" s="3"/>
      </tp>
      <tp t="s">
        <v>#N/A N/A</v>
        <stp/>
        <stp>BDH|6179788171006669866</stp>
        <tr r="F2127" s="3"/>
      </tp>
      <tp t="s">
        <v>#N/A N/A</v>
        <stp/>
        <stp>BDH|1783465904349832441</stp>
        <tr r="F2133" s="3"/>
      </tp>
      <tp t="s">
        <v>#N/A N/A</v>
        <stp/>
        <stp>BDH|3220213793395733592</stp>
        <tr r="F1213" s="3"/>
      </tp>
      <tp t="s">
        <v>#N/A N/A</v>
        <stp/>
        <stp>BDH|9155936062367644981</stp>
        <tr r="F1529" s="3"/>
      </tp>
      <tp t="s">
        <v>#N/A N/A</v>
        <stp/>
        <stp>BDH|2623472373600440987</stp>
        <tr r="F2005" s="3"/>
      </tp>
      <tp t="s">
        <v>#N/A N/A</v>
        <stp/>
        <stp>BDH|2179913632980845044</stp>
        <tr r="F1725" s="3"/>
      </tp>
      <tp t="s">
        <v>#N/A N/A</v>
        <stp/>
        <stp>BDH|5432918379233731057</stp>
        <tr r="F2139" s="3"/>
      </tp>
      <tp t="s">
        <v>#N/A N/A</v>
        <stp/>
        <stp>BDH|2267968218805403769</stp>
        <tr r="F1737" s="3"/>
      </tp>
      <tp t="s">
        <v>#N/A N/A</v>
        <stp/>
        <stp>BDH|1901984239132213154</stp>
        <tr r="F1206" s="3"/>
      </tp>
      <tp t="s">
        <v>#N/A N/A</v>
        <stp/>
        <stp>BDH|3346987041960384667</stp>
        <tr r="F1590" s="3"/>
      </tp>
      <tp t="s">
        <v>#N/A N/A</v>
        <stp/>
        <stp>BDH|9548929691605121482</stp>
        <tr r="F1993" s="3"/>
      </tp>
      <tp t="s">
        <v>#N/A N/A</v>
        <stp/>
        <stp>BDH|4517388520459179436</stp>
        <tr r="F2112" s="3"/>
      </tp>
      <tp t="s">
        <v>#N/A N/A</v>
        <stp/>
        <stp>BDH|6806037376098606171</stp>
        <tr r="F1643" s="3"/>
      </tp>
      <tp t="s">
        <v>#N/A N/A</v>
        <stp/>
        <stp>BDH|2997062081861296303</stp>
        <tr r="F1727" s="3"/>
      </tp>
      <tp t="s">
        <v>#N/A N/A</v>
        <stp/>
        <stp>BDH|1902430897774081016</stp>
        <tr r="F1145" s="3"/>
      </tp>
      <tp t="s">
        <v>#N/A N/A</v>
        <stp/>
        <stp>BDH|9887347365592646629</stp>
        <tr r="F1751" s="3"/>
      </tp>
      <tp t="s">
        <v>#N/A N/A</v>
        <stp/>
        <stp>BDH|1446726572800963901</stp>
        <tr r="F1813" s="3"/>
      </tp>
      <tp t="s">
        <v>#N/A N/A</v>
        <stp/>
        <stp>BDH|9995156560724937272</stp>
        <tr r="F2052" s="3"/>
      </tp>
      <tp t="s">
        <v>#N/A N/A</v>
        <stp/>
        <stp>BDH|6352616687275674503</stp>
        <tr r="F1411" s="3"/>
      </tp>
      <tp t="s">
        <v>#N/A N/A</v>
        <stp/>
        <stp>BDH|1667102895871680055</stp>
        <tr r="F2020" s="3"/>
      </tp>
      <tp t="s">
        <v>#N/A N/A</v>
        <stp/>
        <stp>BDH|6844399683400506574</stp>
        <tr r="F2088" s="3"/>
      </tp>
      <tp t="s">
        <v>#N/A N/A</v>
        <stp/>
        <stp>BDH|4655834939650402794</stp>
        <tr r="F2171" s="3"/>
      </tp>
      <tp t="s">
        <v>#N/A N/A</v>
        <stp/>
        <stp>BDH|9248113023171378324</stp>
        <tr r="F1495" s="3"/>
      </tp>
      <tp t="s">
        <v>#N/A N/A</v>
        <stp/>
        <stp>BDH|7613800958105753782</stp>
        <tr r="F1527" s="3"/>
      </tp>
      <tp t="s">
        <v>#N/A N/A</v>
        <stp/>
        <stp>BDH|9027341765261612510</stp>
        <tr r="F1974" s="3"/>
      </tp>
      <tp t="s">
        <v>#N/A N/A</v>
        <stp/>
        <stp>BDH|5625111390170307526</stp>
        <tr r="F1443" s="3"/>
      </tp>
      <tp t="s">
        <v>#N/A N/A</v>
        <stp/>
        <stp>BDH|8061171501364750579</stp>
        <tr r="F1875" s="3"/>
      </tp>
      <tp t="s">
        <v>#N/A N/A</v>
        <stp/>
        <stp>BDH|6585065724915341935</stp>
        <tr r="F1333" s="3"/>
      </tp>
      <tp t="s">
        <v>#N/A N/A</v>
        <stp/>
        <stp>BDH|3558521730874424947</stp>
        <tr r="F2123" s="3"/>
      </tp>
      <tp t="s">
        <v>#N/A N/A</v>
        <stp/>
        <stp>BDH|5562193144999562194</stp>
        <tr r="F1617" s="3"/>
      </tp>
      <tp t="s">
        <v>#N/A N/A</v>
        <stp/>
        <stp>BDH|4511537026322375960</stp>
        <tr r="F1920" s="3"/>
      </tp>
      <tp t="s">
        <v>#N/A N/A</v>
        <stp/>
        <stp>BDH|3637341129153702998</stp>
        <tr r="F1684" s="3"/>
      </tp>
      <tp t="s">
        <v>#N/A N/A</v>
        <stp/>
        <stp>BDH|3307168950978789775</stp>
        <tr r="F1872" s="3"/>
      </tp>
      <tp t="s">
        <v>#N/A N/A</v>
        <stp/>
        <stp>BDH|7150873784769177796</stp>
        <tr r="F1499" s="3"/>
      </tp>
      <tp t="s">
        <v>#N/A N/A</v>
        <stp/>
        <stp>BDH|9554323328804721522</stp>
        <tr r="F2018" s="3"/>
      </tp>
      <tp t="s">
        <v>#N/A N/A</v>
        <stp/>
        <stp>BDH|4921529991355997488</stp>
        <tr r="F1400" s="3"/>
      </tp>
      <tp t="s">
        <v>#N/A N/A</v>
        <stp/>
        <stp>BDH|8106020802703297285</stp>
        <tr r="F1975" s="3"/>
      </tp>
      <tp t="s">
        <v>#N/A N/A</v>
        <stp/>
        <stp>BDH|2314447492745783396</stp>
        <tr r="F1574" s="3"/>
      </tp>
      <tp t="s">
        <v>#N/A N/A</v>
        <stp/>
        <stp>BDH|5847159432239163756</stp>
        <tr r="F1592" s="3"/>
      </tp>
      <tp t="s">
        <v>#N/A N/A</v>
        <stp/>
        <stp>BDH|1950088621018159298</stp>
        <tr r="F1406" s="3"/>
      </tp>
      <tp t="s">
        <v>#N/A N/A</v>
        <stp/>
        <stp>BDH|5749284285700759655</stp>
        <tr r="F1661" s="3"/>
      </tp>
      <tp t="s">
        <v>#N/A N/A</v>
        <stp/>
        <stp>BDH|7989393485551822451</stp>
        <tr r="F1642" s="3"/>
        <tr r="F1702" s="3"/>
      </tp>
      <tp t="s">
        <v>#N/A N/A</v>
        <stp/>
        <stp>BDH|2955291535088829246</stp>
        <tr r="F1817" s="3"/>
      </tp>
      <tp t="s">
        <v>#N/A N/A</v>
        <stp/>
        <stp>BDH|4089064101618684586</stp>
        <tr r="F1318" s="3"/>
      </tp>
      <tp t="s">
        <v>#N/A N/A</v>
        <stp/>
        <stp>BDH|1646372689073377026</stp>
        <tr r="F1311" s="3"/>
      </tp>
      <tp t="s">
        <v>#N/A N/A</v>
        <stp/>
        <stp>BDH|8341448439370564658</stp>
        <tr r="F1344" s="3"/>
      </tp>
      <tp t="s">
        <v>#N/A N/A</v>
        <stp/>
        <stp>BDH|4352684091961503311</stp>
        <tr r="F1634" s="3"/>
        <tr r="F1625" s="3"/>
      </tp>
      <tp t="s">
        <v>#N/A N/A</v>
        <stp/>
        <stp>BDH|8648480163367630443</stp>
        <tr r="F1265" s="3"/>
      </tp>
      <tp t="s">
        <v>#N/A N/A</v>
        <stp/>
        <stp>BDH|9946592632116789099</stp>
        <tr r="F1281" s="3"/>
      </tp>
      <tp t="s">
        <v>#N/A N/A</v>
        <stp/>
        <stp>BDH|9119331642095511280</stp>
        <tr r="F1925" s="3"/>
      </tp>
      <tp t="s">
        <v>#N/A N/A</v>
        <stp/>
        <stp>BDH|5659080185940543434</stp>
        <tr r="F1413" s="3"/>
      </tp>
      <tp t="s">
        <v>#N/A N/A</v>
        <stp/>
        <stp>BDH|8018059462704186340</stp>
        <tr r="F1239" s="3"/>
      </tp>
      <tp t="s">
        <v>#N/A N/A</v>
        <stp/>
        <stp>BDH|5700956797998736401</stp>
        <tr r="F1680" s="3"/>
      </tp>
      <tp t="s">
        <v>#N/A N/A</v>
        <stp/>
        <stp>BDH|3083731379173145983</stp>
        <tr r="F2130" s="3"/>
      </tp>
      <tp t="s">
        <v>#N/A N/A</v>
        <stp/>
        <stp>BDH|9365720743936689578</stp>
        <tr r="F1840" s="3"/>
      </tp>
      <tp t="s">
        <v>#N/A N/A</v>
        <stp/>
        <stp>BDH|8404488320937873041</stp>
        <tr r="F1543" s="3"/>
      </tp>
      <tp t="s">
        <v>#N/A N/A</v>
        <stp/>
        <stp>BDH|1790656194016420120</stp>
        <tr r="F1944" s="3"/>
      </tp>
      <tp t="s">
        <v>#N/A N/A</v>
        <stp/>
        <stp>BDH|8802544569321335379</stp>
        <tr r="F1424" s="3"/>
      </tp>
      <tp t="s">
        <v>#N/A N/A</v>
        <stp/>
        <stp>BDH|1280064134322000912</stp>
        <tr r="F1851" s="3"/>
      </tp>
      <tp t="s">
        <v>#N/A N/A</v>
        <stp/>
        <stp>BDH|9547031505172208276</stp>
        <tr r="F1756" s="3"/>
      </tp>
      <tp t="s">
        <v>#N/A N/A</v>
        <stp/>
        <stp>BDH|9218031481850049864</stp>
        <tr r="F1303" s="3"/>
      </tp>
      <tp t="s">
        <v>#N/A N/A</v>
        <stp/>
        <stp>BDH|9445625432991272404</stp>
        <tr r="F1701" s="3"/>
      </tp>
      <tp t="s">
        <v>#N/A N/A</v>
        <stp/>
        <stp>BDH|6538337005085104948</stp>
        <tr r="F2157" s="3"/>
      </tp>
      <tp t="s">
        <v>#N/A N/A</v>
        <stp/>
        <stp>BDH|8133451503972606775</stp>
        <tr r="F1382" s="3"/>
      </tp>
      <tp t="s">
        <v>#N/A N/A</v>
        <stp/>
        <stp>BDH|3686940542711335645</stp>
        <tr r="F1883" s="3"/>
      </tp>
      <tp t="s">
        <v>#N/A N/A</v>
        <stp/>
        <stp>BDH|6502917332832243709</stp>
        <tr r="F2104" s="3"/>
      </tp>
      <tp t="s">
        <v>#N/A N/A</v>
        <stp/>
        <stp>BDH|6312377860563136915</stp>
        <tr r="F1205" s="3"/>
      </tp>
      <tp t="s">
        <v>#N/A N/A</v>
        <stp/>
        <stp>BDH|5023625517442579942</stp>
        <tr r="F1210" s="3"/>
      </tp>
      <tp t="s">
        <v>#N/A N/A</v>
        <stp/>
        <stp>BDH|9003699925262957613</stp>
        <tr r="F1308" s="3"/>
      </tp>
      <tp t="s">
        <v>#N/A N/A</v>
        <stp/>
        <stp>BDH|6351336756709734044</stp>
        <tr r="F2028" s="3"/>
        <tr r="F2043" s="3"/>
      </tp>
      <tp t="s">
        <v>#N/A N/A</v>
        <stp/>
        <stp>BDH|7091798851899406593</stp>
        <tr r="F2140" s="3"/>
      </tp>
      <tp t="s">
        <v>#N/A N/A</v>
        <stp/>
        <stp>BDH|7798263269018206104</stp>
        <tr r="F1531" s="3"/>
      </tp>
      <tp t="s">
        <v>#N/A N/A</v>
        <stp/>
        <stp>BDH|7030805169397589441</stp>
        <tr r="F1546" s="3"/>
      </tp>
      <tp t="s">
        <v>#N/A N/A</v>
        <stp/>
        <stp>BDH|2583154884474957551</stp>
        <tr r="F1811" s="3"/>
      </tp>
      <tp t="s">
        <v>#N/A N/A</v>
        <stp/>
        <stp>BDH|2348994213149944991</stp>
        <tr r="F1249" s="3"/>
      </tp>
      <tp t="s">
        <v>#N/A N/A</v>
        <stp/>
        <stp>BDH|5906156140878432214</stp>
        <tr r="F1467" s="3"/>
      </tp>
      <tp t="s">
        <v>#N/A N/A</v>
        <stp/>
        <stp>BDH|2270041925062298882</stp>
        <tr r="F1390" s="3"/>
      </tp>
      <tp t="s">
        <v>#N/A N/A</v>
        <stp/>
        <stp>BDH|4200962575914739488</stp>
        <tr r="F1609" s="3"/>
      </tp>
      <tp t="s">
        <v>#N/A N/A</v>
        <stp/>
        <stp>BDH|2765404233158953734</stp>
        <tr r="F1780" s="3"/>
      </tp>
      <tp t="s">
        <v>#N/A N/A</v>
        <stp/>
        <stp>BDH|2397629664479890132</stp>
        <tr r="F1475" s="3"/>
      </tp>
      <tp t="s">
        <v>#N/A N/A</v>
        <stp/>
        <stp>BDH|8362962962379182481</stp>
        <tr r="F1315" s="3"/>
      </tp>
      <tp t="s">
        <v>#N/A N/A</v>
        <stp/>
        <stp>BDH|6694392192981565774</stp>
        <tr r="F1354" s="3"/>
      </tp>
      <tp t="s">
        <v>#N/A N/A</v>
        <stp/>
        <stp>BDH|7631452149799533401</stp>
        <tr r="F1723" s="3"/>
      </tp>
      <tp t="s">
        <v>#N/A N/A</v>
        <stp/>
        <stp>BDH|8511705993738227482</stp>
        <tr r="F2172" s="3"/>
      </tp>
      <tp t="s">
        <v>#N/A N/A</v>
        <stp/>
        <stp>BDH|1503667666668968304</stp>
        <tr r="F1452" s="3"/>
      </tp>
      <tp t="s">
        <v>#N/A N/A</v>
        <stp/>
        <stp>BDH|8543617821785044396</stp>
        <tr r="F1558" s="3"/>
      </tp>
      <tp t="s">
        <v>#N/A N/A</v>
        <stp/>
        <stp>BDH|2639453579929207241</stp>
        <tr r="F2153" s="3"/>
      </tp>
      <tp t="s">
        <v>#N/A N/A</v>
        <stp/>
        <stp>BDH|2768274430339948045</stp>
        <tr r="F1620" s="3"/>
      </tp>
      <tp t="s">
        <v>#N/A N/A</v>
        <stp/>
        <stp>BDH|4289492641996137864</stp>
        <tr r="F1409" s="3"/>
      </tp>
      <tp t="s">
        <v>#N/A N/A</v>
        <stp/>
        <stp>BDH|4966479989244809620</stp>
        <tr r="F1528" s="3"/>
      </tp>
      <tp t="s">
        <v>#N/A N/A</v>
        <stp/>
        <stp>BDH|4402224754710295929</stp>
        <tr r="F2110" s="3"/>
      </tp>
      <tp t="s">
        <v>#N/A N/A</v>
        <stp/>
        <stp>BDH|9301522313680242723</stp>
        <tr r="F2121" s="3"/>
      </tp>
      <tp t="s">
        <v>#N/A N/A</v>
        <stp/>
        <stp>BDH|5488683279366358840</stp>
        <tr r="F1879" s="3"/>
      </tp>
      <tp t="s">
        <v>#N/A N/A</v>
        <stp/>
        <stp>BDH|3342725825948240464</stp>
        <tr r="F1937" s="3"/>
      </tp>
      <tp t="s">
        <v>#N/A N/A</v>
        <stp/>
        <stp>BDH|3185579310589647415</stp>
        <tr r="F1831" s="3"/>
        <tr r="F1199" s="3"/>
      </tp>
      <tp t="s">
        <v>#N/A N/A</v>
        <stp/>
        <stp>BDH|1198839784132018901</stp>
        <tr r="F1685" s="3"/>
      </tp>
      <tp t="s">
        <v>#N/A N/A</v>
        <stp/>
        <stp>BDH|8123865029609925117</stp>
        <tr r="F1979" s="3"/>
      </tp>
      <tp t="s">
        <v>#N/A N/A</v>
        <stp/>
        <stp>BDH|3403052716831351927</stp>
        <tr r="F1790" s="3"/>
      </tp>
      <tp t="s">
        <v>#N/A N/A</v>
        <stp/>
        <stp>BDH|9585961838340999949</stp>
        <tr r="F1416" s="3"/>
      </tp>
      <tp t="s">
        <v>#N/A N/A</v>
        <stp/>
        <stp>BDH|7361990468950604222</stp>
        <tr r="F1910" s="3"/>
      </tp>
      <tp t="s">
        <v>#N/A N/A</v>
        <stp/>
        <stp>BDH|6630512709330149984</stp>
        <tr r="F1487" s="3"/>
      </tp>
      <tp t="s">
        <v>#N/A N/A</v>
        <stp/>
        <stp>BDH|4244871875701763003</stp>
        <tr r="F2179" s="3"/>
      </tp>
      <tp t="s">
        <v>#N/A N/A</v>
        <stp/>
        <stp>BDH|9145043581228355306</stp>
        <tr r="F2124" s="3"/>
      </tp>
      <tp t="s">
        <v>#N/A N/A</v>
        <stp/>
        <stp>BDH|6175225325564863898</stp>
        <tr r="F1846" s="3"/>
      </tp>
      <tp t="s">
        <v>#N/A N/A</v>
        <stp/>
        <stp>BDH|3652540219408406589</stp>
        <tr r="F2084" s="3"/>
      </tp>
      <tp t="s">
        <v>#N/A N/A</v>
        <stp/>
        <stp>BDH|9855441907117572099</stp>
        <tr r="F1326" s="3"/>
      </tp>
      <tp t="s">
        <v>#N/A N/A</v>
        <stp/>
        <stp>BDH|9152401583936408917</stp>
        <tr r="F1864" s="3"/>
      </tp>
      <tp t="s">
        <v>#N/A N/A</v>
        <stp/>
        <stp>BDH|3876518616948899501</stp>
        <tr r="F1608" s="3"/>
      </tp>
      <tp t="s">
        <v>#N/A N/A</v>
        <stp/>
        <stp>BDH|4400950483899549636</stp>
        <tr r="F1882" s="3"/>
      </tp>
      <tp t="s">
        <v>#N/A N/A</v>
        <stp/>
        <stp>BDH|6953491029692909856</stp>
        <tr r="F1712" s="3"/>
      </tp>
      <tp t="s">
        <v>#N/A N/A</v>
        <stp/>
        <stp>BDH|2619853395919657057</stp>
        <tr r="F1365" s="3"/>
      </tp>
      <tp t="s">
        <v>#N/A N/A</v>
        <stp/>
        <stp>BDH|3648732967739109080</stp>
        <tr r="F1491" s="3"/>
      </tp>
      <tp t="s">
        <v>#N/A N/A</v>
        <stp/>
        <stp>BDH|9615196410186416402</stp>
        <tr r="F1771" s="3"/>
      </tp>
      <tp t="s">
        <v>#N/A N/A</v>
        <stp/>
        <stp>BDH|3776221322888934059</stp>
        <tr r="F1711" s="3"/>
      </tp>
      <tp t="s">
        <v>#N/A N/A</v>
        <stp/>
        <stp>BDH|1707783916804671845</stp>
        <tr r="F2148" s="3"/>
      </tp>
      <tp t="s">
        <v>#N/A N/A</v>
        <stp/>
        <stp>BDH|9626457904837803142</stp>
        <tr r="F1221" s="3"/>
      </tp>
      <tp t="s">
        <v>#N/A N/A</v>
        <stp/>
        <stp>BDH|5785424829581782935</stp>
        <tr r="F1455" s="3"/>
      </tp>
      <tp t="s">
        <v>#N/A N/A</v>
        <stp/>
        <stp>BDH|5549478429881005933</stp>
        <tr r="F2006" s="3"/>
        <tr r="F1994" s="3"/>
      </tp>
      <tp t="s">
        <v>#N/A N/A</v>
        <stp/>
        <stp>BDH|9589383806083520261</stp>
        <tr r="F1200" s="3"/>
      </tp>
      <tp t="s">
        <v>#N/A N/A</v>
        <stp/>
        <stp>BDH|2046381020228037008</stp>
        <tr r="F2056" s="3"/>
      </tp>
      <tp t="s">
        <v>#N/A N/A</v>
        <stp/>
        <stp>BDH|8017189304862387076</stp>
        <tr r="F1349" s="3"/>
      </tp>
      <tp t="s">
        <v>#N/A N/A</v>
        <stp/>
        <stp>BDH|2441929851333741691</stp>
        <tr r="F1955" s="3"/>
      </tp>
      <tp t="s">
        <v>#N/A N/A</v>
        <stp/>
        <stp>BDH|1977628630549633645</stp>
        <tr r="F1275" s="3"/>
      </tp>
      <tp t="s">
        <v>#N/A N/A</v>
        <stp/>
        <stp>BDH|6025019159891492955</stp>
        <tr r="F1193" s="3"/>
      </tp>
      <tp t="s">
        <v>#N/A N/A</v>
        <stp/>
        <stp>BDH|5196099102477683929</stp>
        <tr r="F1776" s="3"/>
      </tp>
      <tp t="s">
        <v>#N/A N/A</v>
        <stp/>
        <stp>BDH|5777394163923747846</stp>
        <tr r="F1843" s="3"/>
      </tp>
      <tp t="s">
        <v>#N/A N/A</v>
        <stp/>
        <stp>BDH|6988556485972464221</stp>
        <tr r="F1251" s="3"/>
      </tp>
      <tp t="s">
        <v>#N/A N/A</v>
        <stp/>
        <stp>BDH|9615706009424203121</stp>
        <tr r="F1553" s="3"/>
      </tp>
      <tp t="s">
        <v>#N/A N/A</v>
        <stp/>
        <stp>BDH|2129297293973368172</stp>
        <tr r="F1669" s="3"/>
      </tp>
      <tp t="s">
        <v>#N/A N/A</v>
        <stp/>
        <stp>BDH|9223627869271686303</stp>
        <tr r="F1225" s="3"/>
        <tr r="F1618" s="3"/>
      </tp>
      <tp t="s">
        <v>#N/A N/A</v>
        <stp/>
        <stp>BDH|5041503406102096941</stp>
        <tr r="F1823" s="3"/>
      </tp>
      <tp t="s">
        <v>#N/A N/A</v>
        <stp/>
        <stp>BDH|8386097253702917438</stp>
        <tr r="F1555" s="3"/>
      </tp>
      <tp t="s">
        <v>#N/A N/A</v>
        <stp/>
        <stp>BDH|4151412492842123004</stp>
        <tr r="F1522" s="3"/>
      </tp>
      <tp t="s">
        <v>#N/A N/A</v>
        <stp/>
        <stp>BDH|4221810050392306001</stp>
        <tr r="F1261" s="3"/>
      </tp>
      <tp t="s">
        <v>#N/A N/A</v>
        <stp/>
        <stp>BDH|1950993661051215435</stp>
        <tr r="F1184" s="3"/>
      </tp>
      <tp t="s">
        <v>#N/A N/A</v>
        <stp/>
        <stp>BDH|9504282821117418588</stp>
        <tr r="F1174" s="3"/>
      </tp>
      <tp t="s">
        <v>#N/A N/A</v>
        <stp/>
        <stp>BDH|6256755765558425471</stp>
        <tr r="F1841" s="3"/>
      </tp>
      <tp t="s">
        <v>#N/A N/A</v>
        <stp/>
        <stp>BDH|3953078715079981044</stp>
        <tr r="F1576" s="3"/>
      </tp>
      <tp t="s">
        <v>#N/A N/A</v>
        <stp/>
        <stp>BDH|8216458270561638172</stp>
        <tr r="F1764" s="3"/>
      </tp>
      <tp t="s">
        <v>#N/A N/A</v>
        <stp/>
        <stp>BDH|1079412770499271040</stp>
        <tr r="F2060" s="3"/>
        <tr r="F2031" s="3"/>
      </tp>
      <tp t="s">
        <v>#N/A N/A</v>
        <stp/>
        <stp>BDH|5336891469039018977</stp>
        <tr r="F1689" s="3"/>
      </tp>
      <tp t="s">
        <v>#N/A N/A</v>
        <stp/>
        <stp>BDH|7961717295057907515</stp>
        <tr r="F1282" s="3"/>
      </tp>
      <tp t="s">
        <v>#N/A N/A</v>
        <stp/>
        <stp>BDH|7539625682493445141</stp>
        <tr r="F1908" s="3"/>
      </tp>
      <tp t="s">
        <v>#N/A N/A</v>
        <stp/>
        <stp>BDH|8908787620273746538</stp>
        <tr r="F1985" s="3"/>
      </tp>
      <tp t="s">
        <v>#N/A N/A</v>
        <stp/>
        <stp>BDH|5646837730489747388</stp>
        <tr r="F2021" s="3"/>
      </tp>
      <tp t="s">
        <v>#N/A N/A</v>
        <stp/>
        <stp>BDH|6461589688278991768</stp>
        <tr r="F1663" s="3"/>
      </tp>
      <tp t="s">
        <v>#N/A N/A</v>
        <stp/>
        <stp>BDH|2341583325705241441</stp>
        <tr r="F1493" s="3"/>
      </tp>
      <tp t="s">
        <v>#N/A N/A</v>
        <stp/>
        <stp>BDH|3706155809083511563</stp>
        <tr r="F1462" s="3"/>
      </tp>
      <tp t="s">
        <v>#N/A N/A</v>
        <stp/>
        <stp>BDH|5275940380063726385</stp>
        <tr r="F1140" s="3"/>
      </tp>
      <tp t="s">
        <v>#N/A N/A</v>
        <stp/>
        <stp>BDH|6151979798760498235</stp>
        <tr r="F1997" s="3"/>
      </tp>
      <tp t="s">
        <v>#N/A N/A</v>
        <stp/>
        <stp>BDH|9156130470349957229</stp>
        <tr r="F2063" s="3"/>
      </tp>
      <tp t="s">
        <v>#N/A N/A</v>
        <stp/>
        <stp>BDH|4890824281883153340</stp>
        <tr r="F1148" s="3"/>
      </tp>
      <tp t="s">
        <v>#N/A N/A</v>
        <stp/>
        <stp>BDH|3553659674743945535</stp>
        <tr r="F1605" s="3"/>
      </tp>
      <tp t="s">
        <v>#N/A N/A</v>
        <stp/>
        <stp>BDH|7576612945892956379</stp>
        <tr r="F1187" s="3"/>
      </tp>
      <tp t="s">
        <v>#N/A N/A</v>
        <stp/>
        <stp>BDH|1981716571876969320</stp>
        <tr r="F2055" s="3"/>
        <tr r="F2022" s="3"/>
      </tp>
      <tp t="s">
        <v>#N/A N/A</v>
        <stp/>
        <stp>BDH|3628511757062136533</stp>
        <tr r="F1289" s="3"/>
      </tp>
      <tp t="s">
        <v>#N/A N/A</v>
        <stp/>
        <stp>BDH|1446822195153723760</stp>
        <tr r="F1656" s="3"/>
      </tp>
      <tp t="s">
        <v>#N/A N/A</v>
        <stp/>
        <stp>BDH|3363018902575650249</stp>
        <tr r="F1503" s="3"/>
      </tp>
      <tp t="s">
        <v>#N/A N/A</v>
        <stp/>
        <stp>BDH|2198248411140514538</stp>
        <tr r="F1847" s="3"/>
      </tp>
      <tp t="s">
        <v>#N/A N/A</v>
        <stp/>
        <stp>BDH|8655120138659716798</stp>
        <tr r="F2040" s="3"/>
      </tp>
      <tp t="s">
        <v>#N/A N/A</v>
        <stp/>
        <stp>BDH|5720265609380219399</stp>
        <tr r="F2126" s="3"/>
      </tp>
      <tp t="s">
        <v>#N/A N/A</v>
        <stp/>
        <stp>BDH|7287131592322388913</stp>
        <tr r="F1912" s="3"/>
      </tp>
      <tp t="s">
        <v>#N/A N/A</v>
        <stp/>
        <stp>BDH|8240155576733672964</stp>
        <tr r="F2169" s="3"/>
      </tp>
      <tp t="s">
        <v>#N/A N/A</v>
        <stp/>
        <stp>BDH|4383316871892624649</stp>
        <tr r="F1967" s="3"/>
      </tp>
      <tp t="s">
        <v>#N/A N/A</v>
        <stp/>
        <stp>BDH|8743638636168005133</stp>
        <tr r="F2180" s="3"/>
        <tr r="F2085" s="3"/>
      </tp>
      <tp t="s">
        <v>#N/A N/A</v>
        <stp/>
        <stp>BDH|9648734647488214662</stp>
        <tr r="F1340" s="3"/>
      </tp>
      <tp t="s">
        <v>#N/A N/A</v>
        <stp/>
        <stp>BDH|3245645403659213810</stp>
        <tr r="F2114" s="3"/>
      </tp>
      <tp t="s">
        <v>#N/A N/A</v>
        <stp/>
        <stp>BDH|6546578825402528741</stp>
        <tr r="F2183" s="3"/>
      </tp>
      <tp t="s">
        <v>#N/A N/A</v>
        <stp/>
        <stp>BDH|7927565180849102792</stp>
        <tr r="F1386" s="3"/>
      </tp>
      <tp t="s">
        <v>#N/A N/A</v>
        <stp/>
        <stp>BDH|8891579876519706799</stp>
        <tr r="F1894" s="3"/>
      </tp>
      <tp t="s">
        <v>#N/A N/A</v>
        <stp/>
        <stp>BDH|3358112057944348728</stp>
        <tr r="F2017" s="3"/>
      </tp>
      <tp t="s">
        <v>#N/A N/A</v>
        <stp/>
        <stp>BDH|6429670480928130462</stp>
        <tr r="F2146" s="3"/>
      </tp>
      <tp t="s">
        <v>#N/A N/A</v>
        <stp/>
        <stp>BDH|8570401691664799577</stp>
        <tr r="F1222" s="3"/>
      </tp>
      <tp t="s">
        <v>#N/A N/A</v>
        <stp/>
        <stp>BDH|7048253517103297341</stp>
        <tr r="F1258" s="3"/>
      </tp>
      <tp t="s">
        <v>#N/A N/A</v>
        <stp/>
        <stp>BDH|7171573422494723062</stp>
        <tr r="F1876" s="3"/>
      </tp>
      <tp t="s">
        <v>#N/A N/A</v>
        <stp/>
        <stp>BDH|5150478836007669138</stp>
        <tr r="F1853" s="3"/>
      </tp>
      <tp t="s">
        <v>#N/A N/A</v>
        <stp/>
        <stp>BDH|5634152438070797395</stp>
        <tr r="F1965" s="3"/>
      </tp>
      <tp t="s">
        <v>#N/A N/A</v>
        <stp/>
        <stp>BDH|6763541351232601019</stp>
        <tr r="F1730" s="3"/>
      </tp>
      <tp t="s">
        <v>#N/A N/A</v>
        <stp/>
        <stp>BDH|7801131247327434022</stp>
        <tr r="F1988" s="3"/>
      </tp>
      <tp t="s">
        <v>#N/A N/A</v>
        <stp/>
        <stp>BDH|2107597728392878221</stp>
        <tr r="F1734" s="3"/>
      </tp>
      <tp t="s">
        <v>#N/A N/A</v>
        <stp/>
        <stp>BDH|5184920772556987827</stp>
        <tr r="F1348" s="3"/>
      </tp>
      <tp t="s">
        <v>#N/A N/A</v>
        <stp/>
        <stp>BDH|5170714198919354712</stp>
        <tr r="F1825" s="3"/>
      </tp>
      <tp t="s">
        <v>#N/A N/A</v>
        <stp/>
        <stp>BDH|5738653148696427454</stp>
        <tr r="F1236" s="3"/>
      </tp>
      <tp t="s">
        <v>#N/A N/A</v>
        <stp/>
        <stp>BDH|1283789964021778425</stp>
        <tr r="F1594" s="3"/>
      </tp>
      <tp t="s">
        <v>#N/A N/A</v>
        <stp/>
        <stp>BDH|8906376843382669807</stp>
        <tr r="F1292" s="3"/>
      </tp>
      <tp t="s">
        <v>#N/A N/A</v>
        <stp/>
        <stp>BDH|5913235644317519100</stp>
        <tr r="F1228" s="3"/>
      </tp>
      <tp t="s">
        <v>#N/A N/A</v>
        <stp/>
        <stp>BDH|6059508121623897702</stp>
        <tr r="F1922" s="3"/>
        <tr r="F2011" s="3"/>
        <tr r="F1954" s="3"/>
      </tp>
      <tp t="s">
        <v>#N/A N/A</v>
        <stp/>
        <stp>BDH|3392273956788997921</stp>
        <tr r="F1915" s="3"/>
      </tp>
      <tp t="s">
        <v>#N/A N/A</v>
        <stp/>
        <stp>BDH|3741407485343862947</stp>
        <tr r="F1836" s="3"/>
      </tp>
      <tp t="s">
        <v>#N/A N/A</v>
        <stp/>
        <stp>BDH|7981460874392285374</stp>
        <tr r="F1453" s="3"/>
      </tp>
      <tp t="s">
        <v>#N/A N/A</v>
        <stp/>
        <stp>BDH|2174153208461047736</stp>
        <tr r="F1389" s="3"/>
      </tp>
      <tp t="s">
        <v>#N/A N/A</v>
        <stp/>
        <stp>BDH|7780419907666851069</stp>
        <tr r="F2167" s="3"/>
      </tp>
      <tp t="s">
        <v>#N/A N/A</v>
        <stp/>
        <stp>BDH|9039393977049561178</stp>
        <tr r="F1619" s="3"/>
      </tp>
      <tp t="s">
        <v>#N/A N/A</v>
        <stp/>
        <stp>BDH|3823249975962244197</stp>
        <tr r="F1505" s="3"/>
      </tp>
      <tp t="s">
        <v>#N/A N/A</v>
        <stp/>
        <stp>BDH|1303451224930873284</stp>
        <tr r="F1552" s="3"/>
      </tp>
      <tp t="s">
        <v>#N/A N/A</v>
        <stp/>
        <stp>BDH|1389530338246893429</stp>
        <tr r="F1137" s="3"/>
      </tp>
      <tp t="s">
        <v>#N/A N/A</v>
        <stp/>
        <stp>BDH|6250732772411648266</stp>
        <tr r="F1521" s="3"/>
      </tp>
      <tp t="s">
        <v>#N/A N/A</v>
        <stp/>
        <stp>BDH|3748428370961169473</stp>
        <tr r="F1375" s="3"/>
      </tp>
      <tp t="s">
        <v>#N/A N/A</v>
        <stp/>
        <stp>BDH|5354643316560332717</stp>
        <tr r="F1601" s="3"/>
      </tp>
      <tp t="s">
        <v>#N/A N/A</v>
        <stp/>
        <stp>BDH|8070051466179320238</stp>
        <tr r="F1736" s="3"/>
      </tp>
      <tp t="s">
        <v>#N/A N/A</v>
        <stp/>
        <stp>BDH|4073673502484003350</stp>
        <tr r="F1309" s="3"/>
      </tp>
      <tp t="s">
        <v>#N/A N/A</v>
        <stp/>
        <stp>BDH|6137257832336529422</stp>
        <tr r="F1777" s="3"/>
      </tp>
      <tp t="s">
        <v>#N/A N/A</v>
        <stp/>
        <stp>BDH|2458147422161523566</stp>
        <tr r="F2027" s="3"/>
      </tp>
      <tp t="s">
        <v>#N/A N/A</v>
        <stp/>
        <stp>BDH|7974492302391232718</stp>
        <tr r="F1559" s="3"/>
      </tp>
      <tp t="s">
        <v>#N/A N/A</v>
        <stp/>
        <stp>BDH|7756822563159452542</stp>
        <tr r="F1138" s="3"/>
      </tp>
      <tp t="s">
        <v>#N/A N/A</v>
        <stp/>
        <stp>BDH|6499687479450260219</stp>
        <tr r="F1515" s="3"/>
      </tp>
      <tp t="s">
        <v>#N/A N/A</v>
        <stp/>
        <stp>BDH|1771213738767954224</stp>
        <tr r="F1799" s="3"/>
      </tp>
      <tp t="s">
        <v>#N/A N/A</v>
        <stp/>
        <stp>BDH|8567741692413469027</stp>
        <tr r="F1250" s="3"/>
      </tp>
      <tp t="s">
        <v>#N/A N/A</v>
        <stp/>
        <stp>BDH|8580390189906661061</stp>
        <tr r="F1179" s="3"/>
      </tp>
      <tp t="s">
        <v>#N/A N/A</v>
        <stp/>
        <stp>BDH|64991348264602119</stp>
        <tr r="F1805" s="3"/>
      </tp>
      <tp t="s">
        <v>#N/A N/A</v>
        <stp/>
        <stp>BDH|10841817684972515</stp>
        <tr r="F1341" s="3"/>
      </tp>
      <tp t="s">
        <v>#N/A N/A</v>
        <stp/>
        <stp>BDH|6952632574084310571</stp>
        <tr r="F1547" s="3"/>
      </tp>
      <tp t="s">
        <v>#N/A N/A</v>
        <stp/>
        <stp>BDH|9680846583248346786</stp>
        <tr r="F1519" s="3"/>
      </tp>
      <tp t="s">
        <v>#N/A N/A</v>
        <stp/>
        <stp>BDH|2637181555764345460</stp>
        <tr r="F1903" s="3"/>
      </tp>
      <tp t="s">
        <v>#N/A N/A</v>
        <stp/>
        <stp>BDH|2722717631369107980</stp>
        <tr r="F1830" s="3"/>
      </tp>
      <tp t="s">
        <v>#N/A N/A</v>
        <stp/>
        <stp>BDH|4869890904609864338</stp>
        <tr r="F1378" s="3"/>
      </tp>
      <tp t="s">
        <v>#N/A N/A</v>
        <stp/>
        <stp>BDH|1313908938149648420</stp>
        <tr r="F1398" s="3"/>
      </tp>
      <tp t="s">
        <v>#N/A N/A</v>
        <stp/>
        <stp>BDH|2137906354988815018</stp>
        <tr r="F1350" s="3"/>
      </tp>
      <tp t="s">
        <v>#N/A N/A</v>
        <stp/>
        <stp>BDH|4514623056752554387</stp>
        <tr r="F1263" s="3"/>
      </tp>
      <tp t="s">
        <v>#N/A N/A</v>
        <stp/>
        <stp>BDH|1626686435664614600</stp>
        <tr r="F1573" s="3"/>
      </tp>
      <tp t="s">
        <v>#N/A N/A</v>
        <stp/>
        <stp>BDH|6020107895710003888</stp>
        <tr r="F1442" s="3"/>
      </tp>
      <tp t="s">
        <v>#N/A N/A</v>
        <stp/>
        <stp>BDH|1094438488989351252</stp>
        <tr r="F2109" s="3"/>
      </tp>
      <tp t="s">
        <v>#N/A N/A</v>
        <stp/>
        <stp>BDH|7436859020572676959</stp>
        <tr r="F1895" s="3"/>
      </tp>
      <tp t="s">
        <v>#N/A N/A</v>
        <stp/>
        <stp>BDH|7078705371038719946</stp>
        <tr r="F1457" s="3"/>
      </tp>
      <tp t="s">
        <v>#N/A N/A</v>
        <stp/>
        <stp>BDH|5250524706321038755</stp>
        <tr r="F1160" s="3"/>
      </tp>
      <tp t="s">
        <v>#N/A N/A</v>
        <stp/>
        <stp>BDH|9605507854768616778</stp>
        <tr r="F1900" s="3"/>
      </tp>
      <tp t="s">
        <v>#N/A N/A</v>
        <stp/>
        <stp>BDH|3987386786837002948</stp>
        <tr r="F1287" s="3"/>
      </tp>
      <tp t="s">
        <v>#N/A N/A</v>
        <stp/>
        <stp>BDH|2650136735470124612</stp>
        <tr r="F1744" s="3"/>
      </tp>
      <tp t="s">
        <v>#N/A N/A</v>
        <stp/>
        <stp>BDH|1586423922911036057</stp>
        <tr r="F1431" s="3"/>
      </tp>
      <tp t="s">
        <v>#N/A N/A</v>
        <stp/>
        <stp>BDH|2180346476299053931</stp>
        <tr r="F1626" s="3"/>
      </tp>
      <tp t="s">
        <v>#N/A N/A</v>
        <stp/>
        <stp>BDH|9527318562528195266</stp>
        <tr r="F1681" s="3"/>
      </tp>
      <tp t="s">
        <v>#N/A N/A</v>
        <stp/>
        <stp>BDH|5993465956017696590</stp>
        <tr r="F1651" s="3"/>
      </tp>
      <tp t="s">
        <v>#N/A N/A</v>
        <stp/>
        <stp>BDH|5992510637850900516</stp>
        <tr r="F1538" s="3"/>
      </tp>
      <tp t="s">
        <v>#N/A N/A</v>
        <stp/>
        <stp>BDH|8131913614744662257</stp>
        <tr r="F2165" s="3"/>
      </tp>
      <tp t="s">
        <v>#N/A N/A</v>
        <stp/>
        <stp>BDH|1948805159758317248</stp>
        <tr r="F2141" s="3"/>
      </tp>
      <tp t="s">
        <v>#N/A N/A</v>
        <stp/>
        <stp>BDH|8242859166544563430</stp>
        <tr r="F1334" s="3"/>
      </tp>
      <tp t="s">
        <v>#N/A N/A</v>
        <stp/>
        <stp>BDH|9210175492427684054</stp>
        <tr r="F1461" s="3"/>
      </tp>
      <tp t="s">
        <v>#N/A N/A</v>
        <stp/>
        <stp>BDH|6459690320792926614</stp>
        <tr r="F1696" s="3"/>
        <tr r="F1169" s="3"/>
      </tp>
      <tp t="s">
        <v>#N/A N/A</v>
        <stp/>
        <stp>BDH|1131020016713169515</stp>
        <tr r="F1404" s="3"/>
      </tp>
      <tp t="s">
        <v>#N/A N/A</v>
        <stp/>
        <stp>BDH|3905118703975571046</stp>
        <tr r="F1351" s="3"/>
      </tp>
      <tp t="s">
        <v>#N/A N/A</v>
        <stp/>
        <stp>BDH|1274873749382716814</stp>
        <tr r="F1146" s="3"/>
      </tp>
      <tp t="s">
        <v>#N/A N/A</v>
        <stp/>
        <stp>BDH|4175543929943640704</stp>
        <tr r="F1192" s="3"/>
      </tp>
      <tp t="s">
        <v>#N/A N/A</v>
        <stp/>
        <stp>BDH|1091942915689338799</stp>
        <tr r="F1850" s="3"/>
      </tp>
      <tp t="s">
        <v>#N/A N/A</v>
        <stp/>
        <stp>BDH|4588248219161643153</stp>
        <tr r="F1761" s="3"/>
      </tp>
      <tp t="s">
        <v>#N/A N/A</v>
        <stp/>
        <stp>BDH|8894855266088967991</stp>
        <tr r="F1703" s="3"/>
      </tp>
      <tp t="s">
        <v>#N/A N/A</v>
        <stp/>
        <stp>BDH|6917462230981788713</stp>
        <tr r="F1201" s="3"/>
      </tp>
      <tp t="s">
        <v>#N/A N/A</v>
        <stp/>
        <stp>BDH|6441381059401546690</stp>
        <tr r="F1796" s="3"/>
      </tp>
      <tp t="s">
        <v>#N/A N/A</v>
        <stp/>
        <stp>BDH|3726610214264874743</stp>
        <tr r="F1320" s="3"/>
      </tp>
      <tp t="s">
        <v>#N/A N/A</v>
        <stp/>
        <stp>BDH|8370925349024463636</stp>
        <tr r="F1755" s="3"/>
      </tp>
      <tp t="s">
        <v>#N/A N/A</v>
        <stp/>
        <stp>BDH|3018132742282906378</stp>
        <tr r="F1947" s="3"/>
      </tp>
      <tp t="s">
        <v>#N/A N/A</v>
        <stp/>
        <stp>BDH|7881625390699096666</stp>
        <tr r="F1914" s="3"/>
      </tp>
      <tp t="s">
        <v>#N/A N/A</v>
        <stp/>
        <stp>BDH|4174541876879605892</stp>
        <tr r="F2044" s="3"/>
      </tp>
      <tp t="s">
        <v>#N/A N/A</v>
        <stp/>
        <stp>BDH|7205049846455459196</stp>
        <tr r="F1657" s="3"/>
      </tp>
      <tp t="s">
        <v>#N/A N/A</v>
        <stp/>
        <stp>BDH|7429783699788115666</stp>
        <tr r="F1746" s="3"/>
      </tp>
      <tp t="s">
        <v>#N/A N/A</v>
        <stp/>
        <stp>BDH|8746404161385352875</stp>
        <tr r="F1933" s="3"/>
      </tp>
      <tp t="s">
        <v>#N/A N/A</v>
        <stp/>
        <stp>BDH|6763373715852302144</stp>
        <tr r="F1819" s="3"/>
      </tp>
      <tp t="s">
        <v>#N/A N/A</v>
        <stp/>
        <stp>BDH|4824346421526642487</stp>
        <tr r="F1566" s="3"/>
      </tp>
      <tp t="s">
        <v>#N/A N/A</v>
        <stp/>
        <stp>BDH|8301895878786199600</stp>
        <tr r="F1451" s="3"/>
      </tp>
      <tp t="s">
        <v>#N/A N/A</v>
        <stp/>
        <stp>BDH|1689910230539733531</stp>
        <tr r="F2003" s="3"/>
        <tr r="F1970" s="3"/>
      </tp>
      <tp t="s">
        <v>#N/A N/A</v>
        <stp/>
        <stp>BDH|8638906473324313560</stp>
        <tr r="F1649" s="3"/>
      </tp>
      <tp t="s">
        <v>#N/A N/A</v>
        <stp/>
        <stp>BDH|2843078878283567124</stp>
        <tr r="F2150" s="3"/>
      </tp>
      <tp t="s">
        <v>#N/A N/A</v>
        <stp/>
        <stp>BDH|1504046434251340475</stp>
        <tr r="F1321" s="3"/>
      </tp>
      <tp t="s">
        <v>#N/A N/A</v>
        <stp/>
        <stp>BDH|5878987887227401450</stp>
        <tr r="F1278" s="3"/>
      </tp>
      <tp t="s">
        <v>#N/A N/A</v>
        <stp/>
        <stp>BDH|4981084927095554455</stp>
        <tr r="F1911" s="3"/>
      </tp>
      <tp t="s">
        <v>#N/A N/A</v>
        <stp/>
        <stp>BDH|8349830862088756922</stp>
        <tr r="F1162" s="3"/>
      </tp>
      <tp t="s">
        <v>#N/A N/A</v>
        <stp/>
        <stp>BDH|1602679416388171919</stp>
        <tr r="F1391" s="3"/>
      </tp>
      <tp t="s">
        <v>#N/A N/A</v>
        <stp/>
        <stp>BDH|1018717215441173112</stp>
        <tr r="F1901" s="3"/>
      </tp>
      <tp t="s">
        <v>#N/A N/A</v>
        <stp/>
        <stp>BDH|6346076221177328430</stp>
        <tr r="F2115" s="3"/>
      </tp>
      <tp t="s">
        <v>#N/A N/A</v>
        <stp/>
        <stp>BDH|2157780183638707281</stp>
        <tr r="F1254" s="3"/>
      </tp>
      <tp t="s">
        <v>#N/A N/A</v>
        <stp/>
        <stp>BDH|4982392251674374179</stp>
        <tr r="F2024" s="3"/>
        <tr r="F2039" s="3"/>
      </tp>
      <tp t="s">
        <v>#N/A N/A</v>
        <stp/>
        <stp>BDH|4322167993534948855</stp>
        <tr r="F1865" s="3"/>
      </tp>
      <tp t="s">
        <v>#N/A N/A</v>
        <stp/>
        <stp>BDH|7910523360096151213</stp>
        <tr r="F1410" s="3"/>
      </tp>
      <tp t="s">
        <v>#N/A N/A</v>
        <stp/>
        <stp>BDH|8851975271175338350</stp>
        <tr r="F1150" s="3"/>
      </tp>
      <tp t="s">
        <v>#N/A N/A</v>
        <stp/>
        <stp>BDH|3324985684750660211</stp>
        <tr r="F1290" s="3"/>
      </tp>
      <tp t="s">
        <v>#N/A N/A</v>
        <stp/>
        <stp>BDH|5048421001986865731</stp>
        <tr r="F1557" s="3"/>
      </tp>
      <tp t="s">
        <v>#N/A N/A</v>
        <stp/>
        <stp>BDH|9764894256894156006</stp>
        <tr r="F1377" s="3"/>
      </tp>
      <tp t="s">
        <v>#N/A N/A</v>
        <stp/>
        <stp>BDH|6022460489798932287</stp>
        <tr r="F1277" s="3"/>
      </tp>
      <tp t="s">
        <v>#N/A N/A</v>
        <stp/>
        <stp>BDH|9821829147016641359</stp>
        <tr r="F1526" s="3"/>
      </tp>
      <tp t="s">
        <v>#N/A N/A</v>
        <stp/>
        <stp>BDH|8449527518729271528</stp>
        <tr r="F1949" s="3"/>
      </tp>
      <tp t="s">
        <v>#N/A N/A</v>
        <stp/>
        <stp>BDH|5864147816422419713</stp>
        <tr r="F1686" s="3"/>
      </tp>
      <tp t="s">
        <v>#N/A N/A</v>
        <stp/>
        <stp>BDH|5336232138377397340</stp>
        <tr r="F1504" s="3"/>
      </tp>
      <tp t="s">
        <v>#N/A N/A</v>
        <stp/>
        <stp>BDH|1894201867462150713</stp>
        <tr r="F1408" s="3"/>
      </tp>
      <tp t="s">
        <v>#N/A N/A</v>
        <stp/>
        <stp>BDH|1903271476874329047</stp>
        <tr r="F1724" s="3"/>
      </tp>
      <tp t="s">
        <v>#N/A N/A</v>
        <stp/>
        <stp>BDH|5535040533447727197</stp>
        <tr r="F2168" s="3"/>
      </tp>
      <tp t="s">
        <v>#N/A N/A</v>
        <stp/>
        <stp>BDH|2605501545051601295</stp>
        <tr r="F2086" s="3"/>
      </tp>
      <tp t="s">
        <v>#N/A N/A</v>
        <stp/>
        <stp>BDH|7810617269460443780</stp>
        <tr r="F1982" s="3"/>
      </tp>
      <tp t="s">
        <v>#N/A N/A</v>
        <stp/>
        <stp>BDH|8003786168339436088</stp>
        <tr r="F2064" s="3"/>
        <tr r="F2037" s="3"/>
      </tp>
      <tp t="s">
        <v>#N/A N/A</v>
        <stp/>
        <stp>BDH|4307482318506810782</stp>
        <tr r="F1815" s="3"/>
      </tp>
      <tp t="s">
        <v>#N/A N/A</v>
        <stp/>
        <stp>BDH|2724605132646646108</stp>
        <tr r="F1402" s="3"/>
      </tp>
      <tp t="s">
        <v>#N/A N/A</v>
        <stp/>
        <stp>BDH|1642169141180181405</stp>
        <tr r="F1597" s="3"/>
      </tp>
      <tp t="s">
        <v>#N/A N/A</v>
        <stp/>
        <stp>BDH|3790868502732095933</stp>
        <tr r="F1523" s="3"/>
      </tp>
      <tp t="s">
        <v>#N/A N/A</v>
        <stp/>
        <stp>BDH|7583011862285974491</stp>
        <tr r="F1808" s="3"/>
      </tp>
      <tp t="s">
        <v>#N/A N/A</v>
        <stp/>
        <stp>BDH|5952744590523202898</stp>
        <tr r="F1870" s="3"/>
      </tp>
      <tp t="s">
        <v>#N/A N/A</v>
        <stp/>
        <stp>BDH|8070015233218688326</stp>
        <tr r="F2094" s="3"/>
      </tp>
      <tp t="s">
        <v>#N/A N/A</v>
        <stp/>
        <stp>BDH|5534678421414459503</stp>
        <tr r="F1513" s="3"/>
      </tp>
      <tp t="s">
        <v>#N/A N/A</v>
        <stp/>
        <stp>BDH|1162471682199998491</stp>
        <tr r="F1316" s="3"/>
      </tp>
      <tp t="s">
        <v>#N/A N/A</v>
        <stp/>
        <stp>BDH|1101428545282724342</stp>
        <tr r="F1423" s="3"/>
      </tp>
      <tp t="s">
        <v>#N/A N/A</v>
        <stp/>
        <stp>BDH|9981352891804303656</stp>
        <tr r="F1346" s="3"/>
      </tp>
      <tp t="s">
        <v>#N/A N/A</v>
        <stp/>
        <stp>BDH|6675328414567364286</stp>
        <tr r="F1247" s="3"/>
      </tp>
      <tp t="s">
        <v>#N/A N/A</v>
        <stp/>
        <stp>BDH|4313088656125600505</stp>
        <tr r="F1602" s="3"/>
      </tp>
      <tp t="s">
        <v>#N/A N/A</v>
        <stp/>
        <stp>BDH|2624842400059993223</stp>
        <tr r="F2069" s="3"/>
      </tp>
      <tp t="s">
        <v>#N/A N/A</v>
        <stp/>
        <stp>BDH|5799463521541187389</stp>
        <tr r="F1923" s="3"/>
      </tp>
      <tp t="s">
        <v>#N/A N/A</v>
        <stp/>
        <stp>BDH|3374358458274325036</stp>
        <tr r="F1144" s="3"/>
      </tp>
      <tp t="s">
        <v>#N/A N/A</v>
        <stp/>
        <stp>BDH|3761481733960376509</stp>
        <tr r="F1343" s="3"/>
      </tp>
      <tp t="s">
        <v>#N/A N/A</v>
        <stp/>
        <stp>BDH|1822821090655487419</stp>
        <tr r="F1436" s="3"/>
      </tp>
      <tp t="s">
        <v>#N/A N/A</v>
        <stp/>
        <stp>BDH|8941928065825922380</stp>
        <tr r="F1728" s="3"/>
      </tp>
      <tp t="s">
        <v>#N/A N/A</v>
        <stp/>
        <stp>BDH|2774547917397295095</stp>
        <tr r="F1706" s="3"/>
      </tp>
      <tp t="s">
        <v>#N/A N/A</v>
        <stp/>
        <stp>BDH|1090437985178274489</stp>
        <tr r="F1306" s="3"/>
      </tp>
      <tp t="s">
        <v>#N/A N/A</v>
        <stp/>
        <stp>BDH|3660687463717732561</stp>
        <tr r="F1987" s="3"/>
      </tp>
      <tp t="s">
        <v>#N/A N/A</v>
        <stp/>
        <stp>BDH|3624037359583740473</stp>
        <tr r="F1170" s="3"/>
      </tp>
      <tp t="s">
        <v>#N/A N/A</v>
        <stp/>
        <stp>BDH|2444568868230427025</stp>
        <tr r="F2164" s="3"/>
      </tp>
      <tp t="s">
        <v>#N/A N/A</v>
        <stp/>
        <stp>BDH|6457770106826943602</stp>
        <tr r="F1600" s="3"/>
      </tp>
      <tp t="s">
        <v>#N/A N/A</v>
        <stp/>
        <stp>BDH|4898994873613997867</stp>
        <tr r="F1139" s="3"/>
      </tp>
      <tp t="s">
        <v>#N/A N/A</v>
        <stp/>
        <stp>BDH|6590565548160302651</stp>
        <tr r="F1325" s="3"/>
      </tp>
      <tp t="s">
        <v>#N/A N/A</v>
        <stp/>
        <stp>BDH|6505224497239441563</stp>
        <tr r="F1622" s="3"/>
      </tp>
      <tp t="s">
        <v>#N/A N/A</v>
        <stp/>
        <stp>BDH|4242843261459030250</stp>
        <tr r="F1888" s="3"/>
      </tp>
      <tp t="s">
        <v>#N/A N/A</v>
        <stp/>
        <stp>BDH|2415339006941562165</stp>
        <tr r="F1885" s="3"/>
      </tp>
      <tp t="s">
        <v>#N/A N/A</v>
        <stp/>
        <stp>BDH|7260360103301067446</stp>
        <tr r="F1194" s="3"/>
      </tp>
      <tp t="s">
        <v>#N/A N/A</v>
        <stp/>
        <stp>BDH|1929017528980781240</stp>
        <tr r="F1203" s="3"/>
      </tp>
      <tp t="s">
        <v>#N/A N/A</v>
        <stp/>
        <stp>BDH|1128220862526300225</stp>
        <tr r="F1270" s="3"/>
      </tp>
      <tp t="s">
        <v>#N/A N/A</v>
        <stp/>
        <stp>BDH|5304226454275026653</stp>
        <tr r="F1874" s="3"/>
      </tp>
      <tp t="s">
        <v>#N/A N/A</v>
        <stp/>
        <stp>BDH|1411708791477488910</stp>
        <tr r="F1264" s="3"/>
      </tp>
      <tp t="s">
        <v>#N/A N/A</v>
        <stp/>
        <stp>BDH|4302202664232656312</stp>
        <tr r="F1863" s="3"/>
      </tp>
      <tp t="s">
        <v>#N/A N/A</v>
        <stp/>
        <stp>BDH|2064914972929675449</stp>
        <tr r="F1886" s="3"/>
      </tp>
      <tp t="s">
        <v>#N/A N/A</v>
        <stp/>
        <stp>BDH|6026233884155503837</stp>
        <tr r="F1779" s="3"/>
      </tp>
      <tp t="s">
        <v>#N/A N/A</v>
        <stp/>
        <stp>BDH|5517443810569372836</stp>
        <tr r="F1474" s="3"/>
      </tp>
      <tp t="s">
        <v>#N/A N/A</v>
        <stp/>
        <stp>BDH|2899176839219561820</stp>
        <tr r="F1307" s="3"/>
      </tp>
      <tp t="s">
        <v>#N/A N/A</v>
        <stp/>
        <stp>BDH|4910004021065837218</stp>
        <tr r="F1902" s="3"/>
      </tp>
      <tp t="s">
        <v>#N/A N/A</v>
        <stp/>
        <stp>BDH|9087090699947270646</stp>
        <tr r="F1871" s="3"/>
      </tp>
      <tp t="s">
        <v>#N/A N/A</v>
        <stp/>
        <stp>BDH|9147948420337266416</stp>
        <tr r="F1361" s="3"/>
      </tp>
      <tp t="s">
        <v>#N/A N/A</v>
        <stp/>
        <stp>BDH|9730783599565290331</stp>
        <tr r="F1142" s="3"/>
      </tp>
      <tp t="s">
        <v>#N/A N/A</v>
        <stp/>
        <stp>BDH|2517276841072619717</stp>
        <tr r="F2147" s="3"/>
      </tp>
      <tp t="s">
        <v>#N/A N/A</v>
        <stp/>
        <stp>BDH|7779183578979424974</stp>
        <tr r="F1541" s="3"/>
      </tp>
      <tp t="s">
        <v>#N/A N/A</v>
        <stp/>
        <stp>BDH|3354437204514102203</stp>
        <tr r="F1990" s="3"/>
      </tp>
      <tp t="s">
        <v>#N/A N/A</v>
        <stp/>
        <stp>BDH|4547880983654214195</stp>
        <tr r="F1580" s="3"/>
      </tp>
      <tp t="s">
        <v>#N/A N/A</v>
        <stp/>
        <stp>BDH|5561202903432471785</stp>
        <tr r="F1366" s="3"/>
      </tp>
      <tp t="s">
        <v>#N/A N/A</v>
        <stp/>
        <stp>BDH|8400484080146469028</stp>
        <tr r="F1976" s="3"/>
      </tp>
      <tp t="s">
        <v>#N/A N/A</v>
        <stp/>
        <stp>BDH|8775925836396968610</stp>
        <tr r="F1506" s="3"/>
      </tp>
      <tp t="s">
        <v>#N/A N/A</v>
        <stp/>
        <stp>BDH|5393775811753835252</stp>
        <tr r="C2208" s="3"/>
      </tp>
      <tp t="s">
        <v>#N/A N/A</v>
        <stp/>
        <stp>BDH|2977324306915723638</stp>
        <tr r="F1294" s="3"/>
      </tp>
      <tp t="s">
        <v>#N/A N/A</v>
        <stp/>
        <stp>BDH|9396921138764162569</stp>
        <tr r="F1647" s="3"/>
        <tr r="F1628" s="3"/>
      </tp>
      <tp t="s">
        <v>#N/A N/A</v>
        <stp/>
        <stp>BDH|2236252219691067201</stp>
        <tr r="F1598" s="3"/>
      </tp>
      <tp t="s">
        <v>#N/A N/A</v>
        <stp/>
        <stp>BDH|6884007254848068927</stp>
        <tr r="F1953" s="3"/>
      </tp>
      <tp t="s">
        <v>#N/A N/A</v>
        <stp/>
        <stp>BDH|3516900699501718044</stp>
        <tr r="F1999" s="3"/>
      </tp>
      <tp t="s">
        <v>#N/A N/A</v>
        <stp/>
        <stp>BDH|9877206593829186957</stp>
        <tr r="F2033" s="3"/>
      </tp>
      <tp t="s">
        <v>#N/A N/A</v>
        <stp/>
        <stp>BDH|7103475098481407981</stp>
        <tr r="F1517" s="3"/>
      </tp>
      <tp t="s">
        <v>#N/A N/A</v>
        <stp/>
        <stp>BDH|6215136316584650037</stp>
        <tr r="F1269" s="3"/>
      </tp>
      <tp t="s">
        <v>#N/A N/A</v>
        <stp/>
        <stp>BDH|4083351406591506448</stp>
        <tr r="C2200" s="3"/>
      </tp>
      <tp t="s">
        <v>#N/A N/A</v>
        <stp/>
        <stp>BDH|3514803784003140221</stp>
        <tr r="F1253" s="3"/>
      </tp>
      <tp t="s">
        <v>#N/A N/A</v>
        <stp/>
        <stp>BDH|4691519340850419717</stp>
        <tr r="F1611" s="3"/>
      </tp>
      <tp t="s">
        <v>#N/A N/A</v>
        <stp/>
        <stp>BDH|5718257155118316868</stp>
        <tr r="F1274" s="3"/>
      </tp>
      <tp t="s">
        <v>#N/A N/A</v>
        <stp/>
        <stp>BDH|6594464446422368659</stp>
        <tr r="F1479" s="3"/>
      </tp>
      <tp t="s">
        <v>#N/A N/A</v>
        <stp/>
        <stp>BDH|2765603901882246445</stp>
        <tr r="F1708" s="3"/>
      </tp>
      <tp t="s">
        <v>#N/A N/A</v>
        <stp/>
        <stp>BDH|6135320528670387598</stp>
        <tr r="F1599" s="3"/>
      </tp>
      <tp t="s">
        <v>#N/A N/A</v>
        <stp/>
        <stp>BDH|7660300577624378530</stp>
        <tr r="F1962" s="3"/>
      </tp>
      <tp t="s">
        <v>#N/A N/A</v>
        <stp/>
        <stp>BDH|1153380109868902885</stp>
        <tr r="F1367" s="3"/>
      </tp>
      <tp t="s">
        <v>#N/A N/A</v>
        <stp/>
        <stp>BDH|2867885692133502268</stp>
        <tr r="F1710" s="3"/>
      </tp>
      <tp t="s">
        <v>#N/A N/A</v>
        <stp/>
        <stp>BDH|3499738850177125403</stp>
        <tr r="F1477" s="3"/>
      </tp>
      <tp t="s">
        <v>#N/A N/A</v>
        <stp/>
        <stp>BDH|6571111357818584803</stp>
        <tr r="F1533" s="3"/>
      </tp>
      <tp t="s">
        <v>#N/A N/A</v>
        <stp/>
        <stp>BDH|7147642599312939823</stp>
        <tr r="F2089" s="3"/>
      </tp>
      <tp t="s">
        <v>#N/A N/A</v>
        <stp/>
        <stp>BDH|3862694976263976393</stp>
        <tr r="F2062" s="3"/>
        <tr r="F2036" s="3"/>
      </tp>
      <tp t="s">
        <v>#N/A N/A</v>
        <stp/>
        <stp>BDH|9983590622034361864</stp>
        <tr r="F1596" s="3"/>
      </tp>
      <tp t="s">
        <v>#N/A N/A</v>
        <stp/>
        <stp>BDH|6882870263789841331</stp>
        <tr r="F1393" s="3"/>
      </tp>
      <tp t="s">
        <v>#N/A N/A</v>
        <stp/>
        <stp>BDH|2944174113654959406</stp>
        <tr r="F1551" s="3"/>
      </tp>
      <tp t="s">
        <v>#N/A N/A</v>
        <stp/>
        <stp>BDH|6242716953140087641</stp>
        <tr r="F1946" s="3"/>
      </tp>
      <tp t="s">
        <v>#N/A N/A</v>
        <stp/>
        <stp>BDH|8932883861182345662</stp>
        <tr r="F1824" s="3"/>
      </tp>
      <tp t="s">
        <v>#N/A N/A</v>
        <stp/>
        <stp>BDH|2627534635257810026</stp>
        <tr r="F1892" s="3"/>
      </tp>
      <tp t="s">
        <v>#N/A N/A</v>
        <stp/>
        <stp>BDH|2196002539261136337</stp>
        <tr r="F1454" s="3"/>
      </tp>
      <tp t="s">
        <v>#N/A N/A</v>
        <stp/>
        <stp>BDH|3648651063876216680</stp>
        <tr r="F1973" s="3"/>
      </tp>
      <tp t="s">
        <v>#N/A N/A</v>
        <stp/>
        <stp>BDH|5436267845412581286</stp>
        <tr r="F1749" s="3"/>
      </tp>
      <tp t="s">
        <v>#N/A N/A</v>
        <stp/>
        <stp>BDH|5332507710584862602</stp>
        <tr r="F1235" s="3"/>
      </tp>
      <tp t="s">
        <v>#N/A N/A</v>
        <stp/>
        <stp>BDH|9932873872003276658</stp>
        <tr r="F1991" s="3"/>
      </tp>
      <tp t="s">
        <v>#N/A N/A</v>
        <stp/>
        <stp>BDH|2974347979930804558</stp>
        <tr r="F1412" s="3"/>
      </tp>
      <tp t="s">
        <v>#N/A N/A</v>
        <stp/>
        <stp>BDH|4928455508881566289</stp>
        <tr r="F2101" s="3"/>
      </tp>
      <tp t="s">
        <v>#N/A N/A</v>
        <stp/>
        <stp>BDH|7230873462078956276</stp>
        <tr r="F1768" s="3"/>
      </tp>
      <tp t="s">
        <v>#N/A N/A</v>
        <stp/>
        <stp>BDH|7678692557743382422</stp>
        <tr r="F2079" s="3"/>
      </tp>
      <tp t="s">
        <v>#N/A N/A</v>
        <stp/>
        <stp>BDH|2785992026418730218</stp>
        <tr r="F1774" s="3"/>
      </tp>
      <tp t="s">
        <v>#N/A N/A</v>
        <stp/>
        <stp>BDH|2854278536732250258</stp>
        <tr r="F1801" s="3"/>
      </tp>
      <tp t="s">
        <v>#N/A N/A</v>
        <stp/>
        <stp>BDH|1773298067340633607</stp>
        <tr r="F1384" s="3"/>
      </tp>
      <tp t="s">
        <v>#N/A N/A</v>
        <stp/>
        <stp>BDH|2855307122710040069</stp>
        <tr r="F2068" s="3"/>
      </tp>
      <tp t="s">
        <v>#N/A N/A</v>
        <stp/>
        <stp>BDH|9722749064623205892</stp>
        <tr r="F2117" s="3"/>
      </tp>
      <tp t="s">
        <v>#N/A N/A</v>
        <stp/>
        <stp>BDH|8176480879699425192</stp>
        <tr r="F2001" s="3"/>
      </tp>
      <tp t="s">
        <v>#N/A N/A</v>
        <stp/>
        <stp>BDH|7868367804743567423</stp>
        <tr r="F2053" s="3"/>
        <tr r="F2038" s="3"/>
      </tp>
      <tp t="s">
        <v>#N/A N/A</v>
        <stp/>
        <stp>BDH|7273051679667653453</stp>
        <tr r="F1940" s="3"/>
      </tp>
      <tp t="s">
        <v>#N/A N/A</v>
        <stp/>
        <stp>BDH|1570384230413818189</stp>
        <tr r="F1984" s="3"/>
      </tp>
      <tp t="s">
        <v>#N/A N/A</v>
        <stp/>
        <stp>BDH|2390877416498065011</stp>
        <tr r="F2160" s="3"/>
      </tp>
      <tp t="s">
        <v>#N/A N/A</v>
        <stp/>
        <stp>BDH|4048717861630355632</stp>
        <tr r="F1705" s="3"/>
      </tp>
      <tp t="s">
        <v>#N/A N/A</v>
        <stp/>
        <stp>BDH|1262978572199167509</stp>
        <tr r="F1279" s="3"/>
      </tp>
      <tp t="s">
        <v>#N/A N/A</v>
        <stp/>
        <stp>BDH|4718460163805033058</stp>
        <tr r="F1677" s="3"/>
      </tp>
      <tp t="s">
        <v>#N/A N/A</v>
        <stp/>
        <stp>BDH|2866129110462811352</stp>
        <tr r="F1881" s="3"/>
      </tp>
      <tp t="s">
        <v>#N/A N/A</v>
        <stp/>
        <stp>BDH|9159238383007659700</stp>
        <tr r="F2074" s="3"/>
      </tp>
      <tp t="s">
        <v>#N/A N/A</v>
        <stp/>
        <stp>BDH|6364496065016354186</stp>
        <tr r="F1324" s="3"/>
      </tp>
      <tp t="s">
        <v>#N/A N/A</v>
        <stp/>
        <stp>BDH|9300202855408072522</stp>
        <tr r="F2014" s="3"/>
      </tp>
      <tp t="s">
        <v>#N/A N/A</v>
        <stp/>
        <stp>BDH|2024410571161618326</stp>
        <tr r="C2198" s="3"/>
      </tp>
      <tp t="s">
        <v>#N/A N/A</v>
        <stp/>
        <stp>BDH|1035336976820847690</stp>
        <tr r="F1456" s="3"/>
      </tp>
      <tp t="s">
        <v>#N/A N/A</v>
        <stp/>
        <stp>BDH|2088047976754624202</stp>
        <tr r="F2151" s="3"/>
      </tp>
      <tp t="s">
        <v>#N/A N/A</v>
        <stp/>
        <stp>BDH|3505092004169587994</stp>
        <tr r="F1648" s="3"/>
      </tp>
      <tp t="s">
        <v>#N/A N/A</v>
        <stp/>
        <stp>BDH|8691187221759995132</stp>
        <tr r="F2098" s="3"/>
      </tp>
      <tp t="s">
        <v>#N/A N/A</v>
        <stp/>
        <stp>BDH|7960741948897888080</stp>
        <tr r="F1161" s="3"/>
      </tp>
      <tp t="s">
        <v>#N/A N/A</v>
        <stp/>
        <stp>BDH|16201477279467254</stp>
        <tr r="F1369" s="3"/>
      </tp>
      <tp t="s">
        <v>#N/A N/A</v>
        <stp/>
        <stp>BDH|764808699337150369</stp>
        <tr r="F1772" s="3"/>
      </tp>
      <tp t="s">
        <v>#N/A N/A</v>
        <stp/>
        <stp>BDH|760488924025953648</stp>
        <tr r="F1782" s="3"/>
      </tp>
      <tp t="s">
        <v>#N/A N/A</v>
        <stp/>
        <stp>BDH|515762656354499362</stp>
        <tr r="F1571" s="3"/>
      </tp>
      <tp t="s">
        <v>#N/A N/A</v>
        <stp/>
        <stp>BDH|837047689139484413</stp>
        <tr r="F2142" s="3"/>
      </tp>
      <tp t="s">
        <v>#N/A N/A</v>
        <stp/>
        <stp>BDH|376833236667517924</stp>
        <tr r="F1429" s="3"/>
      </tp>
      <tp t="s">
        <v>#N/A N/A</v>
        <stp/>
        <stp>BDH|736739066177910392</stp>
        <tr r="F1556" s="3"/>
      </tp>
      <tp t="s">
        <v>#N/A N/A</v>
        <stp/>
        <stp>BDH|791145831984500351</stp>
        <tr r="F1568" s="3"/>
      </tp>
      <tp t="s">
        <v>#N/A N/A</v>
        <stp/>
        <stp>BDH|177293158830771391</stp>
        <tr r="F1700" s="3"/>
      </tp>
      <tp t="s">
        <v>#N/A N/A</v>
        <stp/>
        <stp>BDH|201768580089061221</stp>
        <tr r="F1929" s="3"/>
        <tr r="F1909" s="3"/>
      </tp>
      <tp t="s">
        <v>#N/A N/A</v>
        <stp/>
        <stp>BDH|794203289569019411</stp>
        <tr r="F1219" s="3"/>
      </tp>
      <tp t="s">
        <v>#N/A N/A</v>
        <stp/>
        <stp>BDH|289234886135987815</stp>
        <tr r="F1752" s="3"/>
      </tp>
      <tp t="s">
        <v>#N/A N/A</v>
        <stp/>
        <stp>BDH|741989753288687317</stp>
        <tr r="F1182" s="3"/>
      </tp>
      <tp t="s">
        <v>#N/A N/A</v>
        <stp/>
        <stp>BDH|298705475893035422</stp>
        <tr r="F1578" s="3"/>
      </tp>
      <tp t="s">
        <v>#N/A N/A</v>
        <stp/>
        <stp>BDH|430561692563782864</stp>
        <tr r="F1560" s="3"/>
      </tp>
      <tp t="s">
        <v>#N/A N/A</v>
        <stp/>
        <stp>BDH|742746669306425119</stp>
        <tr r="F1948" s="3"/>
      </tp>
      <tp t="s">
        <v>#N/A N/A</v>
        <stp/>
        <stp>BDH|689066964287924740</stp>
        <tr r="F1480" s="3"/>
      </tp>
      <tp t="s">
        <v>#N/A N/A</v>
        <stp/>
        <stp>BDH|532838291240092775</stp>
        <tr r="F1446" s="3"/>
      </tp>
      <tp t="s">
        <v>#N/A N/A</v>
        <stp/>
        <stp>BDH|153059827287956387</stp>
        <tr r="F1878" s="3"/>
      </tp>
      <tp t="s">
        <v>#N/A N/A</v>
        <stp/>
        <stp>BDH|170355163937520414</stp>
        <tr r="F1368" s="3"/>
      </tp>
      <tp t="s">
        <v>#N/A N/A</v>
        <stp/>
        <stp>BDH|190225631757279783</stp>
        <tr r="F1827" s="3"/>
      </tp>
      <tp t="s">
        <v>#N/A N/A</v>
        <stp/>
        <stp>BDH|193133811864935521</stp>
        <tr r="F1826" s="3"/>
      </tp>
      <tp t="s">
        <v>#N/A N/A</v>
        <stp/>
        <stp>BDH|352112337963711096</stp>
        <tr r="F1716" s="3"/>
      </tp>
      <tp t="s">
        <v>#N/A N/A</v>
        <stp/>
        <stp>BDH|907770357576849409</stp>
        <tr r="F1304" s="3"/>
      </tp>
      <tp t="s">
        <v>#N/A N/A</v>
        <stp/>
        <stp>BDH|759440404884329255</stp>
        <tr r="F1171" s="3"/>
      </tp>
      <tp t="s">
        <v>#N/A N/A</v>
        <stp/>
        <stp>BDH|686913346609466914</stp>
        <tr r="F1448" s="3"/>
      </tp>
      <tp t="s">
        <v>#N/A N/A</v>
        <stp/>
        <stp>BDH|894220054662113910</stp>
        <tr r="F1633" s="3"/>
      </tp>
      <tp t="s">
        <v>#N/A N/A</v>
        <stp/>
        <stp>BDH|306035996002673743</stp>
        <tr r="F1998" s="3"/>
      </tp>
      <tp t="s">
        <v>#N/A N/A</v>
        <stp/>
        <stp>BDH|363149846849016051</stp>
        <tr r="F1610" s="3"/>
      </tp>
      <tp t="s">
        <v>#N/A N/A</v>
        <stp/>
        <stp>BDH|669819408037877360</stp>
        <tr r="F1904" s="3"/>
      </tp>
      <tp t="s">
        <v>#N/A N/A</v>
        <stp/>
        <stp>BDH|166290605149113452</stp>
        <tr r="F1373" s="3"/>
      </tp>
      <tp t="s">
        <v>#N/A N/A</v>
        <stp/>
        <stp>BDH|754159502756064871</stp>
        <tr r="F1800" s="3"/>
      </tp>
      <tp t="s">
        <v>#N/A N/A</v>
        <stp/>
        <stp>BDH|922592701538320369</stp>
        <tr r="F1224" s="3"/>
      </tp>
      <tp t="s">
        <v>#N/A N/A</v>
        <stp/>
        <stp>BDH|697554451728465190</stp>
        <tr r="F1699" s="3"/>
      </tp>
      <tp t="s">
        <v>#N/A N/A</v>
        <stp/>
        <stp>BDH|597901018480688113</stp>
        <tr r="F1858" s="3"/>
        <tr r="F1234" s="3"/>
      </tp>
      <tp t="s">
        <v>#N/A N/A</v>
        <stp/>
        <stp>BDH|996950711795392583</stp>
        <tr r="F1380" s="3"/>
      </tp>
      <tp t="s">
        <v>#N/A N/A</v>
        <stp/>
        <stp>BDH|420993306196800728</stp>
        <tr r="F1781" s="3"/>
      </tp>
      <tp t="s">
        <v>#N/A N/A</v>
        <stp/>
        <stp>BDH|144578169988326064</stp>
        <tr r="F1889" s="3"/>
      </tp>
      <tp t="s">
        <v>#N/A N/A</v>
        <stp/>
        <stp>BDH|590026905128921389</stp>
        <tr r="F178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6"/>
  <sheetViews>
    <sheetView tabSelected="1" topLeftCell="A325" workbookViewId="0">
      <selection activeCell="C388" sqref="C388"/>
    </sheetView>
  </sheetViews>
  <sheetFormatPr defaultRowHeight="15" x14ac:dyDescent="0.25"/>
  <cols>
    <col min="1" max="1" width="56.28515625" customWidth="1"/>
    <col min="2" max="2" width="15.85546875" customWidth="1"/>
    <col min="3" max="3" width="9.140625" bestFit="1" customWidth="1"/>
    <col min="4" max="4" width="27.7109375" customWidth="1"/>
    <col min="5" max="10" width="9.1406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2022</v>
      </c>
      <c r="G2" t="str">
        <f>IFERROR(IF(0=LEN(ReferenceData!$G$2),"",ReferenceData!$G$2),"")</f>
        <v>2021</v>
      </c>
      <c r="H2" t="str">
        <f>IFERROR(IF(0=LEN(ReferenceData!$H$2),"",ReferenceData!$H$2),"")</f>
        <v>2020</v>
      </c>
      <c r="I2" t="str">
        <f>IFERROR(IF(0=LEN(ReferenceData!$I$2),"",ReferenceData!$I$2),"")</f>
        <v>2019</v>
      </c>
      <c r="J2" t="str">
        <f>IFERROR(IF(0=LEN(ReferenceData!$J$2),"",ReferenceData!$J$2),"")</f>
        <v>2018</v>
      </c>
    </row>
    <row r="3" spans="1:10" x14ac:dyDescent="0.25">
      <c r="A3" t="str">
        <f>IFERROR(IF(0=LEN(ReferenceData!$A$3),"",ReferenceData!$A$3),"")</f>
        <v>Historical Data - Total GHG Emissions (Million metric tonnes)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Sum</v>
      </c>
      <c r="F3">
        <f ca="1">IFERROR(IF(0=LEN(ReferenceData!$F$3),"",ReferenceData!$F$3),"")</f>
        <v>2735.6402693750001</v>
      </c>
      <c r="G3">
        <f ca="1">IFERROR(IF(0=LEN(ReferenceData!$G$3),"",ReferenceData!$G$3),"")</f>
        <v>4938.2402390009993</v>
      </c>
      <c r="H3">
        <f ca="1">IFERROR(IF(0=LEN(ReferenceData!$H$3),"",ReferenceData!$H$3),"")</f>
        <v>5151.1113074719997</v>
      </c>
      <c r="I3">
        <f ca="1">IFERROR(IF(0=LEN(ReferenceData!$I$3),"",ReferenceData!$I$3),"")</f>
        <v>5440.527296491</v>
      </c>
      <c r="J3">
        <f ca="1">IFERROR(IF(0=LEN(ReferenceData!$J$3),"",ReferenceData!$J$3),"")</f>
        <v>5818.2697889009996</v>
      </c>
    </row>
    <row r="4" spans="1:10" x14ac:dyDescent="0.25">
      <c r="A4" t="str">
        <f>IFERROR(IF(0=LEN(ReferenceData!$A$4),"",ReferenceData!$A$4),"")</f>
        <v xml:space="preserve">        Communications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Sum</v>
      </c>
      <c r="F4">
        <f ca="1">IFERROR(IF(0=LEN(ReferenceData!$F$4),"",ReferenceData!$F$4),"")</f>
        <v>0.71075502000000002</v>
      </c>
      <c r="G4">
        <f ca="1">IFERROR(IF(0=LEN(ReferenceData!$G$4),"",ReferenceData!$G$4),"")</f>
        <v>15.535271210000001</v>
      </c>
      <c r="H4">
        <f ca="1">IFERROR(IF(0=LEN(ReferenceData!$H$4),"",ReferenceData!$H$4),"")</f>
        <v>16.389887772000002</v>
      </c>
      <c r="I4">
        <f ca="1">IFERROR(IF(0=LEN(ReferenceData!$I$4),"",ReferenceData!$I$4),"")</f>
        <v>15.837127030000001</v>
      </c>
      <c r="J4">
        <f ca="1">IFERROR(IF(0=LEN(ReferenceData!$J$4),"",ReferenceData!$J$4),"")</f>
        <v>16.408789687999999</v>
      </c>
    </row>
    <row r="5" spans="1:10" x14ac:dyDescent="0.25">
      <c r="A5" t="str">
        <f>IFERROR(IF(0=LEN(ReferenceData!$A$5),"",ReferenceData!$A$5),"")</f>
        <v xml:space="preserve">            Media</v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Sum</v>
      </c>
      <c r="F5" t="str">
        <f>IFERROR(IF(0=LEN(ReferenceData!$F$5),"",ReferenceData!$F$5),"")</f>
        <v>(BI export error occurred)</v>
      </c>
      <c r="G5" t="str">
        <f>IFERROR(IF(0=LEN(ReferenceData!$G$5),"",ReferenceData!$G$5),"")</f>
        <v>(BI export error occurred)</v>
      </c>
      <c r="H5" t="str">
        <f>IFERROR(IF(0=LEN(ReferenceData!$H$5),"",ReferenceData!$H$5),"")</f>
        <v>(BI export error occurred)</v>
      </c>
      <c r="I5" t="str">
        <f>IFERROR(IF(0=LEN(ReferenceData!$I$5),"",ReferenceData!$I$5),"")</f>
        <v>(BI export error occurred)</v>
      </c>
      <c r="J5" t="str">
        <f>IFERROR(IF(0=LEN(ReferenceData!$J$5),"",ReferenceData!$J$5),"")</f>
        <v>(BI export error occurred)</v>
      </c>
    </row>
    <row r="6" spans="1:10" x14ac:dyDescent="0.25">
      <c r="A6" t="str">
        <f>IFERROR(IF(0=LEN(ReferenceData!$A$6),"",ReferenceData!$A$6),"")</f>
        <v xml:space="preserve">            Telecom Carriers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Sum</v>
      </c>
      <c r="F6">
        <f ca="1">IFERROR(IF(0=LEN(ReferenceData!$F$6),"",ReferenceData!$F$6),"")</f>
        <v>0.71075502000000002</v>
      </c>
      <c r="G6">
        <f ca="1">IFERROR(IF(0=LEN(ReferenceData!$G$6),"",ReferenceData!$G$6),"")</f>
        <v>15.535271210000001</v>
      </c>
      <c r="H6">
        <f ca="1">IFERROR(IF(0=LEN(ReferenceData!$H$6),"",ReferenceData!$H$6),"")</f>
        <v>16.389887772000002</v>
      </c>
      <c r="I6">
        <f ca="1">IFERROR(IF(0=LEN(ReferenceData!$I$6),"",ReferenceData!$I$6),"")</f>
        <v>15.837127030000001</v>
      </c>
      <c r="J6">
        <f ca="1">IFERROR(IF(0=LEN(ReferenceData!$J$6),"",ReferenceData!$J$6),"")</f>
        <v>16.408789687999999</v>
      </c>
    </row>
    <row r="7" spans="1:10" x14ac:dyDescent="0.25">
      <c r="A7" t="str">
        <f>IFERROR(IF(0=LEN(ReferenceData!$A$7),"",ReferenceData!$A$7),"")</f>
        <v xml:space="preserve">                AT&amp;T Inc</v>
      </c>
      <c r="B7" t="str">
        <f>IFERROR(IF(0=LEN(ReferenceData!$B$7),"",ReferenceData!$B$7),"")</f>
        <v>T US Equity</v>
      </c>
      <c r="C7" t="str">
        <f>IFERROR(IF(0=LEN(ReferenceData!$C$7),"",ReferenceData!$C$7),"")</f>
        <v>F0946</v>
      </c>
      <c r="D7" t="str">
        <f>IFERROR(IF(0=LEN(ReferenceData!$D$7),"",ReferenceData!$D$7),"")</f>
        <v>TOTAL_GHG_CO2_EMISSIONS</v>
      </c>
      <c r="E7" t="str">
        <f>IFERROR(IF(0=LEN(ReferenceData!$E$7),"",ReferenceData!$E$7),"")</f>
        <v>Dynamic</v>
      </c>
      <c r="F7" t="str">
        <f ca="1">IFERROR(IF(0=LEN(ReferenceData!$F$7),"",ReferenceData!$F$7),"")</f>
        <v/>
      </c>
      <c r="G7">
        <f ca="1">IFERROR(IF(0=LEN(ReferenceData!$G$7),"",ReferenceData!$G$7),"")</f>
        <v>6.2098300780000004</v>
      </c>
      <c r="H7">
        <f ca="1">IFERROR(IF(0=LEN(ReferenceData!$H$7),"",ReferenceData!$H$7),"")</f>
        <v>6.6800097660000004</v>
      </c>
      <c r="I7">
        <f ca="1">IFERROR(IF(0=LEN(ReferenceData!$I$7),"",ReferenceData!$I$7),"")</f>
        <v>7.0060800780000001</v>
      </c>
      <c r="J7">
        <f ca="1">IFERROR(IF(0=LEN(ReferenceData!$J$7),"",ReferenceData!$J$7),"")</f>
        <v>7.6818598629999997</v>
      </c>
    </row>
    <row r="8" spans="1:10" x14ac:dyDescent="0.25">
      <c r="A8" t="str">
        <f>IFERROR(IF(0=LEN(ReferenceData!$A$8),"",ReferenceData!$A$8),"")</f>
        <v xml:space="preserve">                BCE Inc</v>
      </c>
      <c r="B8" t="str">
        <f>IFERROR(IF(0=LEN(ReferenceData!$B$8),"",ReferenceData!$B$8),"")</f>
        <v>BCE CN Equity</v>
      </c>
      <c r="C8" t="str">
        <f>IFERROR(IF(0=LEN(ReferenceData!$C$8),"",ReferenceData!$C$8),"")</f>
        <v>F0946</v>
      </c>
      <c r="D8" t="str">
        <f>IFERROR(IF(0=LEN(ReferenceData!$D$8),"",ReferenceData!$D$8),"")</f>
        <v>TOTAL_GHG_CO2_EMISSIONS</v>
      </c>
      <c r="E8" t="str">
        <f>IFERROR(IF(0=LEN(ReferenceData!$E$8),"",ReferenceData!$E$8),"")</f>
        <v>Dynamic</v>
      </c>
      <c r="F8">
        <f ca="1">IFERROR(IF(0=LEN(ReferenceData!$F$8),"",ReferenceData!$F$8),"")</f>
        <v>0.25632501200000002</v>
      </c>
      <c r="G8">
        <f ca="1">IFERROR(IF(0=LEN(ReferenceData!$G$8),"",ReferenceData!$G$8),"")</f>
        <v>0.275721985</v>
      </c>
      <c r="H8">
        <f ca="1">IFERROR(IF(0=LEN(ReferenceData!$H$8),"",ReferenceData!$H$8),"")</f>
        <v>0.31040799000000002</v>
      </c>
      <c r="I8">
        <f ca="1">IFERROR(IF(0=LEN(ReferenceData!$I$8),"",ReferenceData!$I$8),"")</f>
        <v>0.34529000900000001</v>
      </c>
      <c r="J8">
        <f ca="1">IFERROR(IF(0=LEN(ReferenceData!$J$8),"",ReferenceData!$J$8),"")</f>
        <v>0.33642098999999998</v>
      </c>
    </row>
    <row r="9" spans="1:10" x14ac:dyDescent="0.25">
      <c r="A9" t="str">
        <f>IFERROR(IF(0=LEN(ReferenceData!$A$9),"",ReferenceData!$A$9),"")</f>
        <v xml:space="preserve">                Cogent Communications Holdings</v>
      </c>
      <c r="B9" t="str">
        <f>IFERROR(IF(0=LEN(ReferenceData!$B$9),"",ReferenceData!$B$9),"")</f>
        <v>CCOI US Equity</v>
      </c>
      <c r="C9" t="str">
        <f>IFERROR(IF(0=LEN(ReferenceData!$C$9),"",ReferenceData!$C$9),"")</f>
        <v>F0946</v>
      </c>
      <c r="D9" t="str">
        <f>IFERROR(IF(0=LEN(ReferenceData!$D$9),"",ReferenceData!$D$9),"")</f>
        <v>TOTAL_GHG_CO2_EMISSIONS</v>
      </c>
      <c r="E9" t="str">
        <f>IFERROR(IF(0=LEN(ReferenceData!$E$9),"",ReferenceData!$E$9),"")</f>
        <v>Dynamic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 t="str">
        <f ca="1">IFERROR(IF(0=LEN(ReferenceData!$H$9),"",ReferenceData!$H$9),"")</f>
        <v/>
      </c>
      <c r="I9" t="str">
        <f ca="1">IFERROR(IF(0=LEN(ReferenceData!$I$9),"",ReferenceData!$I$9),"")</f>
        <v/>
      </c>
      <c r="J9" t="str">
        <f ca="1">IFERROR(IF(0=LEN(ReferenceData!$J$9),"",ReferenceData!$J$9),"")</f>
        <v/>
      </c>
    </row>
    <row r="10" spans="1:10" x14ac:dyDescent="0.25">
      <c r="A10" t="str">
        <f>IFERROR(IF(0=LEN(ReferenceData!$A$10),"",ReferenceData!$A$10),"")</f>
        <v xml:space="preserve">                Consolidated Communications Ho</v>
      </c>
      <c r="B10" t="str">
        <f>IFERROR(IF(0=LEN(ReferenceData!$B$10),"",ReferenceData!$B$10),"")</f>
        <v>CNSL US Equity</v>
      </c>
      <c r="C10" t="str">
        <f>IFERROR(IF(0=LEN(ReferenceData!$C$10),"",ReferenceData!$C$10),"")</f>
        <v>F0946</v>
      </c>
      <c r="D10" t="str">
        <f>IFERROR(IF(0=LEN(ReferenceData!$D$10),"",ReferenceData!$D$10),"")</f>
        <v>TOTAL_GHG_CO2_EMISSIONS</v>
      </c>
      <c r="E10" t="str">
        <f>IFERROR(IF(0=LEN(ReferenceData!$E$10),"",ReferenceData!$E$10),"")</f>
        <v>Dynamic</v>
      </c>
      <c r="F10">
        <f ca="1">IFERROR(IF(0=LEN(ReferenceData!$F$10),"",ReferenceData!$F$10),"")</f>
        <v>9.7151001000000001E-2</v>
      </c>
      <c r="G10" t="str">
        <f ca="1">IFERROR(IF(0=LEN(ReferenceData!$G$10),"",ReferenceData!$G$10),"")</f>
        <v/>
      </c>
      <c r="H10" t="str">
        <f ca="1">IFERROR(IF(0=LEN(ReferenceData!$H$10),"",ReferenceData!$H$10),"")</f>
        <v/>
      </c>
      <c r="I10" t="str">
        <f ca="1">IFERROR(IF(0=LEN(ReferenceData!$I$10),"",ReferenceData!$I$10),"")</f>
        <v/>
      </c>
      <c r="J10" t="str">
        <f ca="1">IFERROR(IF(0=LEN(ReferenceData!$J$10),"",ReferenceData!$J$10),"")</f>
        <v/>
      </c>
    </row>
    <row r="11" spans="1:10" x14ac:dyDescent="0.25">
      <c r="A11" t="str">
        <f>IFERROR(IF(0=LEN(ReferenceData!$A$11),"",ReferenceData!$A$11),"")</f>
        <v xml:space="preserve">                Frontier Communications Corp</v>
      </c>
      <c r="B11" t="str">
        <f>IFERROR(IF(0=LEN(ReferenceData!$B$11),"",ReferenceData!$B$11),"")</f>
        <v>FTRCQ US Equity</v>
      </c>
      <c r="C11" t="str">
        <f>IFERROR(IF(0=LEN(ReferenceData!$C$11),"",ReferenceData!$C$11),"")</f>
        <v>F0946</v>
      </c>
      <c r="D11" t="str">
        <f>IFERROR(IF(0=LEN(ReferenceData!$D$11),"",ReferenceData!$D$11),"")</f>
        <v>TOTAL_GHG_CO2_EMISSIONS</v>
      </c>
      <c r="E11" t="str">
        <f>IFERROR(IF(0=LEN(ReferenceData!$E$11),"",ReferenceData!$E$11),"")</f>
        <v>Dynamic</v>
      </c>
      <c r="F11" t="str">
        <f ca="1">IFERROR(IF(0=LEN(ReferenceData!$F$11),"",ReferenceData!$F$11),"")</f>
        <v/>
      </c>
      <c r="G11" t="str">
        <f ca="1">IFERROR(IF(0=LEN(ReferenceData!$G$11),"",ReferenceData!$G$11),"")</f>
        <v/>
      </c>
      <c r="H11" t="str">
        <f ca="1">IFERROR(IF(0=LEN(ReferenceData!$H$11),"",ReferenceData!$H$11),"")</f>
        <v/>
      </c>
      <c r="I11" t="str">
        <f ca="1">IFERROR(IF(0=LEN(ReferenceData!$I$11),"",ReferenceData!$I$11),"")</f>
        <v/>
      </c>
      <c r="J11" t="str">
        <f ca="1">IFERROR(IF(0=LEN(ReferenceData!$J$11),"",ReferenceData!$J$11),"")</f>
        <v/>
      </c>
    </row>
    <row r="12" spans="1:10" x14ac:dyDescent="0.25">
      <c r="A12" t="str">
        <f>IFERROR(IF(0=LEN(ReferenceData!$A$12),"",ReferenceData!$A$12),"")</f>
        <v xml:space="preserve">                Lumen Technologies Inc</v>
      </c>
      <c r="B12" t="str">
        <f>IFERROR(IF(0=LEN(ReferenceData!$B$12),"",ReferenceData!$B$12),"")</f>
        <v>LUMN US Equity</v>
      </c>
      <c r="C12" t="str">
        <f>IFERROR(IF(0=LEN(ReferenceData!$C$12),"",ReferenceData!$C$12),"")</f>
        <v>F0946</v>
      </c>
      <c r="D12" t="str">
        <f>IFERROR(IF(0=LEN(ReferenceData!$D$12),"",ReferenceData!$D$12),"")</f>
        <v>TOTAL_GHG_CO2_EMISSIONS</v>
      </c>
      <c r="E12" t="str">
        <f>IFERROR(IF(0=LEN(ReferenceData!$E$12),"",ReferenceData!$E$12),"")</f>
        <v>Dynamic</v>
      </c>
      <c r="F12" t="str">
        <f ca="1">IFERROR(IF(0=LEN(ReferenceData!$F$12),"",ReferenceData!$F$12),"")</f>
        <v/>
      </c>
      <c r="G12">
        <f ca="1">IFERROR(IF(0=LEN(ReferenceData!$G$12),"",ReferenceData!$G$12),"")</f>
        <v>1.8187600100000001</v>
      </c>
      <c r="H12">
        <f ca="1">IFERROR(IF(0=LEN(ReferenceData!$H$12),"",ReferenceData!$H$12),"")</f>
        <v>2.0842900389999999</v>
      </c>
      <c r="I12">
        <f ca="1">IFERROR(IF(0=LEN(ReferenceData!$I$12),"",ReferenceData!$I$12),"")</f>
        <v>2.2152600100000002</v>
      </c>
      <c r="J12">
        <f ca="1">IFERROR(IF(0=LEN(ReferenceData!$J$12),"",ReferenceData!$J$12),"")</f>
        <v>2.1970000000000001</v>
      </c>
    </row>
    <row r="13" spans="1:10" x14ac:dyDescent="0.25">
      <c r="A13" t="str">
        <f>IFERROR(IF(0=LEN(ReferenceData!$A$13),"",ReferenceData!$A$13),"")</f>
        <v xml:space="preserve">                Rogers Communications Inc</v>
      </c>
      <c r="B13" t="str">
        <f>IFERROR(IF(0=LEN(ReferenceData!$B$13),"",ReferenceData!$B$13),"")</f>
        <v>RCI/B CN Equity</v>
      </c>
      <c r="C13" t="str">
        <f>IFERROR(IF(0=LEN(ReferenceData!$C$13),"",ReferenceData!$C$13),"")</f>
        <v>F0946</v>
      </c>
      <c r="D13" t="str">
        <f>IFERROR(IF(0=LEN(ReferenceData!$D$13),"",ReferenceData!$D$13),"")</f>
        <v>TOTAL_GHG_CO2_EMISSIONS</v>
      </c>
      <c r="E13" t="str">
        <f>IFERROR(IF(0=LEN(ReferenceData!$E$13),"",ReferenceData!$E$13),"")</f>
        <v>Dynamic</v>
      </c>
      <c r="F13">
        <f ca="1">IFERROR(IF(0=LEN(ReferenceData!$F$13),"",ReferenceData!$F$13),"")</f>
        <v>0.13132200599999999</v>
      </c>
      <c r="G13">
        <f ca="1">IFERROR(IF(0=LEN(ReferenceData!$G$13),"",ReferenceData!$G$13),"")</f>
        <v>0.13375399800000001</v>
      </c>
      <c r="H13">
        <f ca="1">IFERROR(IF(0=LEN(ReferenceData!$H$13),"",ReferenceData!$H$13),"")</f>
        <v>0.148117996</v>
      </c>
      <c r="I13">
        <f ca="1">IFERROR(IF(0=LEN(ReferenceData!$I$13),"",ReferenceData!$I$13),"")</f>
        <v>0.15606700100000001</v>
      </c>
      <c r="J13">
        <f ca="1">IFERROR(IF(0=LEN(ReferenceData!$J$13),"",ReferenceData!$J$13),"")</f>
        <v>0.16633500700000001</v>
      </c>
    </row>
    <row r="14" spans="1:10" x14ac:dyDescent="0.25">
      <c r="A14" t="str">
        <f>IFERROR(IF(0=LEN(ReferenceData!$A$14),"",ReferenceData!$A$14),"")</f>
        <v xml:space="preserve">                Spok Holdings Inc</v>
      </c>
      <c r="B14" t="str">
        <f>IFERROR(IF(0=LEN(ReferenceData!$B$14),"",ReferenceData!$B$14),"")</f>
        <v>SPOK US Equity</v>
      </c>
      <c r="C14" t="str">
        <f>IFERROR(IF(0=LEN(ReferenceData!$C$14),"",ReferenceData!$C$14),"")</f>
        <v>F0946</v>
      </c>
      <c r="D14" t="str">
        <f>IFERROR(IF(0=LEN(ReferenceData!$D$14),"",ReferenceData!$D$14),"")</f>
        <v>TOTAL_GHG_CO2_EMISSIONS</v>
      </c>
      <c r="E14" t="str">
        <f>IFERROR(IF(0=LEN(ReferenceData!$E$14),"",ReferenceData!$E$14),"")</f>
        <v>Dynamic</v>
      </c>
      <c r="F14" t="str">
        <f ca="1">IFERROR(IF(0=LEN(ReferenceData!$F$14),"",ReferenceData!$F$14),"")</f>
        <v/>
      </c>
      <c r="G14" t="str">
        <f ca="1">IFERROR(IF(0=LEN(ReferenceData!$G$14),"",ReferenceData!$G$14),"")</f>
        <v/>
      </c>
      <c r="H14" t="str">
        <f ca="1">IFERROR(IF(0=LEN(ReferenceData!$H$14),"",ReferenceData!$H$14),"")</f>
        <v/>
      </c>
      <c r="I14" t="str">
        <f ca="1">IFERROR(IF(0=LEN(ReferenceData!$I$14),"",ReferenceData!$I$14),"")</f>
        <v/>
      </c>
      <c r="J14" t="str">
        <f ca="1">IFERROR(IF(0=LEN(ReferenceData!$J$14),"",ReferenceData!$J$14),"")</f>
        <v/>
      </c>
    </row>
    <row r="15" spans="1:10" x14ac:dyDescent="0.25">
      <c r="A15" t="str">
        <f>IFERROR(IF(0=LEN(ReferenceData!$A$15),"",ReferenceData!$A$15),"")</f>
        <v xml:space="preserve">                Shenandoah Telecommunications</v>
      </c>
      <c r="B15" t="str">
        <f>IFERROR(IF(0=LEN(ReferenceData!$B$15),"",ReferenceData!$B$15),"")</f>
        <v>SHEN US Equity</v>
      </c>
      <c r="C15" t="str">
        <f>IFERROR(IF(0=LEN(ReferenceData!$C$15),"",ReferenceData!$C$15),"")</f>
        <v>F0946</v>
      </c>
      <c r="D15" t="str">
        <f>IFERROR(IF(0=LEN(ReferenceData!$D$15),"",ReferenceData!$D$15),"")</f>
        <v>TOTAL_GHG_CO2_EMISSIONS</v>
      </c>
      <c r="E15" t="str">
        <f>IFERROR(IF(0=LEN(ReferenceData!$E$15),"",ReferenceData!$E$15),"")</f>
        <v>Dynamic</v>
      </c>
      <c r="F15" t="str">
        <f ca="1">IFERROR(IF(0=LEN(ReferenceData!$F$15),"",ReferenceData!$F$15),"")</f>
        <v/>
      </c>
      <c r="G15" t="str">
        <f ca="1">IFERROR(IF(0=LEN(ReferenceData!$G$15),"",ReferenceData!$G$15),"")</f>
        <v/>
      </c>
      <c r="H15" t="str">
        <f ca="1">IFERROR(IF(0=LEN(ReferenceData!$H$15),"",ReferenceData!$H$15),"")</f>
        <v/>
      </c>
      <c r="I15" t="str">
        <f ca="1">IFERROR(IF(0=LEN(ReferenceData!$I$15),"",ReferenceData!$I$15),"")</f>
        <v/>
      </c>
      <c r="J15" t="str">
        <f ca="1">IFERROR(IF(0=LEN(ReferenceData!$J$15),"",ReferenceData!$J$15),"")</f>
        <v/>
      </c>
    </row>
    <row r="16" spans="1:10" x14ac:dyDescent="0.25">
      <c r="A16" t="str">
        <f>IFERROR(IF(0=LEN(ReferenceData!$A$16),"",ReferenceData!$A$16),"")</f>
        <v xml:space="preserve">                T-Mobile US Inc</v>
      </c>
      <c r="B16" t="str">
        <f>IFERROR(IF(0=LEN(ReferenceData!$B$16),"",ReferenceData!$B$16),"")</f>
        <v>TMUS US Equity</v>
      </c>
      <c r="C16" t="str">
        <f>IFERROR(IF(0=LEN(ReferenceData!$C$16),"",ReferenceData!$C$16),"")</f>
        <v>F0946</v>
      </c>
      <c r="D16" t="str">
        <f>IFERROR(IF(0=LEN(ReferenceData!$D$16),"",ReferenceData!$D$16),"")</f>
        <v>TOTAL_GHG_CO2_EMISSIONS</v>
      </c>
      <c r="E16" t="str">
        <f>IFERROR(IF(0=LEN(ReferenceData!$E$16),"",ReferenceData!$E$16),"")</f>
        <v>Dynamic</v>
      </c>
      <c r="F16" t="str">
        <f ca="1">IFERROR(IF(0=LEN(ReferenceData!$F$16),"",ReferenceData!$F$16),"")</f>
        <v/>
      </c>
      <c r="G16">
        <f ca="1">IFERROR(IF(0=LEN(ReferenceData!$G$16),"",ReferenceData!$G$16),"")</f>
        <v>2.9640800779999998</v>
      </c>
      <c r="H16">
        <f ca="1">IFERROR(IF(0=LEN(ReferenceData!$H$16),"",ReferenceData!$H$16),"")</f>
        <v>2.8089799800000002</v>
      </c>
      <c r="I16">
        <f ca="1">IFERROR(IF(0=LEN(ReferenceData!$I$16),"",ReferenceData!$I$16),"")</f>
        <v>1.4309100340000001</v>
      </c>
      <c r="J16">
        <f ca="1">IFERROR(IF(0=LEN(ReferenceData!$J$16),"",ReferenceData!$J$16),"")</f>
        <v>1.2791300050000001</v>
      </c>
    </row>
    <row r="17" spans="1:10" x14ac:dyDescent="0.25">
      <c r="A17" t="str">
        <f>IFERROR(IF(0=LEN(ReferenceData!$A$17),"",ReferenceData!$A$17),"")</f>
        <v xml:space="preserve">                TELUS Corp</v>
      </c>
      <c r="B17" t="str">
        <f>IFERROR(IF(0=LEN(ReferenceData!$B$17),"",ReferenceData!$B$17),"")</f>
        <v>T CN Equity</v>
      </c>
      <c r="C17" t="str">
        <f>IFERROR(IF(0=LEN(ReferenceData!$C$17),"",ReferenceData!$C$17),"")</f>
        <v>F0946</v>
      </c>
      <c r="D17" t="str">
        <f>IFERROR(IF(0=LEN(ReferenceData!$D$17),"",ReferenceData!$D$17),"")</f>
        <v>TOTAL_GHG_CO2_EMISSIONS</v>
      </c>
      <c r="E17" t="str">
        <f>IFERROR(IF(0=LEN(ReferenceData!$E$17),"",ReferenceData!$E$17),"")</f>
        <v>Dynamic</v>
      </c>
      <c r="F17">
        <f ca="1">IFERROR(IF(0=LEN(ReferenceData!$F$17),"",ReferenceData!$F$17),"")</f>
        <v>0.22595700099999999</v>
      </c>
      <c r="G17">
        <f ca="1">IFERROR(IF(0=LEN(ReferenceData!$G$17),"",ReferenceData!$G$17),"")</f>
        <v>0.26882501199999997</v>
      </c>
      <c r="H17">
        <f ca="1">IFERROR(IF(0=LEN(ReferenceData!$H$17),"",ReferenceData!$H$17),"")</f>
        <v>0.26759201100000002</v>
      </c>
      <c r="I17">
        <f ca="1">IFERROR(IF(0=LEN(ReferenceData!$I$17),"",ReferenceData!$I$17),"")</f>
        <v>0.31789001500000003</v>
      </c>
      <c r="J17">
        <f ca="1">IFERROR(IF(0=LEN(ReferenceData!$J$17),"",ReferenceData!$J$17),"")</f>
        <v>0.32922399899999999</v>
      </c>
    </row>
    <row r="18" spans="1:10" x14ac:dyDescent="0.25">
      <c r="A18" t="str">
        <f>IFERROR(IF(0=LEN(ReferenceData!$A$18),"",ReferenceData!$A$18),"")</f>
        <v xml:space="preserve">                Telephone and Data Systems Inc</v>
      </c>
      <c r="B18" t="str">
        <f>IFERROR(IF(0=LEN(ReferenceData!$B$18),"",ReferenceData!$B$18),"")</f>
        <v>TDS US Equity</v>
      </c>
      <c r="C18" t="str">
        <f>IFERROR(IF(0=LEN(ReferenceData!$C$18),"",ReferenceData!$C$18),"")</f>
        <v>F0946</v>
      </c>
      <c r="D18" t="str">
        <f>IFERROR(IF(0=LEN(ReferenceData!$D$18),"",ReferenceData!$D$18),"")</f>
        <v>TOTAL_GHG_CO2_EMISSIONS</v>
      </c>
      <c r="E18" t="str">
        <f>IFERROR(IF(0=LEN(ReferenceData!$E$18),"",ReferenceData!$E$18),"")</f>
        <v>Dynamic</v>
      </c>
      <c r="F18" t="str">
        <f ca="1">IFERROR(IF(0=LEN(ReferenceData!$F$18),"",ReferenceData!$F$18),"")</f>
        <v/>
      </c>
      <c r="G18" t="str">
        <f ca="1">IFERROR(IF(0=LEN(ReferenceData!$G$18),"",ReferenceData!$G$18),"")</f>
        <v/>
      </c>
      <c r="H18" t="str">
        <f ca="1">IFERROR(IF(0=LEN(ReferenceData!$H$18),"",ReferenceData!$H$18),"")</f>
        <v/>
      </c>
      <c r="I18" t="str">
        <f ca="1">IFERROR(IF(0=LEN(ReferenceData!$I$18),"",ReferenceData!$I$18),"")</f>
        <v/>
      </c>
      <c r="J18" t="str">
        <f ca="1">IFERROR(IF(0=LEN(ReferenceData!$J$18),"",ReferenceData!$J$18),"")</f>
        <v/>
      </c>
    </row>
    <row r="19" spans="1:10" x14ac:dyDescent="0.25">
      <c r="A19" t="str">
        <f>IFERROR(IF(0=LEN(ReferenceData!$A$19),"",ReferenceData!$A$19),"")</f>
        <v xml:space="preserve">                United States Cellular Corp</v>
      </c>
      <c r="B19" t="str">
        <f>IFERROR(IF(0=LEN(ReferenceData!$B$19),"",ReferenceData!$B$19),"")</f>
        <v>USM US Equity</v>
      </c>
      <c r="C19" t="str">
        <f>IFERROR(IF(0=LEN(ReferenceData!$C$19),"",ReferenceData!$C$19),"")</f>
        <v>F0946</v>
      </c>
      <c r="D19" t="str">
        <f>IFERROR(IF(0=LEN(ReferenceData!$D$19),"",ReferenceData!$D$19),"")</f>
        <v>TOTAL_GHG_CO2_EMISSIONS</v>
      </c>
      <c r="E19" t="str">
        <f>IFERROR(IF(0=LEN(ReferenceData!$E$19),"",ReferenceData!$E$19),"")</f>
        <v>Dynamic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</row>
    <row r="20" spans="1:10" x14ac:dyDescent="0.25">
      <c r="A20" t="str">
        <f>IFERROR(IF(0=LEN(ReferenceData!$A$20),"",ReferenceData!$A$20),"")</f>
        <v xml:space="preserve">                Verizon Communications Inc</v>
      </c>
      <c r="B20" t="str">
        <f>IFERROR(IF(0=LEN(ReferenceData!$B$20),"",ReferenceData!$B$20),"")</f>
        <v>VZ US Equity</v>
      </c>
      <c r="C20" t="str">
        <f>IFERROR(IF(0=LEN(ReferenceData!$C$20),"",ReferenceData!$C$20),"")</f>
        <v>F0946</v>
      </c>
      <c r="D20" t="str">
        <f>IFERROR(IF(0=LEN(ReferenceData!$D$20),"",ReferenceData!$D$20),"")</f>
        <v>TOTAL_GHG_CO2_EMISSIONS</v>
      </c>
      <c r="E20" t="str">
        <f>IFERROR(IF(0=LEN(ReferenceData!$E$20),"",ReferenceData!$E$20),"")</f>
        <v>Dynamic</v>
      </c>
      <c r="F20" t="str">
        <f ca="1">IFERROR(IF(0=LEN(ReferenceData!$F$20),"",ReferenceData!$F$20),"")</f>
        <v/>
      </c>
      <c r="G20">
        <f ca="1">IFERROR(IF(0=LEN(ReferenceData!$G$20),"",ReferenceData!$G$20),"")</f>
        <v>3.8643000490000001</v>
      </c>
      <c r="H20">
        <f ca="1">IFERROR(IF(0=LEN(ReferenceData!$H$20),"",ReferenceData!$H$20),"")</f>
        <v>4.09048999</v>
      </c>
      <c r="I20">
        <f ca="1">IFERROR(IF(0=LEN(ReferenceData!$I$20),"",ReferenceData!$I$20),"")</f>
        <v>4.3656298830000004</v>
      </c>
      <c r="J20">
        <f ca="1">IFERROR(IF(0=LEN(ReferenceData!$J$20),"",ReferenceData!$J$20),"")</f>
        <v>4.4188198239999998</v>
      </c>
    </row>
    <row r="21" spans="1:10" x14ac:dyDescent="0.25">
      <c r="A21" t="str">
        <f>IFERROR(IF(0=LEN(ReferenceData!$A$21),"",ReferenceData!$A$21),"")</f>
        <v xml:space="preserve">        Consumer Discretionary</v>
      </c>
      <c r="B21" t="str">
        <f>IFERROR(IF(0=LEN(ReferenceData!$B$21),"",ReferenceData!$B$21),"")</f>
        <v/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Sum</v>
      </c>
      <c r="F21">
        <f ca="1">IFERROR(IF(0=LEN(ReferenceData!$F$21),"",ReferenceData!$F$21),"")</f>
        <v>58.654694790000008</v>
      </c>
      <c r="G21">
        <f ca="1">IFERROR(IF(0=LEN(ReferenceData!$G$21),"",ReferenceData!$G$21),"")</f>
        <v>180.18693117399994</v>
      </c>
      <c r="H21">
        <f ca="1">IFERROR(IF(0=LEN(ReferenceData!$H$21),"",ReferenceData!$H$21),"")</f>
        <v>169.99385431499996</v>
      </c>
      <c r="I21">
        <f ca="1">IFERROR(IF(0=LEN(ReferenceData!$I$21),"",ReferenceData!$I$21),"")</f>
        <v>184.14315499200001</v>
      </c>
      <c r="J21">
        <f ca="1">IFERROR(IF(0=LEN(ReferenceData!$J$21),"",ReferenceData!$J$21),"")</f>
        <v>184.29877554999996</v>
      </c>
    </row>
    <row r="22" spans="1:10" x14ac:dyDescent="0.25">
      <c r="A22" t="str">
        <f>IFERROR(IF(0=LEN(ReferenceData!$A$22),"",ReferenceData!$A$22),"")</f>
        <v xml:space="preserve">            Automotive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Sum</v>
      </c>
      <c r="F22">
        <f ca="1">IFERROR(IF(0=LEN(ReferenceData!$F$22),"",ReferenceData!$F$22),"")</f>
        <v>49.761338787000007</v>
      </c>
      <c r="G22">
        <f ca="1">IFERROR(IF(0=LEN(ReferenceData!$G$22),"",ReferenceData!$G$22),"")</f>
        <v>164.14771091499995</v>
      </c>
      <c r="H22">
        <f ca="1">IFERROR(IF(0=LEN(ReferenceData!$H$22),"",ReferenceData!$H$22),"")</f>
        <v>157.23870824299996</v>
      </c>
      <c r="I22">
        <f ca="1">IFERROR(IF(0=LEN(ReferenceData!$I$22),"",ReferenceData!$I$22),"")</f>
        <v>167.17319419099999</v>
      </c>
      <c r="J22">
        <f ca="1">IFERROR(IF(0=LEN(ReferenceData!$J$22),"",ReferenceData!$J$22),"")</f>
        <v>167.20854852199994</v>
      </c>
    </row>
    <row r="23" spans="1:10" x14ac:dyDescent="0.25">
      <c r="A23" t="str">
        <f>IFERROR(IF(0=LEN(ReferenceData!$A$23),"",ReferenceData!$A$23),"")</f>
        <v xml:space="preserve">                Auto OEMs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Sum</v>
      </c>
      <c r="F23">
        <f ca="1">IFERROR(IF(0=LEN(ReferenceData!$F$23),"",ReferenceData!$F$23),"")</f>
        <v>39.732900852000007</v>
      </c>
      <c r="G23">
        <f ca="1">IFERROR(IF(0=LEN(ReferenceData!$G$23),"",ReferenceData!$G$23),"")</f>
        <v>64.31029686799998</v>
      </c>
      <c r="H23">
        <f ca="1">IFERROR(IF(0=LEN(ReferenceData!$H$23),"",ReferenceData!$H$23),"")</f>
        <v>62.504055045999991</v>
      </c>
      <c r="I23">
        <f ca="1">IFERROR(IF(0=LEN(ReferenceData!$I$23),"",ReferenceData!$I$23),"")</f>
        <v>64.003505873999998</v>
      </c>
      <c r="J23">
        <f ca="1">IFERROR(IF(0=LEN(ReferenceData!$J$23),"",ReferenceData!$J$23),"")</f>
        <v>65.584228521</v>
      </c>
    </row>
    <row r="24" spans="1:10" x14ac:dyDescent="0.25">
      <c r="A24" t="str">
        <f>IFERROR(IF(0=LEN(ReferenceData!$A$24),"",ReferenceData!$A$24),"")</f>
        <v xml:space="preserve">                    Aston Martin Lagonda Global Ho</v>
      </c>
      <c r="B24" t="str">
        <f>IFERROR(IF(0=LEN(ReferenceData!$B$24),"",ReferenceData!$B$24),"")</f>
        <v>AML LN Equity</v>
      </c>
      <c r="C24" t="str">
        <f>IFERROR(IF(0=LEN(ReferenceData!$C$24),"",ReferenceData!$C$24),"")</f>
        <v>F0946</v>
      </c>
      <c r="D24" t="str">
        <f>IFERROR(IF(0=LEN(ReferenceData!$D$24),"",ReferenceData!$D$24),"")</f>
        <v>TOTAL_GHG_CO2_EMISSIONS</v>
      </c>
      <c r="E24" t="str">
        <f>IFERROR(IF(0=LEN(ReferenceData!$E$24),"",ReferenceData!$E$24),"")</f>
        <v>Dynamic</v>
      </c>
      <c r="F24">
        <f ca="1">IFERROR(IF(0=LEN(ReferenceData!$F$24),"",ReferenceData!$F$24),"")</f>
        <v>1.5195800000000001E-2</v>
      </c>
      <c r="G24">
        <f ca="1">IFERROR(IF(0=LEN(ReferenceData!$G$24),"",ReferenceData!$G$24),"")</f>
        <v>1.6072099999999999E-2</v>
      </c>
      <c r="H24">
        <f ca="1">IFERROR(IF(0=LEN(ReferenceData!$H$24),"",ReferenceData!$H$24),"")</f>
        <v>1.6746500000000001E-2</v>
      </c>
      <c r="I24">
        <f ca="1">IFERROR(IF(0=LEN(ReferenceData!$I$24),"",ReferenceData!$I$24),"")</f>
        <v>1.7664900000000001E-2</v>
      </c>
      <c r="J24">
        <f ca="1">IFERROR(IF(0=LEN(ReferenceData!$J$24),"",ReferenceData!$J$24),"")</f>
        <v>1.68986E-2</v>
      </c>
    </row>
    <row r="25" spans="1:10" x14ac:dyDescent="0.25">
      <c r="A25" t="str">
        <f>IFERROR(IF(0=LEN(ReferenceData!$A$25),"",ReferenceData!$A$25),"")</f>
        <v xml:space="preserve">                    BAIC Motor Corp Ltd</v>
      </c>
      <c r="B25" t="str">
        <f>IFERROR(IF(0=LEN(ReferenceData!$B$25),"",ReferenceData!$B$25),"")</f>
        <v>1958 HK Equity</v>
      </c>
      <c r="C25" t="str">
        <f>IFERROR(IF(0=LEN(ReferenceData!$C$25),"",ReferenceData!$C$25),"")</f>
        <v>F0946</v>
      </c>
      <c r="D25" t="str">
        <f>IFERROR(IF(0=LEN(ReferenceData!$D$25),"",ReferenceData!$D$25),"")</f>
        <v>TOTAL_GHG_CO2_EMISSIONS</v>
      </c>
      <c r="E25" t="str">
        <f>IFERROR(IF(0=LEN(ReferenceData!$E$25),"",ReferenceData!$E$25),"")</f>
        <v>Dynamic</v>
      </c>
      <c r="F25">
        <f ca="1">IFERROR(IF(0=LEN(ReferenceData!$F$25),"",ReferenceData!$F$25),"")</f>
        <v>0.78050402799999996</v>
      </c>
      <c r="G25">
        <f ca="1">IFERROR(IF(0=LEN(ReferenceData!$G$25),"",ReferenceData!$G$25),"")</f>
        <v>0.78057501200000001</v>
      </c>
      <c r="H25">
        <f ca="1">IFERROR(IF(0=LEN(ReferenceData!$H$25),"",ReferenceData!$H$25),"")</f>
        <v>0.90804199200000002</v>
      </c>
      <c r="I25">
        <f ca="1">IFERROR(IF(0=LEN(ReferenceData!$I$25),"",ReferenceData!$I$25),"")</f>
        <v>1.0217100219999999</v>
      </c>
      <c r="J25">
        <f ca="1">IFERROR(IF(0=LEN(ReferenceData!$J$25),"",ReferenceData!$J$25),"")</f>
        <v>1.1752299799999999</v>
      </c>
    </row>
    <row r="26" spans="1:10" x14ac:dyDescent="0.25">
      <c r="A26" t="str">
        <f>IFERROR(IF(0=LEN(ReferenceData!$A$26),"",ReferenceData!$A$26),"")</f>
        <v xml:space="preserve">                    Bayerische Motoren Werke AG</v>
      </c>
      <c r="B26" t="str">
        <f>IFERROR(IF(0=LEN(ReferenceData!$B$26),"",ReferenceData!$B$26),"")</f>
        <v>BMW GR Equity</v>
      </c>
      <c r="C26" t="str">
        <f>IFERROR(IF(0=LEN(ReferenceData!$C$26),"",ReferenceData!$C$26),"")</f>
        <v>F0946</v>
      </c>
      <c r="D26" t="str">
        <f>IFERROR(IF(0=LEN(ReferenceData!$D$26),"",ReferenceData!$D$26),"")</f>
        <v>TOTAL_GHG_CO2_EMISSIONS</v>
      </c>
      <c r="E26" t="str">
        <f>IFERROR(IF(0=LEN(ReferenceData!$E$26),"",ReferenceData!$E$26),"")</f>
        <v>Dynamic</v>
      </c>
      <c r="F26" t="str">
        <f ca="1">IFERROR(IF(0=LEN(ReferenceData!$F$26),"",ReferenceData!$F$26),"")</f>
        <v/>
      </c>
      <c r="G26">
        <f ca="1">IFERROR(IF(0=LEN(ReferenceData!$G$26),"",ReferenceData!$G$26),"")</f>
        <v>2.104060059</v>
      </c>
      <c r="H26">
        <f ca="1">IFERROR(IF(0=LEN(ReferenceData!$H$26),"",ReferenceData!$H$26),"")</f>
        <v>1.893459961</v>
      </c>
      <c r="I26">
        <f ca="1">IFERROR(IF(0=LEN(ReferenceData!$I$26),"",ReferenceData!$I$26),"")</f>
        <v>2.0624299320000001</v>
      </c>
      <c r="J26">
        <f ca="1">IFERROR(IF(0=LEN(ReferenceData!$J$26),"",ReferenceData!$J$26),"")</f>
        <v>2.1210800779999999</v>
      </c>
    </row>
    <row r="27" spans="1:10" x14ac:dyDescent="0.25">
      <c r="A27" t="str">
        <f>IFERROR(IF(0=LEN(ReferenceData!$A$27),"",ReferenceData!$A$27),"")</f>
        <v xml:space="preserve">                    Brilliance China Automotive Ho</v>
      </c>
      <c r="B27" t="str">
        <f>IFERROR(IF(0=LEN(ReferenceData!$B$27),"",ReferenceData!$B$27),"")</f>
        <v>1114 HK Equity</v>
      </c>
      <c r="C27" t="str">
        <f>IFERROR(IF(0=LEN(ReferenceData!$C$27),"",ReferenceData!$C$27),"")</f>
        <v>F0946</v>
      </c>
      <c r="D27" t="str">
        <f>IFERROR(IF(0=LEN(ReferenceData!$D$27),"",ReferenceData!$D$27),"")</f>
        <v>TOTAL_GHG_CO2_EMISSIONS</v>
      </c>
      <c r="E27" t="str">
        <f>IFERROR(IF(0=LEN(ReferenceData!$E$27),"",ReferenceData!$E$27),"")</f>
        <v>Dynamic</v>
      </c>
      <c r="F27">
        <f ca="1">IFERROR(IF(0=LEN(ReferenceData!$F$27),"",ReferenceData!$F$27),"")</f>
        <v>2.0179701000000001E-2</v>
      </c>
      <c r="G27" t="str">
        <f ca="1">IFERROR(IF(0=LEN(ReferenceData!$G$27),"",ReferenceData!$G$27),"")</f>
        <v/>
      </c>
      <c r="H27" t="str">
        <f ca="1">IFERROR(IF(0=LEN(ReferenceData!$H$27),"",ReferenceData!$H$27),"")</f>
        <v/>
      </c>
      <c r="I27" t="str">
        <f ca="1">IFERROR(IF(0=LEN(ReferenceData!$I$27),"",ReferenceData!$I$27),"")</f>
        <v/>
      </c>
      <c r="J27" t="str">
        <f ca="1">IFERROR(IF(0=LEN(ReferenceData!$J$27),"",ReferenceData!$J$27),"")</f>
        <v/>
      </c>
    </row>
    <row r="28" spans="1:10" x14ac:dyDescent="0.25">
      <c r="A28" t="str">
        <f>IFERROR(IF(0=LEN(ReferenceData!$A$28),"",ReferenceData!$A$28),"")</f>
        <v xml:space="preserve">                    BYD Co Ltd</v>
      </c>
      <c r="B28" t="str">
        <f>IFERROR(IF(0=LEN(ReferenceData!$B$28),"",ReferenceData!$B$28),"")</f>
        <v>1211 HK Equity</v>
      </c>
      <c r="C28" t="str">
        <f>IFERROR(IF(0=LEN(ReferenceData!$C$28),"",ReferenceData!$C$28),"")</f>
        <v>F0946</v>
      </c>
      <c r="D28" t="str">
        <f>IFERROR(IF(0=LEN(ReferenceData!$D$28),"",ReferenceData!$D$28),"")</f>
        <v>TOTAL_GHG_CO2_EMISSIONS</v>
      </c>
      <c r="E28" t="str">
        <f>IFERROR(IF(0=LEN(ReferenceData!$E$28),"",ReferenceData!$E$28),"")</f>
        <v>Dynamic</v>
      </c>
      <c r="F28">
        <f ca="1">IFERROR(IF(0=LEN(ReferenceData!$F$28),"",ReferenceData!$F$28),"")</f>
        <v>8.0619702150000006</v>
      </c>
      <c r="G28">
        <f ca="1">IFERROR(IF(0=LEN(ReferenceData!$G$28),"",ReferenceData!$G$28),"")</f>
        <v>5.2191098629999999</v>
      </c>
      <c r="H28">
        <f ca="1">IFERROR(IF(0=LEN(ReferenceData!$H$28),"",ReferenceData!$H$28),"")</f>
        <v>4.1451801760000002</v>
      </c>
      <c r="I28">
        <f ca="1">IFERROR(IF(0=LEN(ReferenceData!$I$28),"",ReferenceData!$I$28),"")</f>
        <v>4.0037700200000002</v>
      </c>
      <c r="J28">
        <f ca="1">IFERROR(IF(0=LEN(ReferenceData!$J$28),"",ReferenceData!$J$28),"")</f>
        <v>2.8648999019999999</v>
      </c>
    </row>
    <row r="29" spans="1:10" x14ac:dyDescent="0.25">
      <c r="A29" t="str">
        <f>IFERROR(IF(0=LEN(ReferenceData!$A$29),"",ReferenceData!$A$29),"")</f>
        <v xml:space="preserve">                    Chongqing Changan Automobile C</v>
      </c>
      <c r="B29" t="str">
        <f>IFERROR(IF(0=LEN(ReferenceData!$B$29),"",ReferenceData!$B$29),"")</f>
        <v>200625 CH Equity</v>
      </c>
      <c r="C29" t="str">
        <f>IFERROR(IF(0=LEN(ReferenceData!$C$29),"",ReferenceData!$C$29),"")</f>
        <v>F0946</v>
      </c>
      <c r="D29" t="str">
        <f>IFERROR(IF(0=LEN(ReferenceData!$D$29),"",ReferenceData!$D$29),"")</f>
        <v>TOTAL_GHG_CO2_EMISSIONS</v>
      </c>
      <c r="E29" t="str">
        <f>IFERROR(IF(0=LEN(ReferenceData!$E$29),"",ReferenceData!$E$29),"")</f>
        <v>Dynamic</v>
      </c>
      <c r="F29" t="str">
        <f ca="1">IFERROR(IF(0=LEN(ReferenceData!$F$29),"",ReferenceData!$F$29),"")</f>
        <v/>
      </c>
      <c r="G29" t="str">
        <f ca="1">IFERROR(IF(0=LEN(ReferenceData!$G$29),"",ReferenceData!$G$29),"")</f>
        <v/>
      </c>
      <c r="H29" t="str">
        <f ca="1">IFERROR(IF(0=LEN(ReferenceData!$H$29),"",ReferenceData!$H$29),"")</f>
        <v/>
      </c>
      <c r="I29" t="str">
        <f ca="1">IFERROR(IF(0=LEN(ReferenceData!$I$29),"",ReferenceData!$I$29),"")</f>
        <v/>
      </c>
      <c r="J29" t="str">
        <f ca="1">IFERROR(IF(0=LEN(ReferenceData!$J$29),"",ReferenceData!$J$29),"")</f>
        <v/>
      </c>
    </row>
    <row r="30" spans="1:10" x14ac:dyDescent="0.25">
      <c r="A30" t="str">
        <f>IFERROR(IF(0=LEN(ReferenceData!$A$30),"",ReferenceData!$A$30),"")</f>
        <v xml:space="preserve">                    Dongfeng Motor Group Co Ltd</v>
      </c>
      <c r="B30" t="str">
        <f>IFERROR(IF(0=LEN(ReferenceData!$B$30),"",ReferenceData!$B$30),"")</f>
        <v>489 HK Equity</v>
      </c>
      <c r="C30" t="str">
        <f>IFERROR(IF(0=LEN(ReferenceData!$C$30),"",ReferenceData!$C$30),"")</f>
        <v>F0946</v>
      </c>
      <c r="D30" t="str">
        <f>IFERROR(IF(0=LEN(ReferenceData!$D$30),"",ReferenceData!$D$30),"")</f>
        <v>TOTAL_GHG_CO2_EMISSIONS</v>
      </c>
      <c r="E30" t="str">
        <f>IFERROR(IF(0=LEN(ReferenceData!$E$30),"",ReferenceData!$E$30),"")</f>
        <v>Dynamic</v>
      </c>
      <c r="F30">
        <f ca="1">IFERROR(IF(0=LEN(ReferenceData!$F$30),"",ReferenceData!$F$30),"")</f>
        <v>1.687599976</v>
      </c>
      <c r="G30">
        <f ca="1">IFERROR(IF(0=LEN(ReferenceData!$G$30),"",ReferenceData!$G$30),"")</f>
        <v>2.0665</v>
      </c>
      <c r="H30">
        <f ca="1">IFERROR(IF(0=LEN(ReferenceData!$H$30),"",ReferenceData!$H$30),"")</f>
        <v>2.161199951</v>
      </c>
      <c r="I30">
        <f ca="1">IFERROR(IF(0=LEN(ReferenceData!$I$30),"",ReferenceData!$I$30),"")</f>
        <v>2.2201000980000001</v>
      </c>
      <c r="J30">
        <f ca="1">IFERROR(IF(0=LEN(ReferenceData!$J$30),"",ReferenceData!$J$30),"")</f>
        <v>2.2228300779999999</v>
      </c>
    </row>
    <row r="31" spans="1:10" x14ac:dyDescent="0.25">
      <c r="A31" t="str">
        <f>IFERROR(IF(0=LEN(ReferenceData!$A$31),"",ReferenceData!$A$31),"")</f>
        <v xml:space="preserve">                    Dr Ing hc F Porsche AG</v>
      </c>
      <c r="B31" t="str">
        <f>IFERROR(IF(0=LEN(ReferenceData!$B$31),"",ReferenceData!$B$31),"")</f>
        <v>P911 GR Equity</v>
      </c>
      <c r="C31" t="str">
        <f>IFERROR(IF(0=LEN(ReferenceData!$C$31),"",ReferenceData!$C$31),"")</f>
        <v>F0946</v>
      </c>
      <c r="D31" t="str">
        <f>IFERROR(IF(0=LEN(ReferenceData!$D$31),"",ReferenceData!$D$31),"")</f>
        <v>TOTAL_GHG_CO2_EMISSIONS</v>
      </c>
      <c r="E31" t="str">
        <f>IFERROR(IF(0=LEN(ReferenceData!$E$31),"",ReferenceData!$E$31),"")</f>
        <v>Dynamic</v>
      </c>
      <c r="F31">
        <f ca="1">IFERROR(IF(0=LEN(ReferenceData!$F$31),"",ReferenceData!$F$31),"")</f>
        <v>9.2348999000000001E-2</v>
      </c>
      <c r="G31">
        <f ca="1">IFERROR(IF(0=LEN(ReferenceData!$G$31),"",ReferenceData!$G$31),"")</f>
        <v>9.0900000000000009E-3</v>
      </c>
      <c r="H31" t="str">
        <f ca="1">IFERROR(IF(0=LEN(ReferenceData!$H$31),"",ReferenceData!$H$31),"")</f>
        <v/>
      </c>
      <c r="I31" t="str">
        <f ca="1">IFERROR(IF(0=LEN(ReferenceData!$I$31),"",ReferenceData!$I$31),"")</f>
        <v/>
      </c>
      <c r="J31" t="str">
        <f ca="1">IFERROR(IF(0=LEN(ReferenceData!$J$31),"",ReferenceData!$J$31),"")</f>
        <v/>
      </c>
    </row>
    <row r="32" spans="1:10" x14ac:dyDescent="0.25">
      <c r="A32" t="str">
        <f>IFERROR(IF(0=LEN(ReferenceData!$A$32),"",ReferenceData!$A$32),"")</f>
        <v xml:space="preserve">                    Ferrari NV</v>
      </c>
      <c r="B32" t="str">
        <f>IFERROR(IF(0=LEN(ReferenceData!$B$32),"",ReferenceData!$B$32),"")</f>
        <v>RACE IM Equity</v>
      </c>
      <c r="C32" t="str">
        <f>IFERROR(IF(0=LEN(ReferenceData!$C$32),"",ReferenceData!$C$32),"")</f>
        <v>F0946</v>
      </c>
      <c r="D32" t="str">
        <f>IFERROR(IF(0=LEN(ReferenceData!$D$32),"",ReferenceData!$D$32),"")</f>
        <v>TOTAL_GHG_CO2_EMISSIONS</v>
      </c>
      <c r="E32" t="str">
        <f>IFERROR(IF(0=LEN(ReferenceData!$E$32),"",ReferenceData!$E$32),"")</f>
        <v>Dynamic</v>
      </c>
      <c r="F32">
        <f ca="1">IFERROR(IF(0=LEN(ReferenceData!$F$32),"",ReferenceData!$F$32),"")</f>
        <v>9.6009002999999996E-2</v>
      </c>
      <c r="G32">
        <f ca="1">IFERROR(IF(0=LEN(ReferenceData!$G$32),"",ReferenceData!$G$32),"")</f>
        <v>0.10793699700000001</v>
      </c>
      <c r="H32">
        <f ca="1">IFERROR(IF(0=LEN(ReferenceData!$H$32),"",ReferenceData!$H$32),"")</f>
        <v>9.8336997999999995E-2</v>
      </c>
      <c r="I32">
        <f ca="1">IFERROR(IF(0=LEN(ReferenceData!$I$32),"",ReferenceData!$I$32),"")</f>
        <v>0.105391998</v>
      </c>
      <c r="J32">
        <f ca="1">IFERROR(IF(0=LEN(ReferenceData!$J$32),"",ReferenceData!$J$32),"")</f>
        <v>0.100220001</v>
      </c>
    </row>
    <row r="33" spans="1:10" x14ac:dyDescent="0.25">
      <c r="A33" t="str">
        <f>IFERROR(IF(0=LEN(ReferenceData!$A$33),"",ReferenceData!$A$33),"")</f>
        <v xml:space="preserve">                    Ford Motor Co</v>
      </c>
      <c r="B33" t="str">
        <f>IFERROR(IF(0=LEN(ReferenceData!$B$33),"",ReferenceData!$B$33),"")</f>
        <v>F US Equity</v>
      </c>
      <c r="C33" t="str">
        <f>IFERROR(IF(0=LEN(ReferenceData!$C$33),"",ReferenceData!$C$33),"")</f>
        <v>F0946</v>
      </c>
      <c r="D33" t="str">
        <f>IFERROR(IF(0=LEN(ReferenceData!$D$33),"",ReferenceData!$D$33),"")</f>
        <v>TOTAL_GHG_CO2_EMISSIONS</v>
      </c>
      <c r="E33" t="str">
        <f>IFERROR(IF(0=LEN(ReferenceData!$E$33),"",ReferenceData!$E$33),"")</f>
        <v>Dynamic</v>
      </c>
      <c r="F33">
        <f ca="1">IFERROR(IF(0=LEN(ReferenceData!$F$33),"",ReferenceData!$F$33),"")</f>
        <v>3</v>
      </c>
      <c r="G33">
        <f ca="1">IFERROR(IF(0=LEN(ReferenceData!$G$33),"",ReferenceData!$G$33),"")</f>
        <v>3.6859099120000001</v>
      </c>
      <c r="H33">
        <f ca="1">IFERROR(IF(0=LEN(ReferenceData!$H$33),"",ReferenceData!$H$33),"")</f>
        <v>3.8401298829999999</v>
      </c>
      <c r="I33">
        <f ca="1">IFERROR(IF(0=LEN(ReferenceData!$I$33),"",ReferenceData!$I$33),"")</f>
        <v>4.6476499020000004</v>
      </c>
      <c r="J33">
        <f ca="1">IFERROR(IF(0=LEN(ReferenceData!$J$33),"",ReferenceData!$J$33),"")</f>
        <v>4.7927700199999999</v>
      </c>
    </row>
    <row r="34" spans="1:10" x14ac:dyDescent="0.25">
      <c r="A34" t="str">
        <f>IFERROR(IF(0=LEN(ReferenceData!$A$34),"",ReferenceData!$A$34),"")</f>
        <v xml:space="preserve">                    FAW Jiefang Group Co Ltd</v>
      </c>
      <c r="B34" t="str">
        <f>IFERROR(IF(0=LEN(ReferenceData!$B$34),"",ReferenceData!$B$34),"")</f>
        <v>000800 CH Equity</v>
      </c>
      <c r="C34" t="str">
        <f>IFERROR(IF(0=LEN(ReferenceData!$C$34),"",ReferenceData!$C$34),"")</f>
        <v>F0946</v>
      </c>
      <c r="D34" t="str">
        <f>IFERROR(IF(0=LEN(ReferenceData!$D$34),"",ReferenceData!$D$34),"")</f>
        <v>TOTAL_GHG_CO2_EMISSIONS</v>
      </c>
      <c r="E34" t="str">
        <f>IFERROR(IF(0=LEN(ReferenceData!$E$34),"",ReferenceData!$E$34),"")</f>
        <v>Dynamic</v>
      </c>
      <c r="F34" t="str">
        <f ca="1">IFERROR(IF(0=LEN(ReferenceData!$F$34),"",ReferenceData!$F$34),"")</f>
        <v/>
      </c>
      <c r="G34" t="str">
        <f ca="1">IFERROR(IF(0=LEN(ReferenceData!$G$34),"",ReferenceData!$G$34),"")</f>
        <v/>
      </c>
      <c r="H34" t="str">
        <f ca="1">IFERROR(IF(0=LEN(ReferenceData!$H$34),"",ReferenceData!$H$34),"")</f>
        <v/>
      </c>
      <c r="I34" t="str">
        <f ca="1">IFERROR(IF(0=LEN(ReferenceData!$I$34),"",ReferenceData!$I$34),"")</f>
        <v/>
      </c>
      <c r="J34" t="str">
        <f ca="1">IFERROR(IF(0=LEN(ReferenceData!$J$34),"",ReferenceData!$J$34),"")</f>
        <v/>
      </c>
    </row>
    <row r="35" spans="1:10" x14ac:dyDescent="0.25">
      <c r="A35" t="str">
        <f>IFERROR(IF(0=LEN(ReferenceData!$A$35),"",ReferenceData!$A$35),"")</f>
        <v xml:space="preserve">                    Geely Automobile Holdings Ltd</v>
      </c>
      <c r="B35" t="str">
        <f>IFERROR(IF(0=LEN(ReferenceData!$B$35),"",ReferenceData!$B$35),"")</f>
        <v>175 HK Equity</v>
      </c>
      <c r="C35" t="str">
        <f>IFERROR(IF(0=LEN(ReferenceData!$C$35),"",ReferenceData!$C$35),"")</f>
        <v>F0946</v>
      </c>
      <c r="D35" t="str">
        <f>IFERROR(IF(0=LEN(ReferenceData!$D$35),"",ReferenceData!$D$35),"")</f>
        <v>TOTAL_GHG_CO2_EMISSIONS</v>
      </c>
      <c r="E35" t="str">
        <f>IFERROR(IF(0=LEN(ReferenceData!$E$35),"",ReferenceData!$E$35),"")</f>
        <v>Dynamic</v>
      </c>
      <c r="F35">
        <f ca="1">IFERROR(IF(0=LEN(ReferenceData!$F$35),"",ReferenceData!$F$35),"")</f>
        <v>0.60111297600000002</v>
      </c>
      <c r="G35">
        <f ca="1">IFERROR(IF(0=LEN(ReferenceData!$G$35),"",ReferenceData!$G$35),"")</f>
        <v>0.69326300100000005</v>
      </c>
      <c r="H35">
        <f ca="1">IFERROR(IF(0=LEN(ReferenceData!$H$35),"",ReferenceData!$H$35),"")</f>
        <v>0.66452398700000004</v>
      </c>
      <c r="I35">
        <f ca="1">IFERROR(IF(0=LEN(ReferenceData!$I$35),"",ReferenceData!$I$35),"")</f>
        <v>0.55927899199999997</v>
      </c>
      <c r="J35">
        <f ca="1">IFERROR(IF(0=LEN(ReferenceData!$J$35),"",ReferenceData!$J$35),"")</f>
        <v>0.56454302999999995</v>
      </c>
    </row>
    <row r="36" spans="1:10" x14ac:dyDescent="0.25">
      <c r="A36" t="str">
        <f>IFERROR(IF(0=LEN(ReferenceData!$A$36),"",ReferenceData!$A$36),"")</f>
        <v xml:space="preserve">                    General Motors Co</v>
      </c>
      <c r="B36" t="str">
        <f>IFERROR(IF(0=LEN(ReferenceData!$B$36),"",ReferenceData!$B$36),"")</f>
        <v>GM US Equity</v>
      </c>
      <c r="C36" t="str">
        <f>IFERROR(IF(0=LEN(ReferenceData!$C$36),"",ReferenceData!$C$36),"")</f>
        <v>F0946</v>
      </c>
      <c r="D36" t="str">
        <f>IFERROR(IF(0=LEN(ReferenceData!$D$36),"",ReferenceData!$D$36),"")</f>
        <v>TOTAL_GHG_CO2_EMISSIONS</v>
      </c>
      <c r="E36" t="str">
        <f>IFERROR(IF(0=LEN(ReferenceData!$E$36),"",ReferenceData!$E$36),"")</f>
        <v>Dynamic</v>
      </c>
      <c r="F36">
        <f ca="1">IFERROR(IF(0=LEN(ReferenceData!$F$36),"",ReferenceData!$F$36),"")</f>
        <v>4.4625297850000001</v>
      </c>
      <c r="G36">
        <f ca="1">IFERROR(IF(0=LEN(ReferenceData!$G$36),"",ReferenceData!$G$36),"")</f>
        <v>4.1346699219999996</v>
      </c>
      <c r="H36">
        <f ca="1">IFERROR(IF(0=LEN(ReferenceData!$H$36),"",ReferenceData!$H$36),"")</f>
        <v>4.3019399409999997</v>
      </c>
      <c r="I36">
        <f ca="1">IFERROR(IF(0=LEN(ReferenceData!$I$36),"",ReferenceData!$I$36),"")</f>
        <v>5.9716699220000002</v>
      </c>
      <c r="J36">
        <f ca="1">IFERROR(IF(0=LEN(ReferenceData!$J$36),"",ReferenceData!$J$36),"")</f>
        <v>6.0863198240000003</v>
      </c>
    </row>
    <row r="37" spans="1:10" x14ac:dyDescent="0.25">
      <c r="A37" t="str">
        <f>IFERROR(IF(0=LEN(ReferenceData!$A$37),"",ReferenceData!$A$37),"")</f>
        <v xml:space="preserve">                    Great Wall Motor Co Ltd</v>
      </c>
      <c r="B37" t="str">
        <f>IFERROR(IF(0=LEN(ReferenceData!$B$37),"",ReferenceData!$B$37),"")</f>
        <v>2333 HK Equity</v>
      </c>
      <c r="C37" t="str">
        <f>IFERROR(IF(0=LEN(ReferenceData!$C$37),"",ReferenceData!$C$37),"")</f>
        <v>F0946</v>
      </c>
      <c r="D37" t="str">
        <f>IFERROR(IF(0=LEN(ReferenceData!$D$37),"",ReferenceData!$D$37),"")</f>
        <v>TOTAL_GHG_CO2_EMISSIONS</v>
      </c>
      <c r="E37" t="str">
        <f>IFERROR(IF(0=LEN(ReferenceData!$E$37),"",ReferenceData!$E$37),"")</f>
        <v>Dynamic</v>
      </c>
      <c r="F37">
        <f ca="1">IFERROR(IF(0=LEN(ReferenceData!$F$37),"",ReferenceData!$F$37),"")</f>
        <v>1.058420044</v>
      </c>
      <c r="G37">
        <f ca="1">IFERROR(IF(0=LEN(ReferenceData!$G$37),"",ReferenceData!$G$37),"")</f>
        <v>1.27923999</v>
      </c>
      <c r="H37">
        <f ca="1">IFERROR(IF(0=LEN(ReferenceData!$H$37),"",ReferenceData!$H$37),"")</f>
        <v>1.2707099610000001</v>
      </c>
      <c r="I37">
        <f ca="1">IFERROR(IF(0=LEN(ReferenceData!$I$37),"",ReferenceData!$I$37),"")</f>
        <v>1.2910899659999999</v>
      </c>
      <c r="J37">
        <f ca="1">IFERROR(IF(0=LEN(ReferenceData!$J$37),"",ReferenceData!$J$37),"")</f>
        <v>1.3538000489999999</v>
      </c>
    </row>
    <row r="38" spans="1:10" x14ac:dyDescent="0.25">
      <c r="A38" t="str">
        <f>IFERROR(IF(0=LEN(ReferenceData!$A$38),"",ReferenceData!$A$38),"")</f>
        <v xml:space="preserve">                    Guangzhou Automobile Group Co</v>
      </c>
      <c r="B38" t="str">
        <f>IFERROR(IF(0=LEN(ReferenceData!$B$38),"",ReferenceData!$B$38),"")</f>
        <v>2238 HK Equity</v>
      </c>
      <c r="C38" t="str">
        <f>IFERROR(IF(0=LEN(ReferenceData!$C$38),"",ReferenceData!$C$38),"")</f>
        <v>F0946</v>
      </c>
      <c r="D38" t="str">
        <f>IFERROR(IF(0=LEN(ReferenceData!$D$38),"",ReferenceData!$D$38),"")</f>
        <v>TOTAL_GHG_CO2_EMISSIONS</v>
      </c>
      <c r="E38" t="str">
        <f>IFERROR(IF(0=LEN(ReferenceData!$E$38),"",ReferenceData!$E$38),"")</f>
        <v>Dynamic</v>
      </c>
      <c r="F38">
        <f ca="1">IFERROR(IF(0=LEN(ReferenceData!$F$38),"",ReferenceData!$F$38),"")</f>
        <v>1.3294100339999999</v>
      </c>
      <c r="G38">
        <f ca="1">IFERROR(IF(0=LEN(ReferenceData!$G$38),"",ReferenceData!$G$38),"")</f>
        <v>1.019570007</v>
      </c>
      <c r="H38">
        <f ca="1">IFERROR(IF(0=LEN(ReferenceData!$H$38),"",ReferenceData!$H$38),"")</f>
        <v>1.52851001</v>
      </c>
      <c r="I38">
        <f ca="1">IFERROR(IF(0=LEN(ReferenceData!$I$38),"",ReferenceData!$I$38),"")</f>
        <v>0.75219598399999998</v>
      </c>
      <c r="J38" t="str">
        <f ca="1">IFERROR(IF(0=LEN(ReferenceData!$J$38),"",ReferenceData!$J$38),"")</f>
        <v/>
      </c>
    </row>
    <row r="39" spans="1:10" x14ac:dyDescent="0.25">
      <c r="A39" t="str">
        <f>IFERROR(IF(0=LEN(ReferenceData!$A$39),"",ReferenceData!$A$39),"")</f>
        <v xml:space="preserve">                    Hyundai Motor Co</v>
      </c>
      <c r="B39" t="str">
        <f>IFERROR(IF(0=LEN(ReferenceData!$B$39),"",ReferenceData!$B$39),"")</f>
        <v>005380 KS Equity</v>
      </c>
      <c r="C39" t="str">
        <f>IFERROR(IF(0=LEN(ReferenceData!$C$39),"",ReferenceData!$C$39),"")</f>
        <v>F0946</v>
      </c>
      <c r="D39" t="str">
        <f>IFERROR(IF(0=LEN(ReferenceData!$D$39),"",ReferenceData!$D$39),"")</f>
        <v>TOTAL_GHG_CO2_EMISSIONS</v>
      </c>
      <c r="E39" t="str">
        <f>IFERROR(IF(0=LEN(ReferenceData!$E$39),"",ReferenceData!$E$39),"")</f>
        <v>Dynamic</v>
      </c>
      <c r="F39" t="str">
        <f ca="1">IFERROR(IF(0=LEN(ReferenceData!$F$39),"",ReferenceData!$F$39),"")</f>
        <v/>
      </c>
      <c r="G39">
        <f ca="1">IFERROR(IF(0=LEN(ReferenceData!$G$39),"",ReferenceData!$G$39),"")</f>
        <v>2.3841999509999998</v>
      </c>
      <c r="H39">
        <f ca="1">IFERROR(IF(0=LEN(ReferenceData!$H$39),"",ReferenceData!$H$39),"")</f>
        <v>2.3963200680000001</v>
      </c>
      <c r="I39">
        <f ca="1">IFERROR(IF(0=LEN(ReferenceData!$I$39),"",ReferenceData!$I$39),"")</f>
        <v>2.709090088</v>
      </c>
      <c r="J39">
        <f ca="1">IFERROR(IF(0=LEN(ReferenceData!$J$39),"",ReferenceData!$J$39),"")</f>
        <v>2.7513100590000001</v>
      </c>
    </row>
    <row r="40" spans="1:10" x14ac:dyDescent="0.25">
      <c r="A40" t="str">
        <f>IFERROR(IF(0=LEN(ReferenceData!$A$40),"",ReferenceData!$A$40),"")</f>
        <v xml:space="preserve">                    Honda Motor Co Ltd</v>
      </c>
      <c r="B40" t="str">
        <f>IFERROR(IF(0=LEN(ReferenceData!$B$40),"",ReferenceData!$B$40),"")</f>
        <v>7267 JP Equity</v>
      </c>
      <c r="C40" t="str">
        <f>IFERROR(IF(0=LEN(ReferenceData!$C$40),"",ReferenceData!$C$40),"")</f>
        <v>F0946</v>
      </c>
      <c r="D40" t="str">
        <f>IFERROR(IF(0=LEN(ReferenceData!$D$40),"",ReferenceData!$D$40),"")</f>
        <v>TOTAL_GHG_CO2_EMISSIONS</v>
      </c>
      <c r="E40" t="str">
        <f>IFERROR(IF(0=LEN(ReferenceData!$E$40),"",ReferenceData!$E$40),"")</f>
        <v>Dynamic</v>
      </c>
      <c r="F40" t="str">
        <f ca="1">IFERROR(IF(0=LEN(ReferenceData!$F$40),"",ReferenceData!$F$40),"")</f>
        <v/>
      </c>
      <c r="G40">
        <f ca="1">IFERROR(IF(0=LEN(ReferenceData!$G$40),"",ReferenceData!$G$40),"")</f>
        <v>4.4053598630000002</v>
      </c>
      <c r="H40">
        <f ca="1">IFERROR(IF(0=LEN(ReferenceData!$H$40),"",ReferenceData!$H$40),"")</f>
        <v>4.17</v>
      </c>
      <c r="I40" t="str">
        <f ca="1">IFERROR(IF(0=LEN(ReferenceData!$I$40),"",ReferenceData!$I$40),"")</f>
        <v/>
      </c>
      <c r="J40" t="str">
        <f ca="1">IFERROR(IF(0=LEN(ReferenceData!$J$40),"",ReferenceData!$J$40),"")</f>
        <v/>
      </c>
    </row>
    <row r="41" spans="1:10" x14ac:dyDescent="0.25">
      <c r="A41" t="str">
        <f>IFERROR(IF(0=LEN(ReferenceData!$A$41),"",ReferenceData!$A$41),"")</f>
        <v xml:space="preserve">                    Isuzu Motors Ltd</v>
      </c>
      <c r="B41" t="str">
        <f>IFERROR(IF(0=LEN(ReferenceData!$B$41),"",ReferenceData!$B$41),"")</f>
        <v>7202 JP Equity</v>
      </c>
      <c r="C41" t="str">
        <f>IFERROR(IF(0=LEN(ReferenceData!$C$41),"",ReferenceData!$C$41),"")</f>
        <v>F0946</v>
      </c>
      <c r="D41" t="str">
        <f>IFERROR(IF(0=LEN(ReferenceData!$D$41),"",ReferenceData!$D$41),"")</f>
        <v>TOTAL_GHG_CO2_EMISSIONS</v>
      </c>
      <c r="E41" t="str">
        <f>IFERROR(IF(0=LEN(ReferenceData!$E$41),"",ReferenceData!$E$41),"")</f>
        <v>Dynamic</v>
      </c>
      <c r="F41" t="str">
        <f ca="1">IFERROR(IF(0=LEN(ReferenceData!$F$41),"",ReferenceData!$F$41),"")</f>
        <v/>
      </c>
      <c r="G41">
        <f ca="1">IFERROR(IF(0=LEN(ReferenceData!$G$41),"",ReferenceData!$G$41),"")</f>
        <v>0.28092199699999998</v>
      </c>
      <c r="H41">
        <f ca="1">IFERROR(IF(0=LEN(ReferenceData!$H$41),"",ReferenceData!$H$41),"")</f>
        <v>0.24572000099999999</v>
      </c>
      <c r="I41">
        <f ca="1">IFERROR(IF(0=LEN(ReferenceData!$I$41),"",ReferenceData!$I$41),"")</f>
        <v>0.42499999999999999</v>
      </c>
      <c r="J41">
        <f ca="1">IFERROR(IF(0=LEN(ReferenceData!$J$41),"",ReferenceData!$J$41),"")</f>
        <v>0.63500000000000001</v>
      </c>
    </row>
    <row r="42" spans="1:10" x14ac:dyDescent="0.25">
      <c r="A42" t="str">
        <f>IFERROR(IF(0=LEN(ReferenceData!$A$42),"",ReferenceData!$A$42),"")</f>
        <v xml:space="preserve">                    Kia Corp</v>
      </c>
      <c r="B42" t="str">
        <f>IFERROR(IF(0=LEN(ReferenceData!$B$42),"",ReferenceData!$B$42),"")</f>
        <v>000270 KS Equity</v>
      </c>
      <c r="C42" t="str">
        <f>IFERROR(IF(0=LEN(ReferenceData!$C$42),"",ReferenceData!$C$42),"")</f>
        <v>F0946</v>
      </c>
      <c r="D42" t="str">
        <f>IFERROR(IF(0=LEN(ReferenceData!$D$42),"",ReferenceData!$D$42),"")</f>
        <v>TOTAL_GHG_CO2_EMISSIONS</v>
      </c>
      <c r="E42" t="str">
        <f>IFERROR(IF(0=LEN(ReferenceData!$E$42),"",ReferenceData!$E$42),"")</f>
        <v>Dynamic</v>
      </c>
      <c r="F42" t="str">
        <f ca="1">IFERROR(IF(0=LEN(ReferenceData!$F$42),"",ReferenceData!$F$42),"")</f>
        <v/>
      </c>
      <c r="G42">
        <f ca="1">IFERROR(IF(0=LEN(ReferenceData!$G$42),"",ReferenceData!$G$42),"")</f>
        <v>1.1391999509999999</v>
      </c>
      <c r="H42">
        <f ca="1">IFERROR(IF(0=LEN(ReferenceData!$H$42),"",ReferenceData!$H$42),"")</f>
        <v>1.194</v>
      </c>
      <c r="I42">
        <f ca="1">IFERROR(IF(0=LEN(ReferenceData!$I$42),"",ReferenceData!$I$42),"")</f>
        <v>1.2070999760000001</v>
      </c>
      <c r="J42">
        <f ca="1">IFERROR(IF(0=LEN(ReferenceData!$J$42),"",ReferenceData!$J$42),"")</f>
        <v>1.151</v>
      </c>
    </row>
    <row r="43" spans="1:10" x14ac:dyDescent="0.25">
      <c r="A43" t="str">
        <f>IFERROR(IF(0=LEN(ReferenceData!$A$43),"",ReferenceData!$A$43),"")</f>
        <v xml:space="preserve">                    Li Auto Inc</v>
      </c>
      <c r="B43" t="str">
        <f>IFERROR(IF(0=LEN(ReferenceData!$B$43),"",ReferenceData!$B$43),"")</f>
        <v>LI US Equity</v>
      </c>
      <c r="C43" t="str">
        <f>IFERROR(IF(0=LEN(ReferenceData!$C$43),"",ReferenceData!$C$43),"")</f>
        <v>F0946</v>
      </c>
      <c r="D43" t="str">
        <f>IFERROR(IF(0=LEN(ReferenceData!$D$43),"",ReferenceData!$D$43),"")</f>
        <v>TOTAL_GHG_CO2_EMISSIONS</v>
      </c>
      <c r="E43" t="str">
        <f>IFERROR(IF(0=LEN(ReferenceData!$E$43),"",ReferenceData!$E$43),"")</f>
        <v>Dynamic</v>
      </c>
      <c r="F43">
        <f ca="1">IFERROR(IF(0=LEN(ReferenceData!$F$43),"",ReferenceData!$F$43),"")</f>
        <v>7.55102E-2</v>
      </c>
      <c r="G43">
        <f ca="1">IFERROR(IF(0=LEN(ReferenceData!$G$43),"",ReferenceData!$G$43),"")</f>
        <v>5.4882899999999998E-2</v>
      </c>
      <c r="H43" t="str">
        <f ca="1">IFERROR(IF(0=LEN(ReferenceData!$H$43),"",ReferenceData!$H$43),"")</f>
        <v/>
      </c>
      <c r="I43" t="str">
        <f ca="1">IFERROR(IF(0=LEN(ReferenceData!$I$43),"",ReferenceData!$I$43),"")</f>
        <v/>
      </c>
      <c r="J43" t="str">
        <f ca="1">IFERROR(IF(0=LEN(ReferenceData!$J$43),"",ReferenceData!$J$43),"")</f>
        <v/>
      </c>
    </row>
    <row r="44" spans="1:10" x14ac:dyDescent="0.25">
      <c r="A44" t="str">
        <f>IFERROR(IF(0=LEN(ReferenceData!$A$44),"",ReferenceData!$A$44),"")</f>
        <v xml:space="preserve">                    Lucid Group Inc</v>
      </c>
      <c r="B44" t="str">
        <f>IFERROR(IF(0=LEN(ReferenceData!$B$44),"",ReferenceData!$B$44),"")</f>
        <v>LCID US Equity</v>
      </c>
      <c r="C44" t="str">
        <f>IFERROR(IF(0=LEN(ReferenceData!$C$44),"",ReferenceData!$C$44),"")</f>
        <v>F0946</v>
      </c>
      <c r="D44" t="str">
        <f>IFERROR(IF(0=LEN(ReferenceData!$D$44),"",ReferenceData!$D$44),"")</f>
        <v>TOTAL_GHG_CO2_EMISSIONS</v>
      </c>
      <c r="E44" t="str">
        <f>IFERROR(IF(0=LEN(ReferenceData!$E$44),"",ReferenceData!$E$44),"")</f>
        <v>Dynamic</v>
      </c>
      <c r="F44" t="str">
        <f ca="1">IFERROR(IF(0=LEN(ReferenceData!$F$44),"",ReferenceData!$F$44),"")</f>
        <v/>
      </c>
      <c r="G44" t="str">
        <f ca="1">IFERROR(IF(0=LEN(ReferenceData!$G$44),"",ReferenceData!$G$44),"")</f>
        <v/>
      </c>
      <c r="H44" t="str">
        <f ca="1">IFERROR(IF(0=LEN(ReferenceData!$H$44),"",ReferenceData!$H$44),"")</f>
        <v/>
      </c>
      <c r="I44" t="str">
        <f ca="1">IFERROR(IF(0=LEN(ReferenceData!$I$44),"",ReferenceData!$I$44),"")</f>
        <v/>
      </c>
      <c r="J44" t="str">
        <f ca="1">IFERROR(IF(0=LEN(ReferenceData!$J$44),"",ReferenceData!$J$44),"")</f>
        <v/>
      </c>
    </row>
    <row r="45" spans="1:10" x14ac:dyDescent="0.25">
      <c r="A45" t="str">
        <f>IFERROR(IF(0=LEN(ReferenceData!$A$45),"",ReferenceData!$A$45),"")</f>
        <v xml:space="preserve">                    Mahindra &amp; Mahindra Ltd</v>
      </c>
      <c r="B45" t="str">
        <f>IFERROR(IF(0=LEN(ReferenceData!$B$45),"",ReferenceData!$B$45),"")</f>
        <v>MM IN Equity</v>
      </c>
      <c r="C45" t="str">
        <f>IFERROR(IF(0=LEN(ReferenceData!$C$45),"",ReferenceData!$C$45),"")</f>
        <v>F0946</v>
      </c>
      <c r="D45" t="str">
        <f>IFERROR(IF(0=LEN(ReferenceData!$D$45),"",ReferenceData!$D$45),"")</f>
        <v>TOTAL_GHG_CO2_EMISSIONS</v>
      </c>
      <c r="E45" t="str">
        <f>IFERROR(IF(0=LEN(ReferenceData!$E$45),"",ReferenceData!$E$45),"")</f>
        <v>Dynamic</v>
      </c>
      <c r="F45" t="str">
        <f ca="1">IFERROR(IF(0=LEN(ReferenceData!$F$45),"",ReferenceData!$F$45),"")</f>
        <v/>
      </c>
      <c r="G45">
        <f ca="1">IFERROR(IF(0=LEN(ReferenceData!$G$45),"",ReferenceData!$G$45),"")</f>
        <v>0</v>
      </c>
      <c r="H45">
        <f ca="1">IFERROR(IF(0=LEN(ReferenceData!$H$45),"",ReferenceData!$H$45),"")</f>
        <v>0.31402300999999999</v>
      </c>
      <c r="I45">
        <f ca="1">IFERROR(IF(0=LEN(ReferenceData!$I$45),"",ReferenceData!$I$45),"")</f>
        <v>0.34870300300000001</v>
      </c>
      <c r="J45">
        <f ca="1">IFERROR(IF(0=LEN(ReferenceData!$J$45),"",ReferenceData!$J$45),"")</f>
        <v>0.40156201200000002</v>
      </c>
    </row>
    <row r="46" spans="1:10" x14ac:dyDescent="0.25">
      <c r="A46" t="str">
        <f>IFERROR(IF(0=LEN(ReferenceData!$A$46),"",ReferenceData!$A$46),"")</f>
        <v xml:space="preserve">                    Maruti Suzuki India Ltd</v>
      </c>
      <c r="B46" t="str">
        <f>IFERROR(IF(0=LEN(ReferenceData!$B$46),"",ReferenceData!$B$46),"")</f>
        <v>MSIL IN Equity</v>
      </c>
      <c r="C46" t="str">
        <f>IFERROR(IF(0=LEN(ReferenceData!$C$46),"",ReferenceData!$C$46),"")</f>
        <v>F0946</v>
      </c>
      <c r="D46" t="str">
        <f>IFERROR(IF(0=LEN(ReferenceData!$D$46),"",ReferenceData!$D$46),"")</f>
        <v>TOTAL_GHG_CO2_EMISSIONS</v>
      </c>
      <c r="E46" t="str">
        <f>IFERROR(IF(0=LEN(ReferenceData!$E$46),"",ReferenceData!$E$46),"")</f>
        <v>Dynamic</v>
      </c>
      <c r="F46" t="str">
        <f ca="1">IFERROR(IF(0=LEN(ReferenceData!$F$46),"",ReferenceData!$F$46),"")</f>
        <v/>
      </c>
      <c r="G46">
        <f ca="1">IFERROR(IF(0=LEN(ReferenceData!$G$46),"",ReferenceData!$G$46),"")</f>
        <v>0.41812298599999997</v>
      </c>
      <c r="H46">
        <f ca="1">IFERROR(IF(0=LEN(ReferenceData!$H$46),"",ReferenceData!$H$46),"")</f>
        <v>0.39109600799999999</v>
      </c>
      <c r="I46">
        <f ca="1">IFERROR(IF(0=LEN(ReferenceData!$I$46),"",ReferenceData!$I$46),"")</f>
        <v>0.41203698700000002</v>
      </c>
      <c r="J46">
        <f ca="1">IFERROR(IF(0=LEN(ReferenceData!$J$46),"",ReferenceData!$J$46),"")</f>
        <v>0.455765015</v>
      </c>
    </row>
    <row r="47" spans="1:10" x14ac:dyDescent="0.25">
      <c r="A47" t="str">
        <f>IFERROR(IF(0=LEN(ReferenceData!$A$47),"",ReferenceData!$A$47),"")</f>
        <v xml:space="preserve">                    Mitsubishi Motors Corp</v>
      </c>
      <c r="B47" t="str">
        <f>IFERROR(IF(0=LEN(ReferenceData!$B$47),"",ReferenceData!$B$47),"")</f>
        <v>7211 JP Equity</v>
      </c>
      <c r="C47" t="str">
        <f>IFERROR(IF(0=LEN(ReferenceData!$C$47),"",ReferenceData!$C$47),"")</f>
        <v>F0946</v>
      </c>
      <c r="D47" t="str">
        <f>IFERROR(IF(0=LEN(ReferenceData!$D$47),"",ReferenceData!$D$47),"")</f>
        <v>TOTAL_GHG_CO2_EMISSIONS</v>
      </c>
      <c r="E47" t="str">
        <f>IFERROR(IF(0=LEN(ReferenceData!$E$47),"",ReferenceData!$E$47),"")</f>
        <v>Dynamic</v>
      </c>
      <c r="F47" t="str">
        <f ca="1">IFERROR(IF(0=LEN(ReferenceData!$F$47),"",ReferenceData!$F$47),"")</f>
        <v/>
      </c>
      <c r="G47">
        <f ca="1">IFERROR(IF(0=LEN(ReferenceData!$G$47),"",ReferenceData!$G$47),"")</f>
        <v>0.39738000499999998</v>
      </c>
      <c r="H47">
        <f ca="1">IFERROR(IF(0=LEN(ReferenceData!$H$47),"",ReferenceData!$H$47),"")</f>
        <v>0.35923199500000003</v>
      </c>
      <c r="I47">
        <f ca="1">IFERROR(IF(0=LEN(ReferenceData!$I$47),"",ReferenceData!$I$47),"")</f>
        <v>0.52600000000000002</v>
      </c>
      <c r="J47">
        <f ca="1">IFERROR(IF(0=LEN(ReferenceData!$J$47),"",ReferenceData!$J$47),"")</f>
        <v>0.58799999999999997</v>
      </c>
    </row>
    <row r="48" spans="1:10" x14ac:dyDescent="0.25">
      <c r="A48" t="str">
        <f>IFERROR(IF(0=LEN(ReferenceData!$A$48),"",ReferenceData!$A$48),"")</f>
        <v xml:space="preserve">                    Mazda Motor Corp</v>
      </c>
      <c r="B48" t="str">
        <f>IFERROR(IF(0=LEN(ReferenceData!$B$48),"",ReferenceData!$B$48),"")</f>
        <v>7261 JP Equity</v>
      </c>
      <c r="C48" t="str">
        <f>IFERROR(IF(0=LEN(ReferenceData!$C$48),"",ReferenceData!$C$48),"")</f>
        <v>F0946</v>
      </c>
      <c r="D48" t="str">
        <f>IFERROR(IF(0=LEN(ReferenceData!$D$48),"",ReferenceData!$D$48),"")</f>
        <v>TOTAL_GHG_CO2_EMISSIONS</v>
      </c>
      <c r="E48" t="str">
        <f>IFERROR(IF(0=LEN(ReferenceData!$E$48),"",ReferenceData!$E$48),"")</f>
        <v>Dynamic</v>
      </c>
      <c r="F48" t="str">
        <f ca="1">IFERROR(IF(0=LEN(ReferenceData!$F$48),"",ReferenceData!$F$48),"")</f>
        <v/>
      </c>
      <c r="G48">
        <f ca="1">IFERROR(IF(0=LEN(ReferenceData!$G$48),"",ReferenceData!$G$48),"")</f>
        <v>0.58852001899999995</v>
      </c>
      <c r="H48">
        <f ca="1">IFERROR(IF(0=LEN(ReferenceData!$H$48),"",ReferenceData!$H$48),"")</f>
        <v>0.54604998800000004</v>
      </c>
      <c r="I48">
        <f ca="1">IFERROR(IF(0=LEN(ReferenceData!$I$48),"",ReferenceData!$I$48),"")</f>
        <v>0.64800000000000002</v>
      </c>
      <c r="J48">
        <f ca="1">IFERROR(IF(0=LEN(ReferenceData!$J$48),"",ReferenceData!$J$48),"")</f>
        <v>0.70499999999999996</v>
      </c>
    </row>
    <row r="49" spans="1:10" x14ac:dyDescent="0.25">
      <c r="A49" t="str">
        <f>IFERROR(IF(0=LEN(ReferenceData!$A$49),"",ReferenceData!$A$49),"")</f>
        <v xml:space="preserve">                    Mercedes-Benz Group AG</v>
      </c>
      <c r="B49" t="str">
        <f>IFERROR(IF(0=LEN(ReferenceData!$B$49),"",ReferenceData!$B$49),"")</f>
        <v>MBG GR Equity</v>
      </c>
      <c r="C49" t="str">
        <f>IFERROR(IF(0=LEN(ReferenceData!$C$49),"",ReferenceData!$C$49),"")</f>
        <v>F0946</v>
      </c>
      <c r="D49" t="str">
        <f>IFERROR(IF(0=LEN(ReferenceData!$D$49),"",ReferenceData!$D$49),"")</f>
        <v>TOTAL_GHG_CO2_EMISSIONS</v>
      </c>
      <c r="E49" t="str">
        <f>IFERROR(IF(0=LEN(ReferenceData!$E$49),"",ReferenceData!$E$49),"")</f>
        <v>Dynamic</v>
      </c>
      <c r="F49">
        <f ca="1">IFERROR(IF(0=LEN(ReferenceData!$F$49),"",ReferenceData!$F$49),"")</f>
        <v>1.69</v>
      </c>
      <c r="G49">
        <f ca="1">IFERROR(IF(0=LEN(ReferenceData!$G$49),"",ReferenceData!$G$49),"")</f>
        <v>1.804</v>
      </c>
      <c r="H49">
        <f ca="1">IFERROR(IF(0=LEN(ReferenceData!$H$49),"",ReferenceData!$H$49),"")</f>
        <v>2.5190000000000001</v>
      </c>
      <c r="I49">
        <f ca="1">IFERROR(IF(0=LEN(ReferenceData!$I$49),"",ReferenceData!$I$49),"")</f>
        <v>2.9449999999999998</v>
      </c>
      <c r="J49">
        <f ca="1">IFERROR(IF(0=LEN(ReferenceData!$J$49),"",ReferenceData!$J$49),"")</f>
        <v>3.2320000000000002</v>
      </c>
    </row>
    <row r="50" spans="1:10" x14ac:dyDescent="0.25">
      <c r="A50" t="str">
        <f>IFERROR(IF(0=LEN(ReferenceData!$A$50),"",ReferenceData!$A$50),"")</f>
        <v xml:space="preserve">                    NIO Inc</v>
      </c>
      <c r="B50" t="str">
        <f>IFERROR(IF(0=LEN(ReferenceData!$B$50),"",ReferenceData!$B$50),"")</f>
        <v>NIO US Equity</v>
      </c>
      <c r="C50" t="str">
        <f>IFERROR(IF(0=LEN(ReferenceData!$C$50),"",ReferenceData!$C$50),"")</f>
        <v>F0946</v>
      </c>
      <c r="D50" t="str">
        <f>IFERROR(IF(0=LEN(ReferenceData!$D$50),"",ReferenceData!$D$50),"")</f>
        <v>TOTAL_GHG_CO2_EMISSIONS</v>
      </c>
      <c r="E50" t="str">
        <f>IFERROR(IF(0=LEN(ReferenceData!$E$50),"",ReferenceData!$E$50),"")</f>
        <v>Dynamic</v>
      </c>
      <c r="F50" t="str">
        <f ca="1">IFERROR(IF(0=LEN(ReferenceData!$F$50),"",ReferenceData!$F$50),"")</f>
        <v/>
      </c>
      <c r="G50">
        <f ca="1">IFERROR(IF(0=LEN(ReferenceData!$G$50),"",ReferenceData!$G$50),"")</f>
        <v>5.3847301E-2</v>
      </c>
      <c r="H50" t="str">
        <f ca="1">IFERROR(IF(0=LEN(ReferenceData!$H$50),"",ReferenceData!$H$50),"")</f>
        <v/>
      </c>
      <c r="I50" t="str">
        <f ca="1">IFERROR(IF(0=LEN(ReferenceData!$I$50),"",ReferenceData!$I$50),"")</f>
        <v/>
      </c>
      <c r="J50" t="str">
        <f ca="1">IFERROR(IF(0=LEN(ReferenceData!$J$50),"",ReferenceData!$J$50),"")</f>
        <v/>
      </c>
    </row>
    <row r="51" spans="1:10" x14ac:dyDescent="0.25">
      <c r="A51" t="str">
        <f>IFERROR(IF(0=LEN(ReferenceData!$A$51),"",ReferenceData!$A$51),"")</f>
        <v xml:space="preserve">                    Nissan Motor Co Ltd</v>
      </c>
      <c r="B51" t="str">
        <f>IFERROR(IF(0=LEN(ReferenceData!$B$51),"",ReferenceData!$B$51),"")</f>
        <v>7201 JP Equity</v>
      </c>
      <c r="C51" t="str">
        <f>IFERROR(IF(0=LEN(ReferenceData!$C$51),"",ReferenceData!$C$51),"")</f>
        <v>F0946</v>
      </c>
      <c r="D51" t="str">
        <f>IFERROR(IF(0=LEN(ReferenceData!$D$51),"",ReferenceData!$D$51),"")</f>
        <v>TOTAL_GHG_CO2_EMISSIONS</v>
      </c>
      <c r="E51" t="str">
        <f>IFERROR(IF(0=LEN(ReferenceData!$E$51),"",ReferenceData!$E$51),"")</f>
        <v>Dynamic</v>
      </c>
      <c r="F51" t="str">
        <f ca="1">IFERROR(IF(0=LEN(ReferenceData!$F$51),"",ReferenceData!$F$51),"")</f>
        <v/>
      </c>
      <c r="G51">
        <f ca="1">IFERROR(IF(0=LEN(ReferenceData!$G$51),"",ReferenceData!$G$51),"")</f>
        <v>2.3086398930000001</v>
      </c>
      <c r="H51">
        <f ca="1">IFERROR(IF(0=LEN(ReferenceData!$H$51),"",ReferenceData!$H$51),"")</f>
        <v>3.3196201169999999</v>
      </c>
      <c r="I51">
        <f ca="1">IFERROR(IF(0=LEN(ReferenceData!$I$51),"",ReferenceData!$I$51),"")</f>
        <v>2.9386101070000001</v>
      </c>
      <c r="J51">
        <f ca="1">IFERROR(IF(0=LEN(ReferenceData!$J$51),"",ReferenceData!$J$51),"")</f>
        <v>3.2293300779999998</v>
      </c>
    </row>
    <row r="52" spans="1:10" x14ac:dyDescent="0.25">
      <c r="A52" t="str">
        <f>IFERROR(IF(0=LEN(ReferenceData!$A$52),"",ReferenceData!$A$52),"")</f>
        <v xml:space="preserve">                    Polestar Automotive Holding UK</v>
      </c>
      <c r="B52" t="str">
        <f>IFERROR(IF(0=LEN(ReferenceData!$B$52),"",ReferenceData!$B$52),"")</f>
        <v>PSNY US Equity</v>
      </c>
      <c r="C52" t="str">
        <f>IFERROR(IF(0=LEN(ReferenceData!$C$52),"",ReferenceData!$C$52),"")</f>
        <v>F0946</v>
      </c>
      <c r="D52" t="str">
        <f>IFERROR(IF(0=LEN(ReferenceData!$D$52),"",ReferenceData!$D$52),"")</f>
        <v>TOTAL_GHG_CO2_EMISSIONS</v>
      </c>
      <c r="E52" t="str">
        <f>IFERROR(IF(0=LEN(ReferenceData!$E$52),"",ReferenceData!$E$52),"")</f>
        <v>Dynamic</v>
      </c>
      <c r="F52">
        <f ca="1">IFERROR(IF(0=LEN(ReferenceData!$F$52),"",ReferenceData!$F$52),"")</f>
        <v>8.0400000000000003E-3</v>
      </c>
      <c r="G52" t="str">
        <f ca="1">IFERROR(IF(0=LEN(ReferenceData!$G$52),"",ReferenceData!$G$52),"")</f>
        <v/>
      </c>
      <c r="H52" t="str">
        <f ca="1">IFERROR(IF(0=LEN(ReferenceData!$H$52),"",ReferenceData!$H$52),"")</f>
        <v/>
      </c>
      <c r="I52" t="str">
        <f ca="1">IFERROR(IF(0=LEN(ReferenceData!$I$52),"",ReferenceData!$I$52),"")</f>
        <v/>
      </c>
      <c r="J52" t="str">
        <f ca="1">IFERROR(IF(0=LEN(ReferenceData!$J$52),"",ReferenceData!$J$52),"")</f>
        <v/>
      </c>
    </row>
    <row r="53" spans="1:10" x14ac:dyDescent="0.25">
      <c r="A53" t="str">
        <f>IFERROR(IF(0=LEN(ReferenceData!$A$53),"",ReferenceData!$A$53),"")</f>
        <v xml:space="preserve">                    Renault SA</v>
      </c>
      <c r="B53" t="str">
        <f>IFERROR(IF(0=LEN(ReferenceData!$B$53),"",ReferenceData!$B$53),"")</f>
        <v>RNO FP Equity</v>
      </c>
      <c r="C53" t="str">
        <f>IFERROR(IF(0=LEN(ReferenceData!$C$53),"",ReferenceData!$C$53),"")</f>
        <v>F0946</v>
      </c>
      <c r="D53" t="str">
        <f>IFERROR(IF(0=LEN(ReferenceData!$D$53),"",ReferenceData!$D$53),"")</f>
        <v>TOTAL_GHG_CO2_EMISSIONS</v>
      </c>
      <c r="E53" t="str">
        <f>IFERROR(IF(0=LEN(ReferenceData!$E$53),"",ReferenceData!$E$53),"")</f>
        <v>Dynamic</v>
      </c>
      <c r="F53">
        <f ca="1">IFERROR(IF(0=LEN(ReferenceData!$F$53),"",ReferenceData!$F$53),"")</f>
        <v>0.60627197300000002</v>
      </c>
      <c r="G53">
        <f ca="1">IFERROR(IF(0=LEN(ReferenceData!$G$53),"",ReferenceData!$G$53),"")</f>
        <v>1.0073400269999999</v>
      </c>
      <c r="H53">
        <f ca="1">IFERROR(IF(0=LEN(ReferenceData!$H$53),"",ReferenceData!$H$53),"")</f>
        <v>1.034219971</v>
      </c>
      <c r="I53">
        <f ca="1">IFERROR(IF(0=LEN(ReferenceData!$I$53),"",ReferenceData!$I$53),"")</f>
        <v>1.324040039</v>
      </c>
      <c r="J53">
        <f ca="1">IFERROR(IF(0=LEN(ReferenceData!$J$53),"",ReferenceData!$J$53),"")</f>
        <v>1.3266099849999999</v>
      </c>
    </row>
    <row r="54" spans="1:10" x14ac:dyDescent="0.25">
      <c r="A54" t="str">
        <f>IFERROR(IF(0=LEN(ReferenceData!$A$54),"",ReferenceData!$A$54),"")</f>
        <v xml:space="preserve">                    Rivian Automotive Inc</v>
      </c>
      <c r="B54" t="str">
        <f>IFERROR(IF(0=LEN(ReferenceData!$B$54),"",ReferenceData!$B$54),"")</f>
        <v>RIVN US Equity</v>
      </c>
      <c r="C54" t="str">
        <f>IFERROR(IF(0=LEN(ReferenceData!$C$54),"",ReferenceData!$C$54),"")</f>
        <v>F0946</v>
      </c>
      <c r="D54" t="str">
        <f>IFERROR(IF(0=LEN(ReferenceData!$D$54),"",ReferenceData!$D$54),"")</f>
        <v>TOTAL_GHG_CO2_EMISSIONS</v>
      </c>
      <c r="E54" t="str">
        <f>IFERROR(IF(0=LEN(ReferenceData!$E$54),"",ReferenceData!$E$54),"")</f>
        <v>Dynamic</v>
      </c>
      <c r="F54" t="str">
        <f ca="1">IFERROR(IF(0=LEN(ReferenceData!$F$54),"",ReferenceData!$F$54),"")</f>
        <v/>
      </c>
      <c r="G54" t="str">
        <f ca="1">IFERROR(IF(0=LEN(ReferenceData!$G$54),"",ReferenceData!$G$54),"")</f>
        <v/>
      </c>
      <c r="H54" t="str">
        <f ca="1">IFERROR(IF(0=LEN(ReferenceData!$H$54),"",ReferenceData!$H$54),"")</f>
        <v/>
      </c>
      <c r="I54" t="str">
        <f ca="1">IFERROR(IF(0=LEN(ReferenceData!$I$54),"",ReferenceData!$I$54),"")</f>
        <v/>
      </c>
      <c r="J54" t="str">
        <f ca="1">IFERROR(IF(0=LEN(ReferenceData!$J$54),"",ReferenceData!$J$54),"")</f>
        <v/>
      </c>
    </row>
    <row r="55" spans="1:10" x14ac:dyDescent="0.25">
      <c r="A55" t="str">
        <f>IFERROR(IF(0=LEN(ReferenceData!$A$55),"",ReferenceData!$A$55),"")</f>
        <v xml:space="preserve">                    SAIC Motor Corp Ltd</v>
      </c>
      <c r="B55" t="str">
        <f>IFERROR(IF(0=LEN(ReferenceData!$B$55),"",ReferenceData!$B$55),"")</f>
        <v>600104 CH Equity</v>
      </c>
      <c r="C55" t="str">
        <f>IFERROR(IF(0=LEN(ReferenceData!$C$55),"",ReferenceData!$C$55),"")</f>
        <v>F0946</v>
      </c>
      <c r="D55" t="str">
        <f>IFERROR(IF(0=LEN(ReferenceData!$D$55),"",ReferenceData!$D$55),"")</f>
        <v>TOTAL_GHG_CO2_EMISSIONS</v>
      </c>
      <c r="E55" t="str">
        <f>IFERROR(IF(0=LEN(ReferenceData!$E$55),"",ReferenceData!$E$55),"")</f>
        <v>Dynamic</v>
      </c>
      <c r="F55">
        <f ca="1">IFERROR(IF(0=LEN(ReferenceData!$F$55),"",ReferenceData!$F$55),"")</f>
        <v>5.31</v>
      </c>
      <c r="G55">
        <f ca="1">IFERROR(IF(0=LEN(ReferenceData!$G$55),"",ReferenceData!$G$55),"")</f>
        <v>5.21</v>
      </c>
      <c r="H55">
        <f ca="1">IFERROR(IF(0=LEN(ReferenceData!$H$55),"",ReferenceData!$H$55),"")</f>
        <v>5.0199999999999996</v>
      </c>
      <c r="I55">
        <f ca="1">IFERROR(IF(0=LEN(ReferenceData!$I$55),"",ReferenceData!$I$55),"")</f>
        <v>5.24</v>
      </c>
      <c r="J55">
        <f ca="1">IFERROR(IF(0=LEN(ReferenceData!$J$55),"",ReferenceData!$J$55),"")</f>
        <v>5.75</v>
      </c>
    </row>
    <row r="56" spans="1:10" x14ac:dyDescent="0.25">
      <c r="A56" t="str">
        <f>IFERROR(IF(0=LEN(ReferenceData!$A$56),"",ReferenceData!$A$56),"")</f>
        <v xml:space="preserve">                    Subaru Corp</v>
      </c>
      <c r="B56" t="str">
        <f>IFERROR(IF(0=LEN(ReferenceData!$B$56),"",ReferenceData!$B$56),"")</f>
        <v>7270 JP Equity</v>
      </c>
      <c r="C56" t="str">
        <f>IFERROR(IF(0=LEN(ReferenceData!$C$56),"",ReferenceData!$C$56),"")</f>
        <v>F0946</v>
      </c>
      <c r="D56" t="str">
        <f>IFERROR(IF(0=LEN(ReferenceData!$D$56),"",ReferenceData!$D$56),"")</f>
        <v>TOTAL_GHG_CO2_EMISSIONS</v>
      </c>
      <c r="E56" t="str">
        <f>IFERROR(IF(0=LEN(ReferenceData!$E$56),"",ReferenceData!$E$56),"")</f>
        <v>Dynamic</v>
      </c>
      <c r="F56" t="str">
        <f ca="1">IFERROR(IF(0=LEN(ReferenceData!$F$56),"",ReferenceData!$F$56),"")</f>
        <v/>
      </c>
      <c r="G56">
        <f ca="1">IFERROR(IF(0=LEN(ReferenceData!$G$56),"",ReferenceData!$G$56),"")</f>
        <v>0.470696014</v>
      </c>
      <c r="H56">
        <f ca="1">IFERROR(IF(0=LEN(ReferenceData!$H$56),"",ReferenceData!$H$56),"")</f>
        <v>0.59099999999999997</v>
      </c>
      <c r="I56">
        <f ca="1">IFERROR(IF(0=LEN(ReferenceData!$I$56),"",ReferenceData!$I$56),"")</f>
        <v>0.67</v>
      </c>
      <c r="J56">
        <f ca="1">IFERROR(IF(0=LEN(ReferenceData!$J$56),"",ReferenceData!$J$56),"")</f>
        <v>0.55500000000000005</v>
      </c>
    </row>
    <row r="57" spans="1:10" x14ac:dyDescent="0.25">
      <c r="A57" t="str">
        <f>IFERROR(IF(0=LEN(ReferenceData!$A$57),"",ReferenceData!$A$57),"")</f>
        <v xml:space="preserve">                    Stellantis NV</v>
      </c>
      <c r="B57" t="str">
        <f>IFERROR(IF(0=LEN(ReferenceData!$B$57),"",ReferenceData!$B$57),"")</f>
        <v>STLA US Equity</v>
      </c>
      <c r="C57" t="str">
        <f>IFERROR(IF(0=LEN(ReferenceData!$C$57),"",ReferenceData!$C$57),"")</f>
        <v>F0946</v>
      </c>
      <c r="D57" t="str">
        <f>IFERROR(IF(0=LEN(ReferenceData!$D$57),"",ReferenceData!$D$57),"")</f>
        <v>TOTAL_GHG_CO2_EMISSIONS</v>
      </c>
      <c r="E57" t="str">
        <f>IFERROR(IF(0=LEN(ReferenceData!$E$57),"",ReferenceData!$E$57),"")</f>
        <v>Dynamic</v>
      </c>
      <c r="F57">
        <f ca="1">IFERROR(IF(0=LEN(ReferenceData!$F$57),"",ReferenceData!$F$57),"")</f>
        <v>3.4431201169999999</v>
      </c>
      <c r="G57">
        <f ca="1">IFERROR(IF(0=LEN(ReferenceData!$G$57),"",ReferenceData!$G$57),"")</f>
        <v>3.8744899899999998</v>
      </c>
      <c r="H57">
        <f ca="1">IFERROR(IF(0=LEN(ReferenceData!$H$57),"",ReferenceData!$H$57),"")</f>
        <v>2.8615100099999999</v>
      </c>
      <c r="I57">
        <f ca="1">IFERROR(IF(0=LEN(ReferenceData!$I$57),"",ReferenceData!$I$57),"")</f>
        <v>3.3550800779999999</v>
      </c>
      <c r="J57">
        <f ca="1">IFERROR(IF(0=LEN(ReferenceData!$J$57),"",ReferenceData!$J$57),"")</f>
        <v>3.9252600100000001</v>
      </c>
    </row>
    <row r="58" spans="1:10" x14ac:dyDescent="0.25">
      <c r="A58" t="str">
        <f>IFERROR(IF(0=LEN(ReferenceData!$A$58),"",ReferenceData!$A$58),"")</f>
        <v xml:space="preserve">                    Suzuki Motor Corp</v>
      </c>
      <c r="B58" t="str">
        <f>IFERROR(IF(0=LEN(ReferenceData!$B$58),"",ReferenceData!$B$58),"")</f>
        <v>7269 JP Equity</v>
      </c>
      <c r="C58" t="str">
        <f>IFERROR(IF(0=LEN(ReferenceData!$C$58),"",ReferenceData!$C$58),"")</f>
        <v>F0946</v>
      </c>
      <c r="D58" t="str">
        <f>IFERROR(IF(0=LEN(ReferenceData!$D$58),"",ReferenceData!$D$58),"")</f>
        <v>TOTAL_GHG_CO2_EMISSIONS</v>
      </c>
      <c r="E58" t="str">
        <f>IFERROR(IF(0=LEN(ReferenceData!$E$58),"",ReferenceData!$E$58),"")</f>
        <v>Dynamic</v>
      </c>
      <c r="F58" t="str">
        <f ca="1">IFERROR(IF(0=LEN(ReferenceData!$F$58),"",ReferenceData!$F$58),"")</f>
        <v/>
      </c>
      <c r="G58">
        <f ca="1">IFERROR(IF(0=LEN(ReferenceData!$G$58),"",ReferenceData!$G$58),"")</f>
        <v>1.1100000000000001</v>
      </c>
      <c r="H58">
        <f ca="1">IFERROR(IF(0=LEN(ReferenceData!$H$58),"",ReferenceData!$H$58),"")</f>
        <v>1.04</v>
      </c>
      <c r="I58">
        <f ca="1">IFERROR(IF(0=LEN(ReferenceData!$I$58),"",ReferenceData!$I$58),"")</f>
        <v>1.1599999999999999</v>
      </c>
      <c r="J58">
        <f ca="1">IFERROR(IF(0=LEN(ReferenceData!$J$58),"",ReferenceData!$J$58),"")</f>
        <v>1.24</v>
      </c>
    </row>
    <row r="59" spans="1:10" x14ac:dyDescent="0.25">
      <c r="A59" t="str">
        <f>IFERROR(IF(0=LEN(ReferenceData!$A$59),"",ReferenceData!$A$59),"")</f>
        <v xml:space="preserve">                    Tata Motors Ltd</v>
      </c>
      <c r="B59" t="str">
        <f>IFERROR(IF(0=LEN(ReferenceData!$B$59),"",ReferenceData!$B$59),"")</f>
        <v>TTMT IN Equity</v>
      </c>
      <c r="C59" t="str">
        <f>IFERROR(IF(0=LEN(ReferenceData!$C$59),"",ReferenceData!$C$59),"")</f>
        <v>F0946</v>
      </c>
      <c r="D59" t="str">
        <f>IFERROR(IF(0=LEN(ReferenceData!$D$59),"",ReferenceData!$D$59),"")</f>
        <v>TOTAL_GHG_CO2_EMISSIONS</v>
      </c>
      <c r="E59" t="str">
        <f>IFERROR(IF(0=LEN(ReferenceData!$E$59),"",ReferenceData!$E$59),"")</f>
        <v>Dynamic</v>
      </c>
      <c r="F59" t="str">
        <f ca="1">IFERROR(IF(0=LEN(ReferenceData!$F$59),"",ReferenceData!$F$59),"")</f>
        <v/>
      </c>
      <c r="G59">
        <f ca="1">IFERROR(IF(0=LEN(ReferenceData!$G$59),"",ReferenceData!$G$59),"")</f>
        <v>0.541254028</v>
      </c>
      <c r="H59">
        <f ca="1">IFERROR(IF(0=LEN(ReferenceData!$H$59),"",ReferenceData!$H$59),"")</f>
        <v>0.541254028</v>
      </c>
      <c r="I59">
        <f ca="1">IFERROR(IF(0=LEN(ReferenceData!$I$59),"",ReferenceData!$I$59),"")</f>
        <v>0.59703399700000004</v>
      </c>
      <c r="J59" t="str">
        <f ca="1">IFERROR(IF(0=LEN(ReferenceData!$J$59),"",ReferenceData!$J$59),"")</f>
        <v/>
      </c>
    </row>
    <row r="60" spans="1:10" x14ac:dyDescent="0.25">
      <c r="A60" t="str">
        <f>IFERROR(IF(0=LEN(ReferenceData!$A$60),"",ReferenceData!$A$60),"")</f>
        <v xml:space="preserve">                    Tesla Inc</v>
      </c>
      <c r="B60" t="str">
        <f>IFERROR(IF(0=LEN(ReferenceData!$B$60),"",ReferenceData!$B$60),"")</f>
        <v>TSLA US Equity</v>
      </c>
      <c r="C60" t="str">
        <f>IFERROR(IF(0=LEN(ReferenceData!$C$60),"",ReferenceData!$C$60),"")</f>
        <v>F0946</v>
      </c>
      <c r="D60" t="str">
        <f>IFERROR(IF(0=LEN(ReferenceData!$D$60),"",ReferenceData!$D$60),"")</f>
        <v>TOTAL_GHG_CO2_EMISSIONS</v>
      </c>
      <c r="E60" t="str">
        <f>IFERROR(IF(0=LEN(ReferenceData!$E$60),"",ReferenceData!$E$60),"")</f>
        <v>Dynamic</v>
      </c>
      <c r="F60">
        <f ca="1">IFERROR(IF(0=LEN(ReferenceData!$F$60),"",ReferenceData!$F$60),"")</f>
        <v>0.61</v>
      </c>
      <c r="G60">
        <f ca="1">IFERROR(IF(0=LEN(ReferenceData!$G$60),"",ReferenceData!$G$60),"")</f>
        <v>0.58799999999999997</v>
      </c>
      <c r="H60" t="str">
        <f ca="1">IFERROR(IF(0=LEN(ReferenceData!$H$60),"",ReferenceData!$H$60),"")</f>
        <v/>
      </c>
      <c r="I60" t="str">
        <f ca="1">IFERROR(IF(0=LEN(ReferenceData!$I$60),"",ReferenceData!$I$60),"")</f>
        <v/>
      </c>
      <c r="J60" t="str">
        <f ca="1">IFERROR(IF(0=LEN(ReferenceData!$J$60),"",ReferenceData!$J$60),"")</f>
        <v/>
      </c>
    </row>
    <row r="61" spans="1:10" x14ac:dyDescent="0.25">
      <c r="A61" t="str">
        <f>IFERROR(IF(0=LEN(ReferenceData!$A$61),"",ReferenceData!$A$61),"")</f>
        <v xml:space="preserve">                    Toyota Motor Corp</v>
      </c>
      <c r="B61" t="str">
        <f>IFERROR(IF(0=LEN(ReferenceData!$B$61),"",ReferenceData!$B$61),"")</f>
        <v>7203 JP Equity</v>
      </c>
      <c r="C61" t="str">
        <f>IFERROR(IF(0=LEN(ReferenceData!$C$61),"",ReferenceData!$C$61),"")</f>
        <v>F0946</v>
      </c>
      <c r="D61" t="str">
        <f>IFERROR(IF(0=LEN(ReferenceData!$D$61),"",ReferenceData!$D$61),"")</f>
        <v>TOTAL_GHG_CO2_EMISSIONS</v>
      </c>
      <c r="E61" t="str">
        <f>IFERROR(IF(0=LEN(ReferenceData!$E$61),"",ReferenceData!$E$61),"")</f>
        <v>Dynamic</v>
      </c>
      <c r="F61" t="str">
        <f ca="1">IFERROR(IF(0=LEN(ReferenceData!$F$61),"",ReferenceData!$F$61),"")</f>
        <v/>
      </c>
      <c r="G61">
        <f ca="1">IFERROR(IF(0=LEN(ReferenceData!$G$61),"",ReferenceData!$G$61),"")</f>
        <v>6.46</v>
      </c>
      <c r="H61">
        <f ca="1">IFERROR(IF(0=LEN(ReferenceData!$H$61),"",ReferenceData!$H$61),"")</f>
        <v>5.3267900389999996</v>
      </c>
      <c r="I61">
        <f ca="1">IFERROR(IF(0=LEN(ReferenceData!$I$61),"",ReferenceData!$I$61),"")</f>
        <v>6.1488598630000002</v>
      </c>
      <c r="J61">
        <f ca="1">IFERROR(IF(0=LEN(ReferenceData!$J$61),"",ReferenceData!$J$61),"")</f>
        <v>7.65</v>
      </c>
    </row>
    <row r="62" spans="1:10" x14ac:dyDescent="0.25">
      <c r="A62" t="str">
        <f>IFERROR(IF(0=LEN(ReferenceData!$A$62),"",ReferenceData!$A$62),"")</f>
        <v xml:space="preserve">                    Volkswagen AG</v>
      </c>
      <c r="B62" t="str">
        <f>IFERROR(IF(0=LEN(ReferenceData!$B$62),"",ReferenceData!$B$62),"")</f>
        <v>VOW GR Equity</v>
      </c>
      <c r="C62" t="str">
        <f>IFERROR(IF(0=LEN(ReferenceData!$C$62),"",ReferenceData!$C$62),"")</f>
        <v>F0946</v>
      </c>
      <c r="D62" t="str">
        <f>IFERROR(IF(0=LEN(ReferenceData!$D$62),"",ReferenceData!$D$62),"")</f>
        <v>TOTAL_GHG_CO2_EMISSIONS</v>
      </c>
      <c r="E62" t="str">
        <f>IFERROR(IF(0=LEN(ReferenceData!$E$62),"",ReferenceData!$E$62),"")</f>
        <v>Dynamic</v>
      </c>
      <c r="F62">
        <f ca="1">IFERROR(IF(0=LEN(ReferenceData!$F$62),"",ReferenceData!$F$62),"")</f>
        <v>6.57</v>
      </c>
      <c r="G62">
        <f ca="1">IFERROR(IF(0=LEN(ReferenceData!$G$62),"",ReferenceData!$G$62),"")</f>
        <v>9.9368300779999998</v>
      </c>
      <c r="H62">
        <f ca="1">IFERROR(IF(0=LEN(ReferenceData!$H$62),"",ReferenceData!$H$62),"")</f>
        <v>9.5931103520000001</v>
      </c>
      <c r="I62">
        <f ca="1">IFERROR(IF(0=LEN(ReferenceData!$I$62),"",ReferenceData!$I$62),"")</f>
        <v>10.468</v>
      </c>
      <c r="J62">
        <f ca="1">IFERROR(IF(0=LEN(ReferenceData!$J$62),"",ReferenceData!$J$62),"")</f>
        <v>10.4387998</v>
      </c>
    </row>
    <row r="63" spans="1:10" x14ac:dyDescent="0.25">
      <c r="A63" t="str">
        <f>IFERROR(IF(0=LEN(ReferenceData!$A$63),"",ReferenceData!$A$63),"")</f>
        <v xml:space="preserve">                    Volvo Car AB</v>
      </c>
      <c r="B63" t="str">
        <f>IFERROR(IF(0=LEN(ReferenceData!$B$63),"",ReferenceData!$B$63),"")</f>
        <v>VOLCARB SS Equity</v>
      </c>
      <c r="C63" t="str">
        <f>IFERROR(IF(0=LEN(ReferenceData!$C$63),"",ReferenceData!$C$63),"")</f>
        <v>F0946</v>
      </c>
      <c r="D63" t="str">
        <f>IFERROR(IF(0=LEN(ReferenceData!$D$63),"",ReferenceData!$D$63),"")</f>
        <v>TOTAL_GHG_CO2_EMISSIONS</v>
      </c>
      <c r="E63" t="str">
        <f>IFERROR(IF(0=LEN(ReferenceData!$E$63),"",ReferenceData!$E$63),"")</f>
        <v>Dynamic</v>
      </c>
      <c r="F63">
        <f ca="1">IFERROR(IF(0=LEN(ReferenceData!$F$63),"",ReferenceData!$F$63),"")</f>
        <v>0.113</v>
      </c>
      <c r="G63">
        <f ca="1">IFERROR(IF(0=LEN(ReferenceData!$G$63),"",ReferenceData!$G$63),"")</f>
        <v>0.122</v>
      </c>
      <c r="H63">
        <f ca="1">IFERROR(IF(0=LEN(ReferenceData!$H$63),"",ReferenceData!$H$63),"")</f>
        <v>0.185</v>
      </c>
      <c r="I63">
        <f ca="1">IFERROR(IF(0=LEN(ReferenceData!$I$63),"",ReferenceData!$I$63),"")</f>
        <v>0.22800000000000001</v>
      </c>
      <c r="J63">
        <f ca="1">IFERROR(IF(0=LEN(ReferenceData!$J$63),"",ReferenceData!$J$63),"")</f>
        <v>0.251</v>
      </c>
    </row>
    <row r="64" spans="1:10" x14ac:dyDescent="0.25">
      <c r="A64" t="str">
        <f>IFERROR(IF(0=LEN(ReferenceData!$A$64),"",ReferenceData!$A$64),"")</f>
        <v xml:space="preserve">                    XPeng Inc</v>
      </c>
      <c r="B64" t="str">
        <f>IFERROR(IF(0=LEN(ReferenceData!$B$64),"",ReferenceData!$B$64),"")</f>
        <v>XPEV US Equity</v>
      </c>
      <c r="C64" t="str">
        <f>IFERROR(IF(0=LEN(ReferenceData!$C$64),"",ReferenceData!$C$64),"")</f>
        <v>F0946</v>
      </c>
      <c r="D64" t="str">
        <f>IFERROR(IF(0=LEN(ReferenceData!$D$64),"",ReferenceData!$D$64),"")</f>
        <v>TOTAL_GHG_CO2_EMISSIONS</v>
      </c>
      <c r="E64" t="str">
        <f>IFERROR(IF(0=LEN(ReferenceData!$E$64),"",ReferenceData!$E$64),"")</f>
        <v>Dynamic</v>
      </c>
      <c r="F64">
        <f ca="1">IFERROR(IF(0=LEN(ReferenceData!$F$64),"",ReferenceData!$F$64),"")</f>
        <v>0.101678001</v>
      </c>
      <c r="G64">
        <f ca="1">IFERROR(IF(0=LEN(ReferenceData!$G$64),"",ReferenceData!$G$64),"")</f>
        <v>3.8615002000000002E-2</v>
      </c>
      <c r="H64">
        <f ca="1">IFERROR(IF(0=LEN(ReferenceData!$H$64),"",ReferenceData!$H$64),"")</f>
        <v>2.7330099E-2</v>
      </c>
      <c r="I64" t="str">
        <f ca="1">IFERROR(IF(0=LEN(ReferenceData!$I$64),"",ReferenceData!$I$64),"")</f>
        <v/>
      </c>
      <c r="J64" t="str">
        <f ca="1">IFERROR(IF(0=LEN(ReferenceData!$J$64),"",ReferenceData!$J$64),"")</f>
        <v/>
      </c>
    </row>
    <row r="65" spans="1:10" x14ac:dyDescent="0.25">
      <c r="A65" t="str">
        <f>IFERROR(IF(0=LEN(ReferenceData!$A$65),"",ReferenceData!$A$65),"")</f>
        <v xml:space="preserve">                    Yulon Motor Co Ltd</v>
      </c>
      <c r="B65" t="str">
        <f>IFERROR(IF(0=LEN(ReferenceData!$B$65),"",ReferenceData!$B$65),"")</f>
        <v>2201 TT Equity</v>
      </c>
      <c r="C65" t="str">
        <f>IFERROR(IF(0=LEN(ReferenceData!$C$65),"",ReferenceData!$C$65),"")</f>
        <v>F0946</v>
      </c>
      <c r="D65" t="str">
        <f>IFERROR(IF(0=LEN(ReferenceData!$D$65),"",ReferenceData!$D$65),"")</f>
        <v>TOTAL_GHG_CO2_EMISSIONS</v>
      </c>
      <c r="E65" t="str">
        <f>IFERROR(IF(0=LEN(ReferenceData!$E$65),"",ReferenceData!$E$65),"")</f>
        <v>Dynamic</v>
      </c>
      <c r="F65" t="str">
        <f ca="1">IFERROR(IF(0=LEN(ReferenceData!$F$65),"",ReferenceData!$F$65),"")</f>
        <v/>
      </c>
      <c r="G65" t="str">
        <f ca="1">IFERROR(IF(0=LEN(ReferenceData!$G$65),"",ReferenceData!$G$65),"")</f>
        <v/>
      </c>
      <c r="H65" t="str">
        <f ca="1">IFERROR(IF(0=LEN(ReferenceData!$H$65),"",ReferenceData!$H$65),"")</f>
        <v/>
      </c>
      <c r="I65" t="str">
        <f ca="1">IFERROR(IF(0=LEN(ReferenceData!$I$65),"",ReferenceData!$I$65),"")</f>
        <v/>
      </c>
      <c r="J65" t="str">
        <f ca="1">IFERROR(IF(0=LEN(ReferenceData!$J$65),"",ReferenceData!$J$65),"")</f>
        <v/>
      </c>
    </row>
    <row r="66" spans="1:10" x14ac:dyDescent="0.25">
      <c r="A66" t="str">
        <f>IFERROR(IF(0=LEN(ReferenceData!$A$66),"",ReferenceData!$A$66),"")</f>
        <v xml:space="preserve">                Auto Parts</v>
      </c>
      <c r="B66" t="str">
        <f>IFERROR(IF(0=LEN(ReferenceData!$B$66),"",ReferenceData!$B$66),"")</f>
        <v/>
      </c>
      <c r="C66" t="str">
        <f>IFERROR(IF(0=LEN(ReferenceData!$C$66),"",ReferenceData!$C$66),"")</f>
        <v/>
      </c>
      <c r="D66" t="str">
        <f>IFERROR(IF(0=LEN(ReferenceData!$D$66),"",ReferenceData!$D$66),"")</f>
        <v/>
      </c>
      <c r="E66" t="str">
        <f>IFERROR(IF(0=LEN(ReferenceData!$E$66),"",ReferenceData!$E$66),"")</f>
        <v>Sum</v>
      </c>
      <c r="F66">
        <f ca="1">IFERROR(IF(0=LEN(ReferenceData!$F$66),"",ReferenceData!$F$66),"")</f>
        <v>10.028437935000001</v>
      </c>
      <c r="G66">
        <f ca="1">IFERROR(IF(0=LEN(ReferenceData!$G$66),"",ReferenceData!$G$66),"")</f>
        <v>99.837414046999967</v>
      </c>
      <c r="H66">
        <f ca="1">IFERROR(IF(0=LEN(ReferenceData!$H$66),"",ReferenceData!$H$66),"")</f>
        <v>94.734653196999986</v>
      </c>
      <c r="I66">
        <f ca="1">IFERROR(IF(0=LEN(ReferenceData!$I$66),"",ReferenceData!$I$66),"")</f>
        <v>103.16968831699999</v>
      </c>
      <c r="J66">
        <f ca="1">IFERROR(IF(0=LEN(ReferenceData!$J$66),"",ReferenceData!$J$66),"")</f>
        <v>101.62432000099996</v>
      </c>
    </row>
    <row r="67" spans="1:10" x14ac:dyDescent="0.25">
      <c r="A67" t="str">
        <f>IFERROR(IF(0=LEN(ReferenceData!$A$67),"",ReferenceData!$A$67),"")</f>
        <v xml:space="preserve">                    Aeolus Tyre Co Ltd</v>
      </c>
      <c r="B67" t="str">
        <f>IFERROR(IF(0=LEN(ReferenceData!$B$67),"",ReferenceData!$B$67),"")</f>
        <v>600469 CH Equity</v>
      </c>
      <c r="C67" t="str">
        <f>IFERROR(IF(0=LEN(ReferenceData!$C$67),"",ReferenceData!$C$67),"")</f>
        <v>F0946</v>
      </c>
      <c r="D67" t="str">
        <f>IFERROR(IF(0=LEN(ReferenceData!$D$67),"",ReferenceData!$D$67),"")</f>
        <v>TOTAL_GHG_CO2_EMISSIONS</v>
      </c>
      <c r="E67" t="str">
        <f>IFERROR(IF(0=LEN(ReferenceData!$E$67),"",ReferenceData!$E$67),"")</f>
        <v>Dynamic</v>
      </c>
      <c r="F67" t="str">
        <f ca="1">IFERROR(IF(0=LEN(ReferenceData!$F$67),"",ReferenceData!$F$67),"")</f>
        <v/>
      </c>
      <c r="G67" t="str">
        <f ca="1">IFERROR(IF(0=LEN(ReferenceData!$G$67),"",ReferenceData!$G$67),"")</f>
        <v/>
      </c>
      <c r="H67" t="str">
        <f ca="1">IFERROR(IF(0=LEN(ReferenceData!$H$67),"",ReferenceData!$H$67),"")</f>
        <v/>
      </c>
      <c r="I67" t="str">
        <f ca="1">IFERROR(IF(0=LEN(ReferenceData!$I$67),"",ReferenceData!$I$67),"")</f>
        <v/>
      </c>
      <c r="J67" t="str">
        <f ca="1">IFERROR(IF(0=LEN(ReferenceData!$J$67),"",ReferenceData!$J$67),"")</f>
        <v/>
      </c>
    </row>
    <row r="68" spans="1:10" x14ac:dyDescent="0.25">
      <c r="A68" t="str">
        <f>IFERROR(IF(0=LEN(ReferenceData!$A$68),"",ReferenceData!$A$68),"")</f>
        <v xml:space="preserve">                    AGC Inc</v>
      </c>
      <c r="B68" t="str">
        <f>IFERROR(IF(0=LEN(ReferenceData!$B$68),"",ReferenceData!$B$68),"")</f>
        <v>5201 JP Equity</v>
      </c>
      <c r="C68" t="str">
        <f>IFERROR(IF(0=LEN(ReferenceData!$C$68),"",ReferenceData!$C$68),"")</f>
        <v>F0946</v>
      </c>
      <c r="D68" t="str">
        <f>IFERROR(IF(0=LEN(ReferenceData!$D$68),"",ReferenceData!$D$68),"")</f>
        <v>TOTAL_GHG_CO2_EMISSIONS</v>
      </c>
      <c r="E68" t="str">
        <f>IFERROR(IF(0=LEN(ReferenceData!$E$68),"",ReferenceData!$E$68),"")</f>
        <v>Dynamic</v>
      </c>
      <c r="F68" t="str">
        <f ca="1">IFERROR(IF(0=LEN(ReferenceData!$F$68),"",ReferenceData!$F$68),"")</f>
        <v/>
      </c>
      <c r="G68">
        <f ca="1">IFERROR(IF(0=LEN(ReferenceData!$G$68),"",ReferenceData!$G$68),"")</f>
        <v>11.68240039</v>
      </c>
      <c r="H68">
        <f ca="1">IFERROR(IF(0=LEN(ReferenceData!$H$68),"",ReferenceData!$H$68),"")</f>
        <v>11.238</v>
      </c>
      <c r="I68">
        <f ca="1">IFERROR(IF(0=LEN(ReferenceData!$I$68),"",ReferenceData!$I$68),"")</f>
        <v>11.116</v>
      </c>
      <c r="J68">
        <f ca="1">IFERROR(IF(0=LEN(ReferenceData!$J$68),"",ReferenceData!$J$68),"")</f>
        <v>10.569000000000001</v>
      </c>
    </row>
    <row r="69" spans="1:10" x14ac:dyDescent="0.25">
      <c r="A69" t="str">
        <f>IFERROR(IF(0=LEN(ReferenceData!$A$69),"",ReferenceData!$A$69),"")</f>
        <v xml:space="preserve">                    Aisin Corp</v>
      </c>
      <c r="B69" t="str">
        <f>IFERROR(IF(0=LEN(ReferenceData!$B$69),"",ReferenceData!$B$69),"")</f>
        <v>7259 JP Equity</v>
      </c>
      <c r="C69" t="str">
        <f>IFERROR(IF(0=LEN(ReferenceData!$C$69),"",ReferenceData!$C$69),"")</f>
        <v>F0946</v>
      </c>
      <c r="D69" t="str">
        <f>IFERROR(IF(0=LEN(ReferenceData!$D$69),"",ReferenceData!$D$69),"")</f>
        <v>TOTAL_GHG_CO2_EMISSIONS</v>
      </c>
      <c r="E69" t="str">
        <f>IFERROR(IF(0=LEN(ReferenceData!$E$69),"",ReferenceData!$E$69),"")</f>
        <v>Dynamic</v>
      </c>
      <c r="F69" t="str">
        <f ca="1">IFERROR(IF(0=LEN(ReferenceData!$F$69),"",ReferenceData!$F$69),"")</f>
        <v/>
      </c>
      <c r="G69">
        <f ca="1">IFERROR(IF(0=LEN(ReferenceData!$G$69),"",ReferenceData!$G$69),"")</f>
        <v>2.5720900879999999</v>
      </c>
      <c r="H69">
        <f ca="1">IFERROR(IF(0=LEN(ReferenceData!$H$69),"",ReferenceData!$H$69),"")</f>
        <v>2.6037900390000002</v>
      </c>
      <c r="I69">
        <f ca="1">IFERROR(IF(0=LEN(ReferenceData!$I$69),"",ReferenceData!$I$69),"")</f>
        <v>2.81901001</v>
      </c>
      <c r="J69">
        <f ca="1">IFERROR(IF(0=LEN(ReferenceData!$J$69),"",ReferenceData!$J$69),"")</f>
        <v>1.3633399660000001</v>
      </c>
    </row>
    <row r="70" spans="1:10" x14ac:dyDescent="0.25">
      <c r="A70" t="str">
        <f>IFERROR(IF(0=LEN(ReferenceData!$A$70),"",ReferenceData!$A$70),"")</f>
        <v xml:space="preserve">                    Alfa SAB de CV</v>
      </c>
      <c r="B70" t="str">
        <f>IFERROR(IF(0=LEN(ReferenceData!$B$70),"",ReferenceData!$B$70),"")</f>
        <v>ALFAA MM Equity</v>
      </c>
      <c r="C70" t="str">
        <f>IFERROR(IF(0=LEN(ReferenceData!$C$70),"",ReferenceData!$C$70),"")</f>
        <v>F0946</v>
      </c>
      <c r="D70" t="str">
        <f>IFERROR(IF(0=LEN(ReferenceData!$D$70),"",ReferenceData!$D$70),"")</f>
        <v>TOTAL_GHG_CO2_EMISSIONS</v>
      </c>
      <c r="E70" t="str">
        <f>IFERROR(IF(0=LEN(ReferenceData!$E$70),"",ReferenceData!$E$70),"")</f>
        <v>Dynamic</v>
      </c>
      <c r="F70">
        <f ca="1">IFERROR(IF(0=LEN(ReferenceData!$F$70),"",ReferenceData!$F$70),"")</f>
        <v>2.65</v>
      </c>
      <c r="G70">
        <f ca="1">IFERROR(IF(0=LEN(ReferenceData!$G$70),"",ReferenceData!$G$70),"")</f>
        <v>2.84</v>
      </c>
      <c r="H70">
        <f ca="1">IFERROR(IF(0=LEN(ReferenceData!$H$70),"",ReferenceData!$H$70),"")</f>
        <v>3.9</v>
      </c>
      <c r="I70">
        <f ca="1">IFERROR(IF(0=LEN(ReferenceData!$I$70),"",ReferenceData!$I$70),"")</f>
        <v>6.94</v>
      </c>
      <c r="J70">
        <f ca="1">IFERROR(IF(0=LEN(ReferenceData!$J$70),"",ReferenceData!$J$70),"")</f>
        <v>4.3600000000000003</v>
      </c>
    </row>
    <row r="71" spans="1:10" x14ac:dyDescent="0.25">
      <c r="A71" t="str">
        <f>IFERROR(IF(0=LEN(ReferenceData!$A$71),"",ReferenceData!$A$71),"")</f>
        <v xml:space="preserve">                    American Axle &amp; Manufacturing</v>
      </c>
      <c r="B71" t="str">
        <f>IFERROR(IF(0=LEN(ReferenceData!$B$71),"",ReferenceData!$B$71),"")</f>
        <v>AXL US Equity</v>
      </c>
      <c r="C71" t="str">
        <f>IFERROR(IF(0=LEN(ReferenceData!$C$71),"",ReferenceData!$C$71),"")</f>
        <v>F0946</v>
      </c>
      <c r="D71" t="str">
        <f>IFERROR(IF(0=LEN(ReferenceData!$D$71),"",ReferenceData!$D$71),"")</f>
        <v>TOTAL_GHG_CO2_EMISSIONS</v>
      </c>
      <c r="E71" t="str">
        <f>IFERROR(IF(0=LEN(ReferenceData!$E$71),"",ReferenceData!$E$71),"")</f>
        <v>Dynamic</v>
      </c>
      <c r="F71" t="str">
        <f ca="1">IFERROR(IF(0=LEN(ReferenceData!$F$71),"",ReferenceData!$F$71),"")</f>
        <v/>
      </c>
      <c r="G71">
        <f ca="1">IFERROR(IF(0=LEN(ReferenceData!$G$71),"",ReferenceData!$G$71),"")</f>
        <v>0.56526599099999997</v>
      </c>
      <c r="H71">
        <f ca="1">IFERROR(IF(0=LEN(ReferenceData!$H$71),"",ReferenceData!$H$71),"")</f>
        <v>0.455231995</v>
      </c>
      <c r="I71">
        <f ca="1">IFERROR(IF(0=LEN(ReferenceData!$I$71),"",ReferenceData!$I$71),"")</f>
        <v>0.98444598400000005</v>
      </c>
      <c r="J71">
        <f ca="1">IFERROR(IF(0=LEN(ReferenceData!$J$71),"",ReferenceData!$J$71),"")</f>
        <v>1.3011899410000001</v>
      </c>
    </row>
    <row r="72" spans="1:10" x14ac:dyDescent="0.25">
      <c r="A72" t="str">
        <f>IFERROR(IF(0=LEN(ReferenceData!$A$72),"",ReferenceData!$A$72),"")</f>
        <v xml:space="preserve">                    Apollo Tyres Ltd</v>
      </c>
      <c r="B72" t="str">
        <f>IFERROR(IF(0=LEN(ReferenceData!$B$72),"",ReferenceData!$B$72),"")</f>
        <v>APTY IN Equity</v>
      </c>
      <c r="C72" t="str">
        <f>IFERROR(IF(0=LEN(ReferenceData!$C$72),"",ReferenceData!$C$72),"")</f>
        <v>F0946</v>
      </c>
      <c r="D72" t="str">
        <f>IFERROR(IF(0=LEN(ReferenceData!$D$72),"",ReferenceData!$D$72),"")</f>
        <v>TOTAL_GHG_CO2_EMISSIONS</v>
      </c>
      <c r="E72" t="str">
        <f>IFERROR(IF(0=LEN(ReferenceData!$E$72),"",ReferenceData!$E$72),"")</f>
        <v>Dynamic</v>
      </c>
      <c r="F72" t="str">
        <f ca="1">IFERROR(IF(0=LEN(ReferenceData!$F$72),"",ReferenceData!$F$72),"")</f>
        <v/>
      </c>
      <c r="G72">
        <f ca="1">IFERROR(IF(0=LEN(ReferenceData!$G$72),"",ReferenceData!$G$72),"")</f>
        <v>0.74053601099999999</v>
      </c>
      <c r="H72">
        <f ca="1">IFERROR(IF(0=LEN(ReferenceData!$H$72),"",ReferenceData!$H$72),"")</f>
        <v>0.64597601299999996</v>
      </c>
      <c r="I72">
        <f ca="1">IFERROR(IF(0=LEN(ReferenceData!$I$72),"",ReferenceData!$I$72),"")</f>
        <v>0.68533300799999997</v>
      </c>
      <c r="J72">
        <f ca="1">IFERROR(IF(0=LEN(ReferenceData!$J$72),"",ReferenceData!$J$72),"")</f>
        <v>0.72245398000000005</v>
      </c>
    </row>
    <row r="73" spans="1:10" x14ac:dyDescent="0.25">
      <c r="A73" t="str">
        <f>IFERROR(IF(0=LEN(ReferenceData!$A$73),"",ReferenceData!$A$73),"")</f>
        <v xml:space="preserve">                    Aptiv PLC</v>
      </c>
      <c r="B73" t="str">
        <f>IFERROR(IF(0=LEN(ReferenceData!$B$73),"",ReferenceData!$B$73),"")</f>
        <v>APTV US Equity</v>
      </c>
      <c r="C73" t="str">
        <f>IFERROR(IF(0=LEN(ReferenceData!$C$73),"",ReferenceData!$C$73),"")</f>
        <v>F0946</v>
      </c>
      <c r="D73" t="str">
        <f>IFERROR(IF(0=LEN(ReferenceData!$D$73),"",ReferenceData!$D$73),"")</f>
        <v>TOTAL_GHG_CO2_EMISSIONS</v>
      </c>
      <c r="E73" t="str">
        <f>IFERROR(IF(0=LEN(ReferenceData!$E$73),"",ReferenceData!$E$73),"")</f>
        <v>Dynamic</v>
      </c>
      <c r="F73" t="str">
        <f ca="1">IFERROR(IF(0=LEN(ReferenceData!$F$73),"",ReferenceData!$F$73),"")</f>
        <v/>
      </c>
      <c r="G73">
        <f ca="1">IFERROR(IF(0=LEN(ReferenceData!$G$73),"",ReferenceData!$G$73),"")</f>
        <v>0.32497601300000001</v>
      </c>
      <c r="H73">
        <f ca="1">IFERROR(IF(0=LEN(ReferenceData!$H$73),"",ReferenceData!$H$73),"")</f>
        <v>0.29301098599999997</v>
      </c>
      <c r="I73">
        <f ca="1">IFERROR(IF(0=LEN(ReferenceData!$I$73),"",ReferenceData!$I$73),"")</f>
        <v>0.36394799799999999</v>
      </c>
      <c r="J73">
        <f ca="1">IFERROR(IF(0=LEN(ReferenceData!$J$73),"",ReferenceData!$J$73),"")</f>
        <v>0.336609985</v>
      </c>
    </row>
    <row r="74" spans="1:10" x14ac:dyDescent="0.25">
      <c r="A74" t="str">
        <f>IFERROR(IF(0=LEN(ReferenceData!$A$74),"",ReferenceData!$A$74),"")</f>
        <v xml:space="preserve">                    Autoliv Inc</v>
      </c>
      <c r="B74" t="str">
        <f>IFERROR(IF(0=LEN(ReferenceData!$B$74),"",ReferenceData!$B$74),"")</f>
        <v>ALV US Equity</v>
      </c>
      <c r="C74" t="str">
        <f>IFERROR(IF(0=LEN(ReferenceData!$C$74),"",ReferenceData!$C$74),"")</f>
        <v>F0946</v>
      </c>
      <c r="D74" t="str">
        <f>IFERROR(IF(0=LEN(ReferenceData!$D$74),"",ReferenceData!$D$74),"")</f>
        <v>TOTAL_GHG_CO2_EMISSIONS</v>
      </c>
      <c r="E74" t="str">
        <f>IFERROR(IF(0=LEN(ReferenceData!$E$74),"",ReferenceData!$E$74),"")</f>
        <v>Dynamic</v>
      </c>
      <c r="F74">
        <f ca="1">IFERROR(IF(0=LEN(ReferenceData!$F$74),"",ReferenceData!$F$74),"")</f>
        <v>0.378</v>
      </c>
      <c r="G74">
        <f ca="1">IFERROR(IF(0=LEN(ReferenceData!$G$74),"",ReferenceData!$G$74),"")</f>
        <v>0.39300000000000002</v>
      </c>
      <c r="H74">
        <f ca="1">IFERROR(IF(0=LEN(ReferenceData!$H$74),"",ReferenceData!$H$74),"")</f>
        <v>0.38164099099999998</v>
      </c>
      <c r="I74">
        <f ca="1">IFERROR(IF(0=LEN(ReferenceData!$I$74),"",ReferenceData!$I$74),"")</f>
        <v>0.41070498700000002</v>
      </c>
      <c r="J74">
        <f ca="1">IFERROR(IF(0=LEN(ReferenceData!$J$74),"",ReferenceData!$J$74),"")</f>
        <v>0.41066500900000003</v>
      </c>
    </row>
    <row r="75" spans="1:10" x14ac:dyDescent="0.25">
      <c r="A75" t="str">
        <f>IFERROR(IF(0=LEN(ReferenceData!$A$75),"",ReferenceData!$A$75),"")</f>
        <v xml:space="preserve">                    Akebono Brake Industry Co Ltd</v>
      </c>
      <c r="B75" t="str">
        <f>IFERROR(IF(0=LEN(ReferenceData!$B$75),"",ReferenceData!$B$75),"")</f>
        <v>7238 JP Equity</v>
      </c>
      <c r="C75" t="str">
        <f>IFERROR(IF(0=LEN(ReferenceData!$C$75),"",ReferenceData!$C$75),"")</f>
        <v>F0946</v>
      </c>
      <c r="D75" t="str">
        <f>IFERROR(IF(0=LEN(ReferenceData!$D$75),"",ReferenceData!$D$75),"")</f>
        <v>TOTAL_GHG_CO2_EMISSIONS</v>
      </c>
      <c r="E75" t="str">
        <f>IFERROR(IF(0=LEN(ReferenceData!$E$75),"",ReferenceData!$E$75),"")</f>
        <v>Dynamic</v>
      </c>
      <c r="F75" t="str">
        <f ca="1">IFERROR(IF(0=LEN(ReferenceData!$F$75),"",ReferenceData!$F$75),"")</f>
        <v/>
      </c>
      <c r="G75">
        <f ca="1">IFERROR(IF(0=LEN(ReferenceData!$G$75),"",ReferenceData!$G$75),"")</f>
        <v>0.188</v>
      </c>
      <c r="H75">
        <f ca="1">IFERROR(IF(0=LEN(ReferenceData!$H$75),"",ReferenceData!$H$75),"")</f>
        <v>0.17899999999999999</v>
      </c>
      <c r="I75">
        <f ca="1">IFERROR(IF(0=LEN(ReferenceData!$I$75),"",ReferenceData!$I$75),"")</f>
        <v>0.26964800999999999</v>
      </c>
      <c r="J75">
        <f ca="1">IFERROR(IF(0=LEN(ReferenceData!$J$75),"",ReferenceData!$J$75),"")</f>
        <v>0.30973199499999998</v>
      </c>
    </row>
    <row r="76" spans="1:10" x14ac:dyDescent="0.25">
      <c r="A76" t="str">
        <f>IFERROR(IF(0=LEN(ReferenceData!$A$76),"",ReferenceData!$A$76),"")</f>
        <v xml:space="preserve">                    BASF SE</v>
      </c>
      <c r="B76" t="str">
        <f>IFERROR(IF(0=LEN(ReferenceData!$B$76),"",ReferenceData!$B$76),"")</f>
        <v>BAS GR Equity</v>
      </c>
      <c r="C76" t="str">
        <f>IFERROR(IF(0=LEN(ReferenceData!$C$76),"",ReferenceData!$C$76),"")</f>
        <v>F0946</v>
      </c>
      <c r="D76" t="str">
        <f>IFERROR(IF(0=LEN(ReferenceData!$D$76),"",ReferenceData!$D$76),"")</f>
        <v>TOTAL_GHG_CO2_EMISSIONS</v>
      </c>
      <c r="E76" t="str">
        <f>IFERROR(IF(0=LEN(ReferenceData!$E$76),"",ReferenceData!$E$76),"")</f>
        <v>Dynamic</v>
      </c>
      <c r="F76" t="str">
        <f ca="1">IFERROR(IF(0=LEN(ReferenceData!$F$76),"",ReferenceData!$F$76),"")</f>
        <v/>
      </c>
      <c r="G76">
        <f ca="1">IFERROR(IF(0=LEN(ReferenceData!$G$76),"",ReferenceData!$G$76),"")</f>
        <v>22.338000000000001</v>
      </c>
      <c r="H76">
        <f ca="1">IFERROR(IF(0=LEN(ReferenceData!$H$76),"",ReferenceData!$H$76),"")</f>
        <v>21.757000000000001</v>
      </c>
      <c r="I76">
        <f ca="1">IFERROR(IF(0=LEN(ReferenceData!$I$76),"",ReferenceData!$I$76),"")</f>
        <v>20.875</v>
      </c>
      <c r="J76">
        <f ca="1">IFERROR(IF(0=LEN(ReferenceData!$J$76),"",ReferenceData!$J$76),"")</f>
        <v>22.164999999999999</v>
      </c>
    </row>
    <row r="77" spans="1:10" x14ac:dyDescent="0.25">
      <c r="A77" t="str">
        <f>IFERROR(IF(0=LEN(ReferenceData!$A$77),"",ReferenceData!$A$77),"")</f>
        <v xml:space="preserve">                    Benteler Business Services Gmb</v>
      </c>
      <c r="B77" t="str">
        <f>IFERROR(IF(0=LEN(ReferenceData!$B$77),"",ReferenceData!$B$77),"")</f>
        <v>2333Z GR Equity</v>
      </c>
      <c r="C77" t="str">
        <f>IFERROR(IF(0=LEN(ReferenceData!$C$77),"",ReferenceData!$C$77),"")</f>
        <v>F0946</v>
      </c>
      <c r="D77" t="str">
        <f>IFERROR(IF(0=LEN(ReferenceData!$D$77),"",ReferenceData!$D$77),"")</f>
        <v>TOTAL_GHG_CO2_EMISSIONS</v>
      </c>
      <c r="E77" t="str">
        <f>IFERROR(IF(0=LEN(ReferenceData!$E$77),"",ReferenceData!$E$77),"")</f>
        <v>Dynamic</v>
      </c>
      <c r="F77" t="str">
        <f ca="1">IFERROR(IF(0=LEN(ReferenceData!$F$77),"",ReferenceData!$F$77),"")</f>
        <v/>
      </c>
      <c r="G77" t="str">
        <f ca="1">IFERROR(IF(0=LEN(ReferenceData!$G$77),"",ReferenceData!$G$77),"")</f>
        <v/>
      </c>
      <c r="H77" t="str">
        <f ca="1">IFERROR(IF(0=LEN(ReferenceData!$H$77),"",ReferenceData!$H$77),"")</f>
        <v/>
      </c>
      <c r="I77" t="str">
        <f ca="1">IFERROR(IF(0=LEN(ReferenceData!$I$77),"",ReferenceData!$I$77),"")</f>
        <v/>
      </c>
      <c r="J77" t="str">
        <f ca="1">IFERROR(IF(0=LEN(ReferenceData!$J$77),"",ReferenceData!$J$77),"")</f>
        <v/>
      </c>
    </row>
    <row r="78" spans="1:10" x14ac:dyDescent="0.25">
      <c r="A78" t="str">
        <f>IFERROR(IF(0=LEN(ReferenceData!$A$78),"",ReferenceData!$A$78),"")</f>
        <v xml:space="preserve">                    BorgWarner Inc</v>
      </c>
      <c r="B78" t="str">
        <f>IFERROR(IF(0=LEN(ReferenceData!$B$78),"",ReferenceData!$B$78),"")</f>
        <v>BWA US Equity</v>
      </c>
      <c r="C78" t="str">
        <f>IFERROR(IF(0=LEN(ReferenceData!$C$78),"",ReferenceData!$C$78),"")</f>
        <v>F0946</v>
      </c>
      <c r="D78" t="str">
        <f>IFERROR(IF(0=LEN(ReferenceData!$D$78),"",ReferenceData!$D$78),"")</f>
        <v>TOTAL_GHG_CO2_EMISSIONS</v>
      </c>
      <c r="E78" t="str">
        <f>IFERROR(IF(0=LEN(ReferenceData!$E$78),"",ReferenceData!$E$78),"")</f>
        <v>Dynamic</v>
      </c>
      <c r="F78" t="str">
        <f ca="1">IFERROR(IF(0=LEN(ReferenceData!$F$78),"",ReferenceData!$F$78),"")</f>
        <v/>
      </c>
      <c r="G78">
        <f ca="1">IFERROR(IF(0=LEN(ReferenceData!$G$78),"",ReferenceData!$G$78),"")</f>
        <v>0.52047601300000002</v>
      </c>
      <c r="H78" t="str">
        <f ca="1">IFERROR(IF(0=LEN(ReferenceData!$H$78),"",ReferenceData!$H$78),"")</f>
        <v/>
      </c>
      <c r="I78" t="str">
        <f ca="1">IFERROR(IF(0=LEN(ReferenceData!$I$78),"",ReferenceData!$I$78),"")</f>
        <v/>
      </c>
      <c r="J78" t="str">
        <f ca="1">IFERROR(IF(0=LEN(ReferenceData!$J$78),"",ReferenceData!$J$78),"")</f>
        <v/>
      </c>
    </row>
    <row r="79" spans="1:10" x14ac:dyDescent="0.25">
      <c r="A79" t="str">
        <f>IFERROR(IF(0=LEN(ReferenceData!$A$79),"",ReferenceData!$A$79),"")</f>
        <v xml:space="preserve">                    Bridgestone Corp</v>
      </c>
      <c r="B79" t="str">
        <f>IFERROR(IF(0=LEN(ReferenceData!$B$79),"",ReferenceData!$B$79),"")</f>
        <v>5108 JP Equity</v>
      </c>
      <c r="C79" t="str">
        <f>IFERROR(IF(0=LEN(ReferenceData!$C$79),"",ReferenceData!$C$79),"")</f>
        <v>F0946</v>
      </c>
      <c r="D79" t="str">
        <f>IFERROR(IF(0=LEN(ReferenceData!$D$79),"",ReferenceData!$D$79),"")</f>
        <v>TOTAL_GHG_CO2_EMISSIONS</v>
      </c>
      <c r="E79" t="str">
        <f>IFERROR(IF(0=LEN(ReferenceData!$E$79),"",ReferenceData!$E$79),"")</f>
        <v>Dynamic</v>
      </c>
      <c r="F79" t="str">
        <f ca="1">IFERROR(IF(0=LEN(ReferenceData!$F$79),"",ReferenceData!$F$79),"")</f>
        <v/>
      </c>
      <c r="G79">
        <f ca="1">IFERROR(IF(0=LEN(ReferenceData!$G$79),"",ReferenceData!$G$79),"")</f>
        <v>3.7839999999999998</v>
      </c>
      <c r="H79">
        <f ca="1">IFERROR(IF(0=LEN(ReferenceData!$H$79),"",ReferenceData!$H$79),"")</f>
        <v>3.4359299320000001</v>
      </c>
      <c r="I79">
        <f ca="1">IFERROR(IF(0=LEN(ReferenceData!$I$79),"",ReferenceData!$I$79),"")</f>
        <v>4.0912600100000001</v>
      </c>
      <c r="J79">
        <f ca="1">IFERROR(IF(0=LEN(ReferenceData!$J$79),"",ReferenceData!$J$79),"")</f>
        <v>4.2470898439999996</v>
      </c>
    </row>
    <row r="80" spans="1:10" x14ac:dyDescent="0.25">
      <c r="A80" t="str">
        <f>IFERROR(IF(0=LEN(ReferenceData!$A$80),"",ReferenceData!$A$80),"")</f>
        <v xml:space="preserve">                    Cheng Shin Rubber Industry Co</v>
      </c>
      <c r="B80" t="str">
        <f>IFERROR(IF(0=LEN(ReferenceData!$B$80),"",ReferenceData!$B$80),"")</f>
        <v>2105 TT Equity</v>
      </c>
      <c r="C80" t="str">
        <f>IFERROR(IF(0=LEN(ReferenceData!$C$80),"",ReferenceData!$C$80),"")</f>
        <v>F0946</v>
      </c>
      <c r="D80" t="str">
        <f>IFERROR(IF(0=LEN(ReferenceData!$D$80),"",ReferenceData!$D$80),"")</f>
        <v>TOTAL_GHG_CO2_EMISSIONS</v>
      </c>
      <c r="E80" t="str">
        <f>IFERROR(IF(0=LEN(ReferenceData!$E$80),"",ReferenceData!$E$80),"")</f>
        <v>Dynamic</v>
      </c>
      <c r="F80" t="str">
        <f ca="1">IFERROR(IF(0=LEN(ReferenceData!$F$80),"",ReferenceData!$F$80),"")</f>
        <v/>
      </c>
      <c r="G80" t="str">
        <f ca="1">IFERROR(IF(0=LEN(ReferenceData!$G$80),"",ReferenceData!$G$80),"")</f>
        <v/>
      </c>
      <c r="H80" t="str">
        <f ca="1">IFERROR(IF(0=LEN(ReferenceData!$H$80),"",ReferenceData!$H$80),"")</f>
        <v/>
      </c>
      <c r="I80" t="str">
        <f ca="1">IFERROR(IF(0=LEN(ReferenceData!$I$80),"",ReferenceData!$I$80),"")</f>
        <v/>
      </c>
      <c r="J80" t="str">
        <f ca="1">IFERROR(IF(0=LEN(ReferenceData!$J$80),"",ReferenceData!$J$80),"")</f>
        <v/>
      </c>
    </row>
    <row r="81" spans="1:10" x14ac:dyDescent="0.25">
      <c r="A81" t="str">
        <f>IFERROR(IF(0=LEN(ReferenceData!$A$81),"",ReferenceData!$A$81),"")</f>
        <v xml:space="preserve">                    CIE Automotive SA</v>
      </c>
      <c r="B81" t="str">
        <f>IFERROR(IF(0=LEN(ReferenceData!$B$81),"",ReferenceData!$B$81),"")</f>
        <v>CIE SM Equity</v>
      </c>
      <c r="C81" t="str">
        <f>IFERROR(IF(0=LEN(ReferenceData!$C$81),"",ReferenceData!$C$81),"")</f>
        <v>F0946</v>
      </c>
      <c r="D81" t="str">
        <f>IFERROR(IF(0=LEN(ReferenceData!$D$81),"",ReferenceData!$D$81),"")</f>
        <v>TOTAL_GHG_CO2_EMISSIONS</v>
      </c>
      <c r="E81" t="str">
        <f>IFERROR(IF(0=LEN(ReferenceData!$E$81),"",ReferenceData!$E$81),"")</f>
        <v>Dynamic</v>
      </c>
      <c r="F81">
        <f ca="1">IFERROR(IF(0=LEN(ReferenceData!$F$81),"",ReferenceData!$F$81),"")</f>
        <v>0.425315002</v>
      </c>
      <c r="G81">
        <f ca="1">IFERROR(IF(0=LEN(ReferenceData!$G$81),"",ReferenceData!$G$81),"")</f>
        <v>0.64357800300000001</v>
      </c>
      <c r="H81">
        <f ca="1">IFERROR(IF(0=LEN(ReferenceData!$H$81),"",ReferenceData!$H$81),"")</f>
        <v>0.41527600100000001</v>
      </c>
      <c r="I81">
        <f ca="1">IFERROR(IF(0=LEN(ReferenceData!$I$81),"",ReferenceData!$I$81),"")</f>
        <v>0.45096301300000002</v>
      </c>
      <c r="J81">
        <f ca="1">IFERROR(IF(0=LEN(ReferenceData!$J$81),"",ReferenceData!$J$81),"")</f>
        <v>0.45887799099999999</v>
      </c>
    </row>
    <row r="82" spans="1:10" x14ac:dyDescent="0.25">
      <c r="A82" t="str">
        <f>IFERROR(IF(0=LEN(ReferenceData!$A$82),"",ReferenceData!$A$82),"")</f>
        <v xml:space="preserve">                    Cie Plastic Omnium SA</v>
      </c>
      <c r="B82" t="str">
        <f>IFERROR(IF(0=LEN(ReferenceData!$B$82),"",ReferenceData!$B$82),"")</f>
        <v>POM FP Equity</v>
      </c>
      <c r="C82" t="str">
        <f>IFERROR(IF(0=LEN(ReferenceData!$C$82),"",ReferenceData!$C$82),"")</f>
        <v>F0946</v>
      </c>
      <c r="D82" t="str">
        <f>IFERROR(IF(0=LEN(ReferenceData!$D$82),"",ReferenceData!$D$82),"")</f>
        <v>TOTAL_GHG_CO2_EMISSIONS</v>
      </c>
      <c r="E82" t="str">
        <f>IFERROR(IF(0=LEN(ReferenceData!$E$82),"",ReferenceData!$E$82),"")</f>
        <v>Dynamic</v>
      </c>
      <c r="F82">
        <f ca="1">IFERROR(IF(0=LEN(ReferenceData!$F$82),"",ReferenceData!$F$82),"")</f>
        <v>0.38100000000000001</v>
      </c>
      <c r="G82">
        <f ca="1">IFERROR(IF(0=LEN(ReferenceData!$G$82),"",ReferenceData!$G$82),"")</f>
        <v>0.379109009</v>
      </c>
      <c r="H82">
        <f ca="1">IFERROR(IF(0=LEN(ReferenceData!$H$82),"",ReferenceData!$H$82),"")</f>
        <v>0.35479998800000001</v>
      </c>
      <c r="I82">
        <f ca="1">IFERROR(IF(0=LEN(ReferenceData!$I$82),"",ReferenceData!$I$82),"")</f>
        <v>0.44548098800000002</v>
      </c>
      <c r="J82">
        <f ca="1">IFERROR(IF(0=LEN(ReferenceData!$J$82),"",ReferenceData!$J$82),"")</f>
        <v>0.476908997</v>
      </c>
    </row>
    <row r="83" spans="1:10" x14ac:dyDescent="0.25">
      <c r="A83" t="str">
        <f>IFERROR(IF(0=LEN(ReferenceData!$A$83),"",ReferenceData!$A$83),"")</f>
        <v xml:space="preserve">                    Continental AG</v>
      </c>
      <c r="B83" t="str">
        <f>IFERROR(IF(0=LEN(ReferenceData!$B$83),"",ReferenceData!$B$83),"")</f>
        <v>CON GR Equity</v>
      </c>
      <c r="C83" t="str">
        <f>IFERROR(IF(0=LEN(ReferenceData!$C$83),"",ReferenceData!$C$83),"")</f>
        <v>F0946</v>
      </c>
      <c r="D83" t="str">
        <f>IFERROR(IF(0=LEN(ReferenceData!$D$83),"",ReferenceData!$D$83),"")</f>
        <v>TOTAL_GHG_CO2_EMISSIONS</v>
      </c>
      <c r="E83" t="str">
        <f>IFERROR(IF(0=LEN(ReferenceData!$E$83),"",ReferenceData!$E$83),"")</f>
        <v>Dynamic</v>
      </c>
      <c r="F83" t="str">
        <f ca="1">IFERROR(IF(0=LEN(ReferenceData!$F$83),"",ReferenceData!$F$83),"")</f>
        <v/>
      </c>
      <c r="G83">
        <f ca="1">IFERROR(IF(0=LEN(ReferenceData!$G$83),"",ReferenceData!$G$83),"")</f>
        <v>2.9055700679999998</v>
      </c>
      <c r="H83">
        <f ca="1">IFERROR(IF(0=LEN(ReferenceData!$H$83),"",ReferenceData!$H$83),"")</f>
        <v>2.96</v>
      </c>
      <c r="I83">
        <f ca="1">IFERROR(IF(0=LEN(ReferenceData!$I$83),"",ReferenceData!$I$83),"")</f>
        <v>3.22</v>
      </c>
      <c r="J83">
        <f ca="1">IFERROR(IF(0=LEN(ReferenceData!$J$83),"",ReferenceData!$J$83),"")</f>
        <v>3.2206599119999999</v>
      </c>
    </row>
    <row r="84" spans="1:10" x14ac:dyDescent="0.25">
      <c r="A84" t="str">
        <f>IFERROR(IF(0=LEN(ReferenceData!$A$84),"",ReferenceData!$A$84),"")</f>
        <v xml:space="preserve">                    Dana Inc</v>
      </c>
      <c r="B84" t="str">
        <f>IFERROR(IF(0=LEN(ReferenceData!$B$84),"",ReferenceData!$B$84),"")</f>
        <v>DAN US Equity</v>
      </c>
      <c r="C84" t="str">
        <f>IFERROR(IF(0=LEN(ReferenceData!$C$84),"",ReferenceData!$C$84),"")</f>
        <v>F0946</v>
      </c>
      <c r="D84" t="str">
        <f>IFERROR(IF(0=LEN(ReferenceData!$D$84),"",ReferenceData!$D$84),"")</f>
        <v>TOTAL_GHG_CO2_EMISSIONS</v>
      </c>
      <c r="E84" t="str">
        <f>IFERROR(IF(0=LEN(ReferenceData!$E$84),"",ReferenceData!$E$84),"")</f>
        <v>Dynamic</v>
      </c>
      <c r="F84">
        <f ca="1">IFERROR(IF(0=LEN(ReferenceData!$F$84),"",ReferenceData!$F$84),"")</f>
        <v>0.49820901499999998</v>
      </c>
      <c r="G84">
        <f ca="1">IFERROR(IF(0=LEN(ReferenceData!$G$84),"",ReferenceData!$G$84),"")</f>
        <v>0.54655798300000002</v>
      </c>
      <c r="H84">
        <f ca="1">IFERROR(IF(0=LEN(ReferenceData!$H$84),"",ReferenceData!$H$84),"")</f>
        <v>0.521570007</v>
      </c>
      <c r="I84">
        <f ca="1">IFERROR(IF(0=LEN(ReferenceData!$I$84),"",ReferenceData!$I$84),"")</f>
        <v>0.61784198000000001</v>
      </c>
      <c r="J84">
        <f ca="1">IFERROR(IF(0=LEN(ReferenceData!$J$84),"",ReferenceData!$J$84),"")</f>
        <v>0.54212902799999996</v>
      </c>
    </row>
    <row r="85" spans="1:10" x14ac:dyDescent="0.25">
      <c r="A85" t="str">
        <f>IFERROR(IF(0=LEN(ReferenceData!$A$85),"",ReferenceData!$A$85),"")</f>
        <v xml:space="preserve">                    Denso Corp</v>
      </c>
      <c r="B85" t="str">
        <f>IFERROR(IF(0=LEN(ReferenceData!$B$85),"",ReferenceData!$B$85),"")</f>
        <v>6902 JP Equity</v>
      </c>
      <c r="C85" t="str">
        <f>IFERROR(IF(0=LEN(ReferenceData!$C$85),"",ReferenceData!$C$85),"")</f>
        <v>F0946</v>
      </c>
      <c r="D85" t="str">
        <f>IFERROR(IF(0=LEN(ReferenceData!$D$85),"",ReferenceData!$D$85),"")</f>
        <v>TOTAL_GHG_CO2_EMISSIONS</v>
      </c>
      <c r="E85" t="str">
        <f>IFERROR(IF(0=LEN(ReferenceData!$E$85),"",ReferenceData!$E$85),"")</f>
        <v>Dynamic</v>
      </c>
      <c r="F85" t="str">
        <f ca="1">IFERROR(IF(0=LEN(ReferenceData!$F$85),"",ReferenceData!$F$85),"")</f>
        <v/>
      </c>
      <c r="G85">
        <f ca="1">IFERROR(IF(0=LEN(ReferenceData!$G$85),"",ReferenceData!$G$85),"")</f>
        <v>2.1045800780000001</v>
      </c>
      <c r="H85">
        <f ca="1">IFERROR(IF(0=LEN(ReferenceData!$H$85),"",ReferenceData!$H$85),"")</f>
        <v>1.784</v>
      </c>
      <c r="I85">
        <f ca="1">IFERROR(IF(0=LEN(ReferenceData!$I$85),"",ReferenceData!$I$85),"")</f>
        <v>1.73</v>
      </c>
      <c r="J85">
        <f ca="1">IFERROR(IF(0=LEN(ReferenceData!$J$85),"",ReferenceData!$J$85),"")</f>
        <v>1.66</v>
      </c>
    </row>
    <row r="86" spans="1:10" x14ac:dyDescent="0.25">
      <c r="A86" t="str">
        <f>IFERROR(IF(0=LEN(ReferenceData!$A$86),"",ReferenceData!$A$86),"")</f>
        <v xml:space="preserve">                    Eaton Corp PLC</v>
      </c>
      <c r="B86" t="str">
        <f>IFERROR(IF(0=LEN(ReferenceData!$B$86),"",ReferenceData!$B$86),"")</f>
        <v>ETN US Equity</v>
      </c>
      <c r="C86" t="str">
        <f>IFERROR(IF(0=LEN(ReferenceData!$C$86),"",ReferenceData!$C$86),"")</f>
        <v>F0946</v>
      </c>
      <c r="D86" t="str">
        <f>IFERROR(IF(0=LEN(ReferenceData!$D$86),"",ReferenceData!$D$86),"")</f>
        <v>TOTAL_GHG_CO2_EMISSIONS</v>
      </c>
      <c r="E86" t="str">
        <f>IFERROR(IF(0=LEN(ReferenceData!$E$86),"",ReferenceData!$E$86),"")</f>
        <v>Dynamic</v>
      </c>
      <c r="F86" t="str">
        <f ca="1">IFERROR(IF(0=LEN(ReferenceData!$F$86),"",ReferenceData!$F$86),"")</f>
        <v/>
      </c>
      <c r="G86">
        <f ca="1">IFERROR(IF(0=LEN(ReferenceData!$G$86),"",ReferenceData!$G$86),"")</f>
        <v>0.82987799100000004</v>
      </c>
      <c r="H86">
        <f ca="1">IFERROR(IF(0=LEN(ReferenceData!$H$86),"",ReferenceData!$H$86),"")</f>
        <v>0.97406897000000003</v>
      </c>
      <c r="I86">
        <f ca="1">IFERROR(IF(0=LEN(ReferenceData!$I$86),"",ReferenceData!$I$86),"")</f>
        <v>1.0662</v>
      </c>
      <c r="J86">
        <f ca="1">IFERROR(IF(0=LEN(ReferenceData!$J$86),"",ReferenceData!$J$86),"")</f>
        <v>1.1788900149999999</v>
      </c>
    </row>
    <row r="87" spans="1:10" x14ac:dyDescent="0.25">
      <c r="A87" t="str">
        <f>IFERROR(IF(0=LEN(ReferenceData!$A$87),"",ReferenceData!$A$87),"")</f>
        <v xml:space="preserve">                    Exedy Corp</v>
      </c>
      <c r="B87" t="str">
        <f>IFERROR(IF(0=LEN(ReferenceData!$B$87),"",ReferenceData!$B$87),"")</f>
        <v>7278 JP Equity</v>
      </c>
      <c r="C87" t="str">
        <f>IFERROR(IF(0=LEN(ReferenceData!$C$87),"",ReferenceData!$C$87),"")</f>
        <v>F0946</v>
      </c>
      <c r="D87" t="str">
        <f>IFERROR(IF(0=LEN(ReferenceData!$D$87),"",ReferenceData!$D$87),"")</f>
        <v>TOTAL_GHG_CO2_EMISSIONS</v>
      </c>
      <c r="E87" t="str">
        <f>IFERROR(IF(0=LEN(ReferenceData!$E$87),"",ReferenceData!$E$87),"")</f>
        <v>Dynamic</v>
      </c>
      <c r="F87" t="str">
        <f ca="1">IFERROR(IF(0=LEN(ReferenceData!$F$87),"",ReferenceData!$F$87),"")</f>
        <v/>
      </c>
      <c r="G87">
        <f ca="1">IFERROR(IF(0=LEN(ReferenceData!$G$87),"",ReferenceData!$G$87),"")</f>
        <v>0.21835400399999999</v>
      </c>
      <c r="H87">
        <f ca="1">IFERROR(IF(0=LEN(ReferenceData!$H$87),"",ReferenceData!$H$87),"")</f>
        <v>0.21867500300000001</v>
      </c>
      <c r="I87">
        <f ca="1">IFERROR(IF(0=LEN(ReferenceData!$I$87),"",ReferenceData!$I$87),"")</f>
        <v>0.25258799700000001</v>
      </c>
      <c r="J87">
        <f ca="1">IFERROR(IF(0=LEN(ReferenceData!$J$87),"",ReferenceData!$J$87),"")</f>
        <v>0.27645800799999998</v>
      </c>
    </row>
    <row r="88" spans="1:10" x14ac:dyDescent="0.25">
      <c r="A88" t="str">
        <f>IFERROR(IF(0=LEN(ReferenceData!$A$88),"",ReferenceData!$A$88),"")</f>
        <v xml:space="preserve">                    Eberspaecher Climate Control S</v>
      </c>
      <c r="B88" t="str">
        <f>IFERROR(IF(0=LEN(ReferenceData!$B$88),"",ReferenceData!$B$88),"")</f>
        <v>3577080Z GR Equity</v>
      </c>
      <c r="C88" t="str">
        <f>IFERROR(IF(0=LEN(ReferenceData!$C$88),"",ReferenceData!$C$88),"")</f>
        <v>F0946</v>
      </c>
      <c r="D88" t="str">
        <f>IFERROR(IF(0=LEN(ReferenceData!$D$88),"",ReferenceData!$D$88),"")</f>
        <v>TOTAL_GHG_CO2_EMISSIONS</v>
      </c>
      <c r="E88" t="str">
        <f>IFERROR(IF(0=LEN(ReferenceData!$E$88),"",ReferenceData!$E$88),"")</f>
        <v>Dynamic</v>
      </c>
      <c r="F88" t="str">
        <f ca="1">IFERROR(IF(0=LEN(ReferenceData!$F$88),"",ReferenceData!$F$88),"")</f>
        <v/>
      </c>
      <c r="G88" t="str">
        <f ca="1">IFERROR(IF(0=LEN(ReferenceData!$G$88),"",ReferenceData!$G$88),"")</f>
        <v/>
      </c>
      <c r="H88" t="str">
        <f ca="1">IFERROR(IF(0=LEN(ReferenceData!$H$88),"",ReferenceData!$H$88),"")</f>
        <v/>
      </c>
      <c r="I88" t="str">
        <f ca="1">IFERROR(IF(0=LEN(ReferenceData!$I$88),"",ReferenceData!$I$88),"")</f>
        <v/>
      </c>
      <c r="J88" t="str">
        <f ca="1">IFERROR(IF(0=LEN(ReferenceData!$J$88),"",ReferenceData!$J$88),"")</f>
        <v/>
      </c>
    </row>
    <row r="89" spans="1:10" x14ac:dyDescent="0.25">
      <c r="A89" t="str">
        <f>IFERROR(IF(0=LEN(ReferenceData!$A$89),"",ReferenceData!$A$89),"")</f>
        <v xml:space="preserve">                    F-Tech Inc</v>
      </c>
      <c r="B89" t="str">
        <f>IFERROR(IF(0=LEN(ReferenceData!$B$89),"",ReferenceData!$B$89),"")</f>
        <v>7212 JP Equity</v>
      </c>
      <c r="C89" t="str">
        <f>IFERROR(IF(0=LEN(ReferenceData!$C$89),"",ReferenceData!$C$89),"")</f>
        <v>F0946</v>
      </c>
      <c r="D89" t="str">
        <f>IFERROR(IF(0=LEN(ReferenceData!$D$89),"",ReferenceData!$D$89),"")</f>
        <v>TOTAL_GHG_CO2_EMISSIONS</v>
      </c>
      <c r="E89" t="str">
        <f>IFERROR(IF(0=LEN(ReferenceData!$E$89),"",ReferenceData!$E$89),"")</f>
        <v>Dynamic</v>
      </c>
      <c r="F89" t="str">
        <f ca="1">IFERROR(IF(0=LEN(ReferenceData!$F$89),"",ReferenceData!$F$89),"")</f>
        <v/>
      </c>
      <c r="G89">
        <f ca="1">IFERROR(IF(0=LEN(ReferenceData!$G$89),"",ReferenceData!$G$89),"")</f>
        <v>9.2438004000000004E-2</v>
      </c>
      <c r="H89">
        <f ca="1">IFERROR(IF(0=LEN(ReferenceData!$H$89),"",ReferenceData!$H$89),"")</f>
        <v>9.1103996000000007E-2</v>
      </c>
      <c r="I89">
        <f ca="1">IFERROR(IF(0=LEN(ReferenceData!$I$89),"",ReferenceData!$I$89),"")</f>
        <v>0.11654299899999999</v>
      </c>
      <c r="J89">
        <f ca="1">IFERROR(IF(0=LEN(ReferenceData!$J$89),"",ReferenceData!$J$89),"")</f>
        <v>0.13059500099999999</v>
      </c>
    </row>
    <row r="90" spans="1:10" x14ac:dyDescent="0.25">
      <c r="A90" t="str">
        <f>IFERROR(IF(0=LEN(ReferenceData!$A$90),"",ReferenceData!$A$90),"")</f>
        <v xml:space="preserve">                    Fuyao Glass Industry Group Co</v>
      </c>
      <c r="B90" t="str">
        <f>IFERROR(IF(0=LEN(ReferenceData!$B$90),"",ReferenceData!$B$90),"")</f>
        <v>600660 CH Equity</v>
      </c>
      <c r="C90" t="str">
        <f>IFERROR(IF(0=LEN(ReferenceData!$C$90),"",ReferenceData!$C$90),"")</f>
        <v>F0946</v>
      </c>
      <c r="D90" t="str">
        <f>IFERROR(IF(0=LEN(ReferenceData!$D$90),"",ReferenceData!$D$90),"")</f>
        <v>TOTAL_GHG_CO2_EMISSIONS</v>
      </c>
      <c r="E90" t="str">
        <f>IFERROR(IF(0=LEN(ReferenceData!$E$90),"",ReferenceData!$E$90),"")</f>
        <v>Dynamic</v>
      </c>
      <c r="F90">
        <f ca="1">IFERROR(IF(0=LEN(ReferenceData!$F$90),"",ReferenceData!$F$90),"")</f>
        <v>1.8848599850000001</v>
      </c>
      <c r="G90">
        <f ca="1">IFERROR(IF(0=LEN(ReferenceData!$G$90),"",ReferenceData!$G$90),"")</f>
        <v>1.8326800539999999</v>
      </c>
      <c r="H90">
        <f ca="1">IFERROR(IF(0=LEN(ReferenceData!$H$90),"",ReferenceData!$H$90),"")</f>
        <v>1.6489499510000001</v>
      </c>
      <c r="I90">
        <f ca="1">IFERROR(IF(0=LEN(ReferenceData!$I$90),"",ReferenceData!$I$90),"")</f>
        <v>1.9398499760000001</v>
      </c>
      <c r="J90">
        <f ca="1">IFERROR(IF(0=LEN(ReferenceData!$J$90),"",ReferenceData!$J$90),"")</f>
        <v>1.7601300049999999</v>
      </c>
    </row>
    <row r="91" spans="1:10" x14ac:dyDescent="0.25">
      <c r="A91" t="str">
        <f>IFERROR(IF(0=LEN(ReferenceData!$A$91),"",ReferenceData!$A$91),"")</f>
        <v xml:space="preserve">                    Faurecia SE</v>
      </c>
      <c r="B91" t="str">
        <f>IFERROR(IF(0=LEN(ReferenceData!$B$91),"",ReferenceData!$B$91),"")</f>
        <v>EO FP Equity</v>
      </c>
      <c r="C91" t="str">
        <f>IFERROR(IF(0=LEN(ReferenceData!$C$91),"",ReferenceData!$C$91),"")</f>
        <v>F0946</v>
      </c>
      <c r="D91" t="str">
        <f>IFERROR(IF(0=LEN(ReferenceData!$D$91),"",ReferenceData!$D$91),"")</f>
        <v>TOTAL_GHG_CO2_EMISSIONS</v>
      </c>
      <c r="E91" t="str">
        <f>IFERROR(IF(0=LEN(ReferenceData!$E$91),"",ReferenceData!$E$91),"")</f>
        <v>Dynamic</v>
      </c>
      <c r="F91">
        <f ca="1">IFERROR(IF(0=LEN(ReferenceData!$F$91),"",ReferenceData!$F$91),"")</f>
        <v>0.59899999999999998</v>
      </c>
      <c r="G91">
        <f ca="1">IFERROR(IF(0=LEN(ReferenceData!$G$91),"",ReferenceData!$G$91),"")</f>
        <v>0.72199999999999998</v>
      </c>
      <c r="H91">
        <f ca="1">IFERROR(IF(0=LEN(ReferenceData!$H$91),"",ReferenceData!$H$91),"")</f>
        <v>0.79600000000000004</v>
      </c>
      <c r="I91">
        <f ca="1">IFERROR(IF(0=LEN(ReferenceData!$I$91),"",ReferenceData!$I$91),"")</f>
        <v>0.93</v>
      </c>
      <c r="J91">
        <f ca="1">IFERROR(IF(0=LEN(ReferenceData!$J$91),"",ReferenceData!$J$91),"")</f>
        <v>0.72312097200000003</v>
      </c>
    </row>
    <row r="92" spans="1:10" x14ac:dyDescent="0.25">
      <c r="A92" t="str">
        <f>IFERROR(IF(0=LEN(ReferenceData!$A$92),"",ReferenceData!$A$92),"")</f>
        <v xml:space="preserve">                    Gajah Tunggal Tbk PT</v>
      </c>
      <c r="B92" t="str">
        <f>IFERROR(IF(0=LEN(ReferenceData!$B$92),"",ReferenceData!$B$92),"")</f>
        <v>GJTL IJ Equity</v>
      </c>
      <c r="C92" t="str">
        <f>IFERROR(IF(0=LEN(ReferenceData!$C$92),"",ReferenceData!$C$92),"")</f>
        <v>F0946</v>
      </c>
      <c r="D92" t="str">
        <f>IFERROR(IF(0=LEN(ReferenceData!$D$92),"",ReferenceData!$D$92),"")</f>
        <v>TOTAL_GHG_CO2_EMISSIONS</v>
      </c>
      <c r="E92" t="str">
        <f>IFERROR(IF(0=LEN(ReferenceData!$E$92),"",ReferenceData!$E$92),"")</f>
        <v>Dynamic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 t="str">
        <f ca="1">IFERROR(IF(0=LEN(ReferenceData!$J$92),"",ReferenceData!$J$92),"")</f>
        <v/>
      </c>
    </row>
    <row r="93" spans="1:10" x14ac:dyDescent="0.25">
      <c r="A93" t="str">
        <f>IFERROR(IF(0=LEN(ReferenceData!$A$93),"",ReferenceData!$A$93),"")</f>
        <v xml:space="preserve">                    Gentex Corp</v>
      </c>
      <c r="B93" t="str">
        <f>IFERROR(IF(0=LEN(ReferenceData!$B$93),"",ReferenceData!$B$93),"")</f>
        <v>GNTX US Equity</v>
      </c>
      <c r="C93" t="str">
        <f>IFERROR(IF(0=LEN(ReferenceData!$C$93),"",ReferenceData!$C$93),"")</f>
        <v>F0946</v>
      </c>
      <c r="D93" t="str">
        <f>IFERROR(IF(0=LEN(ReferenceData!$D$93),"",ReferenceData!$D$93),"")</f>
        <v>TOTAL_GHG_CO2_EMISSIONS</v>
      </c>
      <c r="E93" t="str">
        <f>IFERROR(IF(0=LEN(ReferenceData!$E$93),"",ReferenceData!$E$93),"")</f>
        <v>Dynamic</v>
      </c>
      <c r="F93">
        <f ca="1">IFERROR(IF(0=LEN(ReferenceData!$F$93),"",ReferenceData!$F$93),"")</f>
        <v>0.102989998</v>
      </c>
      <c r="G93">
        <f ca="1">IFERROR(IF(0=LEN(ReferenceData!$G$93),"",ReferenceData!$G$93),"")</f>
        <v>0.10906099700000001</v>
      </c>
      <c r="H93">
        <f ca="1">IFERROR(IF(0=LEN(ReferenceData!$H$93),"",ReferenceData!$H$93),"")</f>
        <v>0.108822998</v>
      </c>
      <c r="I93">
        <f ca="1">IFERROR(IF(0=LEN(ReferenceData!$I$93),"",ReferenceData!$I$93),"")</f>
        <v>0.111081001</v>
      </c>
      <c r="J93">
        <f ca="1">IFERROR(IF(0=LEN(ReferenceData!$J$93),"",ReferenceData!$J$93),"")</f>
        <v>0.105611</v>
      </c>
    </row>
    <row r="94" spans="1:10" x14ac:dyDescent="0.25">
      <c r="A94" t="str">
        <f>IFERROR(IF(0=LEN(ReferenceData!$A$94),"",ReferenceData!$A$94),"")</f>
        <v xml:space="preserve">                    Georg Fischer AG</v>
      </c>
      <c r="B94" t="str">
        <f>IFERROR(IF(0=LEN(ReferenceData!$B$94),"",ReferenceData!$B$94),"")</f>
        <v>GF SW Equity</v>
      </c>
      <c r="C94" t="str">
        <f>IFERROR(IF(0=LEN(ReferenceData!$C$94),"",ReferenceData!$C$94),"")</f>
        <v>F0946</v>
      </c>
      <c r="D94" t="str">
        <f>IFERROR(IF(0=LEN(ReferenceData!$D$94),"",ReferenceData!$D$94),"")</f>
        <v>TOTAL_GHG_CO2_EMISSIONS</v>
      </c>
      <c r="E94" t="str">
        <f>IFERROR(IF(0=LEN(ReferenceData!$E$94),"",ReferenceData!$E$94),"")</f>
        <v>Dynamic</v>
      </c>
      <c r="F94">
        <f ca="1">IFERROR(IF(0=LEN(ReferenceData!$F$94),"",ReferenceData!$F$94),"")</f>
        <v>0.35399999999999998</v>
      </c>
      <c r="G94">
        <f ca="1">IFERROR(IF(0=LEN(ReferenceData!$G$94),"",ReferenceData!$G$94),"")</f>
        <v>0.377</v>
      </c>
      <c r="H94">
        <f ca="1">IFERROR(IF(0=LEN(ReferenceData!$H$94),"",ReferenceData!$H$94),"")</f>
        <v>0.36499999999999999</v>
      </c>
      <c r="I94">
        <f ca="1">IFERROR(IF(0=LEN(ReferenceData!$I$94),"",ReferenceData!$I$94),"")</f>
        <v>0.41</v>
      </c>
      <c r="J94">
        <f ca="1">IFERROR(IF(0=LEN(ReferenceData!$J$94),"",ReferenceData!$J$94),"")</f>
        <v>0.624</v>
      </c>
    </row>
    <row r="95" spans="1:10" x14ac:dyDescent="0.25">
      <c r="A95" t="str">
        <f>IFERROR(IF(0=LEN(ReferenceData!$A$95),"",ReferenceData!$A$95),"")</f>
        <v xml:space="preserve">                    Guizhou Tyre Co Ltd</v>
      </c>
      <c r="B95" t="str">
        <f>IFERROR(IF(0=LEN(ReferenceData!$B$95),"",ReferenceData!$B$95),"")</f>
        <v>000589 CH Equity</v>
      </c>
      <c r="C95" t="str">
        <f>IFERROR(IF(0=LEN(ReferenceData!$C$95),"",ReferenceData!$C$95),"")</f>
        <v>F0946</v>
      </c>
      <c r="D95" t="str">
        <f>IFERROR(IF(0=LEN(ReferenceData!$D$95),"",ReferenceData!$D$95),"")</f>
        <v>TOTAL_GHG_CO2_EMISSIONS</v>
      </c>
      <c r="E95" t="str">
        <f>IFERROR(IF(0=LEN(ReferenceData!$E$95),"",ReferenceData!$E$95),"")</f>
        <v>Dynamic</v>
      </c>
      <c r="F95" t="str">
        <f ca="1">IFERROR(IF(0=LEN(ReferenceData!$F$95),"",ReferenceData!$F$95),"")</f>
        <v/>
      </c>
      <c r="G95" t="str">
        <f ca="1">IFERROR(IF(0=LEN(ReferenceData!$G$95),"",ReferenceData!$G$95),"")</f>
        <v/>
      </c>
      <c r="H95" t="str">
        <f ca="1">IFERROR(IF(0=LEN(ReferenceData!$H$95),"",ReferenceData!$H$95),"")</f>
        <v/>
      </c>
      <c r="I95" t="str">
        <f ca="1">IFERROR(IF(0=LEN(ReferenceData!$I$95),"",ReferenceData!$I$95),"")</f>
        <v/>
      </c>
      <c r="J95" t="str">
        <f ca="1">IFERROR(IF(0=LEN(ReferenceData!$J$95),"",ReferenceData!$J$95),"")</f>
        <v/>
      </c>
    </row>
    <row r="96" spans="1:10" x14ac:dyDescent="0.25">
      <c r="A96" t="str">
        <f>IFERROR(IF(0=LEN(ReferenceData!$A$96),"",ReferenceData!$A$96),"")</f>
        <v xml:space="preserve">                    Hella GmbH &amp; Co KGaA</v>
      </c>
      <c r="B96" t="str">
        <f>IFERROR(IF(0=LEN(ReferenceData!$B$96),"",ReferenceData!$B$96),"")</f>
        <v>HLE GR Equity</v>
      </c>
      <c r="C96" t="str">
        <f>IFERROR(IF(0=LEN(ReferenceData!$C$96),"",ReferenceData!$C$96),"")</f>
        <v>F0946</v>
      </c>
      <c r="D96" t="str">
        <f>IFERROR(IF(0=LEN(ReferenceData!$D$96),"",ReferenceData!$D$96),"")</f>
        <v>TOTAL_GHG_CO2_EMISSIONS</v>
      </c>
      <c r="E96" t="str">
        <f>IFERROR(IF(0=LEN(ReferenceData!$E$96),"",ReferenceData!$E$96),"")</f>
        <v>Dynamic</v>
      </c>
      <c r="F96" t="str">
        <f ca="1">IFERROR(IF(0=LEN(ReferenceData!$F$96),"",ReferenceData!$F$96),"")</f>
        <v/>
      </c>
      <c r="G96">
        <f ca="1">IFERROR(IF(0=LEN(ReferenceData!$G$96),"",ReferenceData!$G$96),"")</f>
        <v>0.203983002</v>
      </c>
      <c r="H96">
        <f ca="1">IFERROR(IF(0=LEN(ReferenceData!$H$96),"",ReferenceData!$H$96),"")</f>
        <v>0.22248500099999999</v>
      </c>
      <c r="I96">
        <f ca="1">IFERROR(IF(0=LEN(ReferenceData!$I$96),"",ReferenceData!$I$96),"")</f>
        <v>0.25766900599999998</v>
      </c>
      <c r="J96" t="str">
        <f ca="1">IFERROR(IF(0=LEN(ReferenceData!$J$96),"",ReferenceData!$J$96),"")</f>
        <v/>
      </c>
    </row>
    <row r="97" spans="1:10" x14ac:dyDescent="0.25">
      <c r="A97" t="str">
        <f>IFERROR(IF(0=LEN(ReferenceData!$A$97),"",ReferenceData!$A$97),"")</f>
        <v xml:space="preserve">                    Hitachi Ltd</v>
      </c>
      <c r="B97" t="str">
        <f>IFERROR(IF(0=LEN(ReferenceData!$B$97),"",ReferenceData!$B$97),"")</f>
        <v>6501 JP Equity</v>
      </c>
      <c r="C97" t="str">
        <f>IFERROR(IF(0=LEN(ReferenceData!$C$97),"",ReferenceData!$C$97),"")</f>
        <v>F0946</v>
      </c>
      <c r="D97" t="str">
        <f>IFERROR(IF(0=LEN(ReferenceData!$D$97),"",ReferenceData!$D$97),"")</f>
        <v>TOTAL_GHG_CO2_EMISSIONS</v>
      </c>
      <c r="E97" t="str">
        <f>IFERROR(IF(0=LEN(ReferenceData!$E$97),"",ReferenceData!$E$97),"")</f>
        <v>Dynamic</v>
      </c>
      <c r="F97" t="str">
        <f ca="1">IFERROR(IF(0=LEN(ReferenceData!$F$97),"",ReferenceData!$F$97),"")</f>
        <v/>
      </c>
      <c r="G97">
        <f ca="1">IFERROR(IF(0=LEN(ReferenceData!$G$97),"",ReferenceData!$G$97),"")</f>
        <v>3.41</v>
      </c>
      <c r="H97">
        <f ca="1">IFERROR(IF(0=LEN(ReferenceData!$H$97),"",ReferenceData!$H$97),"")</f>
        <v>3.610679932</v>
      </c>
      <c r="I97">
        <f ca="1">IFERROR(IF(0=LEN(ReferenceData!$I$97),"",ReferenceData!$I$97),"")</f>
        <v>4.42</v>
      </c>
      <c r="J97">
        <f ca="1">IFERROR(IF(0=LEN(ReferenceData!$J$97),"",ReferenceData!$J$97),"")</f>
        <v>4.47</v>
      </c>
    </row>
    <row r="98" spans="1:10" x14ac:dyDescent="0.25">
      <c r="A98" t="str">
        <f>IFERROR(IF(0=LEN(ReferenceData!$A$98),"",ReferenceData!$A$98),"")</f>
        <v xml:space="preserve">                    HL Holdings Corp</v>
      </c>
      <c r="B98" t="str">
        <f>IFERROR(IF(0=LEN(ReferenceData!$B$98),"",ReferenceData!$B$98),"")</f>
        <v>060980 KS Equity</v>
      </c>
      <c r="C98" t="str">
        <f>IFERROR(IF(0=LEN(ReferenceData!$C$98),"",ReferenceData!$C$98),"")</f>
        <v>F0946</v>
      </c>
      <c r="D98" t="str">
        <f>IFERROR(IF(0=LEN(ReferenceData!$D$98),"",ReferenceData!$D$98),"")</f>
        <v>TOTAL_GHG_CO2_EMISSIONS</v>
      </c>
      <c r="E98" t="str">
        <f>IFERROR(IF(0=LEN(ReferenceData!$E$98),"",ReferenceData!$E$98),"")</f>
        <v>Dynamic</v>
      </c>
      <c r="F98" t="str">
        <f ca="1">IFERROR(IF(0=LEN(ReferenceData!$F$98),"",ReferenceData!$F$98),"")</f>
        <v/>
      </c>
      <c r="G98" t="str">
        <f ca="1">IFERROR(IF(0=LEN(ReferenceData!$G$98),"",ReferenceData!$G$98),"")</f>
        <v/>
      </c>
      <c r="H98" t="str">
        <f ca="1">IFERROR(IF(0=LEN(ReferenceData!$H$98),"",ReferenceData!$H$98),"")</f>
        <v/>
      </c>
      <c r="I98" t="str">
        <f ca="1">IFERROR(IF(0=LEN(ReferenceData!$I$98),"",ReferenceData!$I$98),"")</f>
        <v/>
      </c>
      <c r="J98" t="str">
        <f ca="1">IFERROR(IF(0=LEN(ReferenceData!$J$98),"",ReferenceData!$J$98),"")</f>
        <v/>
      </c>
    </row>
    <row r="99" spans="1:10" x14ac:dyDescent="0.25">
      <c r="A99" t="str">
        <f>IFERROR(IF(0=LEN(ReferenceData!$A$99),"",ReferenceData!$A$99),"")</f>
        <v xml:space="preserve">                    Hyundai Mobis Co Ltd</v>
      </c>
      <c r="B99" t="str">
        <f>IFERROR(IF(0=LEN(ReferenceData!$B$99),"",ReferenceData!$B$99),"")</f>
        <v>012330 KS Equity</v>
      </c>
      <c r="C99" t="str">
        <f>IFERROR(IF(0=LEN(ReferenceData!$C$99),"",ReferenceData!$C$99),"")</f>
        <v>F0946</v>
      </c>
      <c r="D99" t="str">
        <f>IFERROR(IF(0=LEN(ReferenceData!$D$99),"",ReferenceData!$D$99),"")</f>
        <v>TOTAL_GHG_CO2_EMISSIONS</v>
      </c>
      <c r="E99" t="str">
        <f>IFERROR(IF(0=LEN(ReferenceData!$E$99),"",ReferenceData!$E$99),"")</f>
        <v>Dynamic</v>
      </c>
      <c r="F99">
        <f ca="1">IFERROR(IF(0=LEN(ReferenceData!$F$99),"",ReferenceData!$F$99),"")</f>
        <v>0.28936898799999999</v>
      </c>
      <c r="G99">
        <f ca="1">IFERROR(IF(0=LEN(ReferenceData!$G$99),"",ReferenceData!$G$99),"")</f>
        <v>0.356334015</v>
      </c>
      <c r="H99">
        <f ca="1">IFERROR(IF(0=LEN(ReferenceData!$H$99),"",ReferenceData!$H$99),"")</f>
        <v>0.38743200700000002</v>
      </c>
      <c r="I99">
        <f ca="1">IFERROR(IF(0=LEN(ReferenceData!$I$99),"",ReferenceData!$I$99),"")</f>
        <v>0.377588013</v>
      </c>
      <c r="J99">
        <f ca="1">IFERROR(IF(0=LEN(ReferenceData!$J$99),"",ReferenceData!$J$99),"")</f>
        <v>0.37030899</v>
      </c>
    </row>
    <row r="100" spans="1:10" x14ac:dyDescent="0.25">
      <c r="A100" t="str">
        <f>IFERROR(IF(0=LEN(ReferenceData!$A$100),"",ReferenceData!$A$100),"")</f>
        <v xml:space="preserve">                    Hyundai Wia Corp</v>
      </c>
      <c r="B100" t="str">
        <f>IFERROR(IF(0=LEN(ReferenceData!$B$100),"",ReferenceData!$B$100),"")</f>
        <v>011210 KS Equity</v>
      </c>
      <c r="C100" t="str">
        <f>IFERROR(IF(0=LEN(ReferenceData!$C$100),"",ReferenceData!$C$100),"")</f>
        <v>F0946</v>
      </c>
      <c r="D100" t="str">
        <f>IFERROR(IF(0=LEN(ReferenceData!$D$100),"",ReferenceData!$D$100),"")</f>
        <v>TOTAL_GHG_CO2_EMISSIONS</v>
      </c>
      <c r="E100" t="str">
        <f>IFERROR(IF(0=LEN(ReferenceData!$E$100),"",ReferenceData!$E$100),"")</f>
        <v>Dynamic</v>
      </c>
      <c r="F100" t="str">
        <f ca="1">IFERROR(IF(0=LEN(ReferenceData!$F$100),"",ReferenceData!$F$100),"")</f>
        <v/>
      </c>
      <c r="G100">
        <f ca="1">IFERROR(IF(0=LEN(ReferenceData!$G$100),"",ReferenceData!$G$100),"")</f>
        <v>0.35342199699999999</v>
      </c>
      <c r="H100">
        <f ca="1">IFERROR(IF(0=LEN(ReferenceData!$H$100),"",ReferenceData!$H$100),"")</f>
        <v>0.170179001</v>
      </c>
      <c r="I100">
        <f ca="1">IFERROR(IF(0=LEN(ReferenceData!$I$100),"",ReferenceData!$I$100),"")</f>
        <v>0.20114399699999999</v>
      </c>
      <c r="J100">
        <f ca="1">IFERROR(IF(0=LEN(ReferenceData!$J$100),"",ReferenceData!$J$100),"")</f>
        <v>0.22146600299999999</v>
      </c>
    </row>
    <row r="101" spans="1:10" x14ac:dyDescent="0.25">
      <c r="A101" t="str">
        <f>IFERROR(IF(0=LEN(ReferenceData!$A$101),"",ReferenceData!$A$101),"")</f>
        <v xml:space="preserve">                    Hankook Tire &amp; Technology Co L</v>
      </c>
      <c r="B101" t="str">
        <f>IFERROR(IF(0=LEN(ReferenceData!$B$101),"",ReferenceData!$B$101),"")</f>
        <v>161390 KS Equity</v>
      </c>
      <c r="C101" t="str">
        <f>IFERROR(IF(0=LEN(ReferenceData!$C$101),"",ReferenceData!$C$101),"")</f>
        <v>F0946</v>
      </c>
      <c r="D101" t="str">
        <f>IFERROR(IF(0=LEN(ReferenceData!$D$101),"",ReferenceData!$D$101),"")</f>
        <v>TOTAL_GHG_CO2_EMISSIONS</v>
      </c>
      <c r="E101" t="str">
        <f>IFERROR(IF(0=LEN(ReferenceData!$E$101),"",ReferenceData!$E$101),"")</f>
        <v>Dynamic</v>
      </c>
      <c r="F101" t="str">
        <f ca="1">IFERROR(IF(0=LEN(ReferenceData!$F$101),"",ReferenceData!$F$101),"")</f>
        <v/>
      </c>
      <c r="G101">
        <f ca="1">IFERROR(IF(0=LEN(ReferenceData!$G$101),"",ReferenceData!$G$101),"")</f>
        <v>1.1086800539999999</v>
      </c>
      <c r="H101">
        <f ca="1">IFERROR(IF(0=LEN(ReferenceData!$H$101),"",ReferenceData!$H$101),"")</f>
        <v>1.1368800050000001</v>
      </c>
      <c r="I101">
        <f ca="1">IFERROR(IF(0=LEN(ReferenceData!$I$101),"",ReferenceData!$I$101),"")</f>
        <v>1.219910034</v>
      </c>
      <c r="J101">
        <f ca="1">IFERROR(IF(0=LEN(ReferenceData!$J$101),"",ReferenceData!$J$101),"")</f>
        <v>1.2833900149999999</v>
      </c>
    </row>
    <row r="102" spans="1:10" x14ac:dyDescent="0.25">
      <c r="A102" t="str">
        <f>IFERROR(IF(0=LEN(ReferenceData!$A$102),"",ReferenceData!$A$102),"")</f>
        <v xml:space="preserve">                    Honeywell International Inc</v>
      </c>
      <c r="B102" t="str">
        <f>IFERROR(IF(0=LEN(ReferenceData!$B$102),"",ReferenceData!$B$102),"")</f>
        <v>HON US Equity</v>
      </c>
      <c r="C102" t="str">
        <f>IFERROR(IF(0=LEN(ReferenceData!$C$102),"",ReferenceData!$C$102),"")</f>
        <v>F0946</v>
      </c>
      <c r="D102" t="str">
        <f>IFERROR(IF(0=LEN(ReferenceData!$D$102),"",ReferenceData!$D$102),"")</f>
        <v>TOTAL_GHG_CO2_EMISSIONS</v>
      </c>
      <c r="E102" t="str">
        <f>IFERROR(IF(0=LEN(ReferenceData!$E$102),"",ReferenceData!$E$102),"")</f>
        <v>Dynamic</v>
      </c>
      <c r="F102" t="str">
        <f ca="1">IFERROR(IF(0=LEN(ReferenceData!$F$102),"",ReferenceData!$F$102),"")</f>
        <v/>
      </c>
      <c r="G102">
        <f ca="1">IFERROR(IF(0=LEN(ReferenceData!$G$102),"",ReferenceData!$G$102),"")</f>
        <v>2.0180300290000002</v>
      </c>
      <c r="H102">
        <f ca="1">IFERROR(IF(0=LEN(ReferenceData!$H$102),"",ReferenceData!$H$102),"")</f>
        <v>2.248310059</v>
      </c>
      <c r="I102">
        <f ca="1">IFERROR(IF(0=LEN(ReferenceData!$I$102),"",ReferenceData!$I$102),"")</f>
        <v>2.0426300049999999</v>
      </c>
      <c r="J102">
        <f ca="1">IFERROR(IF(0=LEN(ReferenceData!$J$102),"",ReferenceData!$J$102),"")</f>
        <v>2.52798999</v>
      </c>
    </row>
    <row r="103" spans="1:10" x14ac:dyDescent="0.25">
      <c r="A103" t="str">
        <f>IFERROR(IF(0=LEN(ReferenceData!$A$103),"",ReferenceData!$A$103),"")</f>
        <v xml:space="preserve">                    IHO Holding GmbH &amp; Co KG</v>
      </c>
      <c r="B103" t="str">
        <f>IFERROR(IF(0=LEN(ReferenceData!$B$103),"",ReferenceData!$B$103),"")</f>
        <v>668130Z GR Equity</v>
      </c>
      <c r="C103" t="str">
        <f>IFERROR(IF(0=LEN(ReferenceData!$C$103),"",ReferenceData!$C$103),"")</f>
        <v>F0946</v>
      </c>
      <c r="D103" t="str">
        <f>IFERROR(IF(0=LEN(ReferenceData!$D$103),"",ReferenceData!$D$103),"")</f>
        <v>TOTAL_GHG_CO2_EMISSIONS</v>
      </c>
      <c r="E103" t="str">
        <f>IFERROR(IF(0=LEN(ReferenceData!$E$103),"",ReferenceData!$E$103),"")</f>
        <v>Dynamic</v>
      </c>
      <c r="F103" t="str">
        <f ca="1">IFERROR(IF(0=LEN(ReferenceData!$F$103),"",ReferenceData!$F$103),"")</f>
        <v/>
      </c>
      <c r="G103" t="str">
        <f ca="1">IFERROR(IF(0=LEN(ReferenceData!$G$103),"",ReferenceData!$G$103),"")</f>
        <v/>
      </c>
      <c r="H103" t="str">
        <f ca="1">IFERROR(IF(0=LEN(ReferenceData!$H$103),"",ReferenceData!$H$103),"")</f>
        <v/>
      </c>
      <c r="I103" t="str">
        <f ca="1">IFERROR(IF(0=LEN(ReferenceData!$I$103),"",ReferenceData!$I$103),"")</f>
        <v/>
      </c>
      <c r="J103" t="str">
        <f ca="1">IFERROR(IF(0=LEN(ReferenceData!$J$103),"",ReferenceData!$J$103),"")</f>
        <v/>
      </c>
    </row>
    <row r="104" spans="1:10" x14ac:dyDescent="0.25">
      <c r="A104" t="str">
        <f>IFERROR(IF(0=LEN(ReferenceData!$A$104),"",ReferenceData!$A$104),"")</f>
        <v xml:space="preserve">                    Iochpe Maxion SA</v>
      </c>
      <c r="B104" t="str">
        <f>IFERROR(IF(0=LEN(ReferenceData!$B$104),"",ReferenceData!$B$104),"")</f>
        <v>MYPK3 BZ Equity</v>
      </c>
      <c r="C104" t="str">
        <f>IFERROR(IF(0=LEN(ReferenceData!$C$104),"",ReferenceData!$C$104),"")</f>
        <v>F0946</v>
      </c>
      <c r="D104" t="str">
        <f>IFERROR(IF(0=LEN(ReferenceData!$D$104),"",ReferenceData!$D$104),"")</f>
        <v>TOTAL_GHG_CO2_EMISSIONS</v>
      </c>
      <c r="E104" t="str">
        <f>IFERROR(IF(0=LEN(ReferenceData!$E$104),"",ReferenceData!$E$104),"")</f>
        <v>Dynamic</v>
      </c>
      <c r="F104" t="str">
        <f ca="1">IFERROR(IF(0=LEN(ReferenceData!$F$104),"",ReferenceData!$F$104),"")</f>
        <v/>
      </c>
      <c r="G104">
        <f ca="1">IFERROR(IF(0=LEN(ReferenceData!$G$104),"",ReferenceData!$G$104),"")</f>
        <v>0.40402600100000002</v>
      </c>
      <c r="H104" t="str">
        <f ca="1">IFERROR(IF(0=LEN(ReferenceData!$H$104),"",ReferenceData!$H$104),"")</f>
        <v/>
      </c>
      <c r="I104" t="str">
        <f ca="1">IFERROR(IF(0=LEN(ReferenceData!$I$104),"",ReferenceData!$I$104),"")</f>
        <v/>
      </c>
      <c r="J104" t="str">
        <f ca="1">IFERROR(IF(0=LEN(ReferenceData!$J$104),"",ReferenceData!$J$104),"")</f>
        <v/>
      </c>
    </row>
    <row r="105" spans="1:10" x14ac:dyDescent="0.25">
      <c r="A105" t="str">
        <f>IFERROR(IF(0=LEN(ReferenceData!$A$105),"",ReferenceData!$A$105),"")</f>
        <v xml:space="preserve">                    JK Tyre &amp; Industries Ltd</v>
      </c>
      <c r="B105" t="str">
        <f>IFERROR(IF(0=LEN(ReferenceData!$B$105),"",ReferenceData!$B$105),"")</f>
        <v>JKI IN Equity</v>
      </c>
      <c r="C105" t="str">
        <f>IFERROR(IF(0=LEN(ReferenceData!$C$105),"",ReferenceData!$C$105),"")</f>
        <v>F0946</v>
      </c>
      <c r="D105" t="str">
        <f>IFERROR(IF(0=LEN(ReferenceData!$D$105),"",ReferenceData!$D$105),"")</f>
        <v>TOTAL_GHG_CO2_EMISSIONS</v>
      </c>
      <c r="E105" t="str">
        <f>IFERROR(IF(0=LEN(ReferenceData!$E$105),"",ReferenceData!$E$105),"")</f>
        <v>Dynamic</v>
      </c>
      <c r="F105" t="str">
        <f ca="1">IFERROR(IF(0=LEN(ReferenceData!$F$105),"",ReferenceData!$F$105),"")</f>
        <v/>
      </c>
      <c r="G105">
        <f ca="1">IFERROR(IF(0=LEN(ReferenceData!$G$105),"",ReferenceData!$G$105),"")</f>
        <v>0.24909300200000001</v>
      </c>
      <c r="H105">
        <f ca="1">IFERROR(IF(0=LEN(ReferenceData!$H$105),"",ReferenceData!$H$105),"")</f>
        <v>0.41059298700000002</v>
      </c>
      <c r="I105">
        <f ca="1">IFERROR(IF(0=LEN(ReferenceData!$I$105),"",ReferenceData!$I$105),"")</f>
        <v>0.24699200399999999</v>
      </c>
      <c r="J105">
        <f ca="1">IFERROR(IF(0=LEN(ReferenceData!$J$105),"",ReferenceData!$J$105),"")</f>
        <v>0.32175500499999998</v>
      </c>
    </row>
    <row r="106" spans="1:10" x14ac:dyDescent="0.25">
      <c r="A106" t="str">
        <f>IFERROR(IF(0=LEN(ReferenceData!$A$106),"",ReferenceData!$A$106),"")</f>
        <v xml:space="preserve">                    JTEKT Corp</v>
      </c>
      <c r="B106" t="str">
        <f>IFERROR(IF(0=LEN(ReferenceData!$B$106),"",ReferenceData!$B$106),"")</f>
        <v>6473 JP Equity</v>
      </c>
      <c r="C106" t="str">
        <f>IFERROR(IF(0=LEN(ReferenceData!$C$106),"",ReferenceData!$C$106),"")</f>
        <v>F0946</v>
      </c>
      <c r="D106" t="str">
        <f>IFERROR(IF(0=LEN(ReferenceData!$D$106),"",ReferenceData!$D$106),"")</f>
        <v>TOTAL_GHG_CO2_EMISSIONS</v>
      </c>
      <c r="E106" t="str">
        <f>IFERROR(IF(0=LEN(ReferenceData!$E$106),"",ReferenceData!$E$106),"")</f>
        <v>Dynamic</v>
      </c>
      <c r="F106" t="str">
        <f ca="1">IFERROR(IF(0=LEN(ReferenceData!$F$106),"",ReferenceData!$F$106),"")</f>
        <v/>
      </c>
      <c r="G106">
        <f ca="1">IFERROR(IF(0=LEN(ReferenceData!$G$106),"",ReferenceData!$G$106),"")</f>
        <v>0.621</v>
      </c>
      <c r="H106">
        <f ca="1">IFERROR(IF(0=LEN(ReferenceData!$H$106),"",ReferenceData!$H$106),"")</f>
        <v>0.68200000000000005</v>
      </c>
      <c r="I106">
        <f ca="1">IFERROR(IF(0=LEN(ReferenceData!$I$106),"",ReferenceData!$I$106),"")</f>
        <v>0.755</v>
      </c>
      <c r="J106">
        <f ca="1">IFERROR(IF(0=LEN(ReferenceData!$J$106),"",ReferenceData!$J$106),"")</f>
        <v>0.80700000000000005</v>
      </c>
    </row>
    <row r="107" spans="1:10" x14ac:dyDescent="0.25">
      <c r="A107" t="str">
        <f>IFERROR(IF(0=LEN(ReferenceData!$A$107),"",ReferenceData!$A$107),"")</f>
        <v xml:space="preserve">                    Kumho Tire Co Inc</v>
      </c>
      <c r="B107" t="str">
        <f>IFERROR(IF(0=LEN(ReferenceData!$B$107),"",ReferenceData!$B$107),"")</f>
        <v>073240 KS Equity</v>
      </c>
      <c r="C107" t="str">
        <f>IFERROR(IF(0=LEN(ReferenceData!$C$107),"",ReferenceData!$C$107),"")</f>
        <v>F0946</v>
      </c>
      <c r="D107" t="str">
        <f>IFERROR(IF(0=LEN(ReferenceData!$D$107),"",ReferenceData!$D$107),"")</f>
        <v>TOTAL_GHG_CO2_EMISSIONS</v>
      </c>
      <c r="E107" t="str">
        <f>IFERROR(IF(0=LEN(ReferenceData!$E$107),"",ReferenceData!$E$107),"")</f>
        <v>Dynamic</v>
      </c>
      <c r="F107" t="str">
        <f ca="1">IFERROR(IF(0=LEN(ReferenceData!$F$107),"",ReferenceData!$F$107),"")</f>
        <v/>
      </c>
      <c r="G107">
        <f ca="1">IFERROR(IF(0=LEN(ReferenceData!$G$107),"",ReferenceData!$G$107),"")</f>
        <v>0.48258700599999999</v>
      </c>
      <c r="H107">
        <f ca="1">IFERROR(IF(0=LEN(ReferenceData!$H$107),"",ReferenceData!$H$107),"")</f>
        <v>0.44776400799999999</v>
      </c>
      <c r="I107">
        <f ca="1">IFERROR(IF(0=LEN(ReferenceData!$I$107),"",ReferenceData!$I$107),"")</f>
        <v>0.48208999600000002</v>
      </c>
      <c r="J107" t="str">
        <f ca="1">IFERROR(IF(0=LEN(ReferenceData!$J$107),"",ReferenceData!$J$107),"")</f>
        <v/>
      </c>
    </row>
    <row r="108" spans="1:10" x14ac:dyDescent="0.25">
      <c r="A108" t="str">
        <f>IFERROR(IF(0=LEN(ReferenceData!$A$108),"",ReferenceData!$A$108),"")</f>
        <v xml:space="preserve">                    Koito Manufacturing Co Ltd</v>
      </c>
      <c r="B108" t="str">
        <f>IFERROR(IF(0=LEN(ReferenceData!$B$108),"",ReferenceData!$B$108),"")</f>
        <v>7276 JP Equity</v>
      </c>
      <c r="C108" t="str">
        <f>IFERROR(IF(0=LEN(ReferenceData!$C$108),"",ReferenceData!$C$108),"")</f>
        <v>F0946</v>
      </c>
      <c r="D108" t="str">
        <f>IFERROR(IF(0=LEN(ReferenceData!$D$108),"",ReferenceData!$D$108),"")</f>
        <v>TOTAL_GHG_CO2_EMISSIONS</v>
      </c>
      <c r="E108" t="str">
        <f>IFERROR(IF(0=LEN(ReferenceData!$E$108),"",ReferenceData!$E$108),"")</f>
        <v>Dynamic</v>
      </c>
      <c r="F108" t="str">
        <f ca="1">IFERROR(IF(0=LEN(ReferenceData!$F$108),"",ReferenceData!$F$108),"")</f>
        <v/>
      </c>
      <c r="G108" t="str">
        <f ca="1">IFERROR(IF(0=LEN(ReferenceData!$G$108),"",ReferenceData!$G$108),"")</f>
        <v/>
      </c>
      <c r="H108" t="str">
        <f ca="1">IFERROR(IF(0=LEN(ReferenceData!$H$108),"",ReferenceData!$H$108),"")</f>
        <v/>
      </c>
      <c r="I108">
        <f ca="1">IFERROR(IF(0=LEN(ReferenceData!$I$108),"",ReferenceData!$I$108),"")</f>
        <v>0.36</v>
      </c>
      <c r="J108">
        <f ca="1">IFERROR(IF(0=LEN(ReferenceData!$J$108),"",ReferenceData!$J$108),"")</f>
        <v>0.375</v>
      </c>
    </row>
    <row r="109" spans="1:10" x14ac:dyDescent="0.25">
      <c r="A109" t="str">
        <f>IFERROR(IF(0=LEN(ReferenceData!$A$109),"",ReferenceData!$A$109),"")</f>
        <v xml:space="preserve">                    Lear Corp</v>
      </c>
      <c r="B109" t="str">
        <f>IFERROR(IF(0=LEN(ReferenceData!$B$109),"",ReferenceData!$B$109),"")</f>
        <v>LEA US Equity</v>
      </c>
      <c r="C109" t="str">
        <f>IFERROR(IF(0=LEN(ReferenceData!$C$109),"",ReferenceData!$C$109),"")</f>
        <v>F0946</v>
      </c>
      <c r="D109" t="str">
        <f>IFERROR(IF(0=LEN(ReferenceData!$D$109),"",ReferenceData!$D$109),"")</f>
        <v>TOTAL_GHG_CO2_EMISSIONS</v>
      </c>
      <c r="E109" t="str">
        <f>IFERROR(IF(0=LEN(ReferenceData!$E$109),"",ReferenceData!$E$109),"")</f>
        <v>Dynamic</v>
      </c>
      <c r="F109" t="str">
        <f ca="1">IFERROR(IF(0=LEN(ReferenceData!$F$109),"",ReferenceData!$F$109),"")</f>
        <v/>
      </c>
      <c r="G109">
        <f ca="1">IFERROR(IF(0=LEN(ReferenceData!$G$109),"",ReferenceData!$G$109),"")</f>
        <v>0.379027008</v>
      </c>
      <c r="H109">
        <f ca="1">IFERROR(IF(0=LEN(ReferenceData!$H$109),"",ReferenceData!$H$109),"")</f>
        <v>0.42811199999999999</v>
      </c>
      <c r="I109">
        <f ca="1">IFERROR(IF(0=LEN(ReferenceData!$I$109),"",ReferenceData!$I$109),"")</f>
        <v>0.48382800300000001</v>
      </c>
      <c r="J109">
        <f ca="1">IFERROR(IF(0=LEN(ReferenceData!$J$109),"",ReferenceData!$J$109),"")</f>
        <v>0.50234799200000002</v>
      </c>
    </row>
    <row r="110" spans="1:10" x14ac:dyDescent="0.25">
      <c r="A110" t="str">
        <f>IFERROR(IF(0=LEN(ReferenceData!$A$110),"",ReferenceData!$A$110),"")</f>
        <v xml:space="preserve">                    Leoni AG</v>
      </c>
      <c r="B110" t="str">
        <f>IFERROR(IF(0=LEN(ReferenceData!$B$110),"",ReferenceData!$B$110),"")</f>
        <v>LEO GR Equity</v>
      </c>
      <c r="C110" t="str">
        <f>IFERROR(IF(0=LEN(ReferenceData!$C$110),"",ReferenceData!$C$110),"")</f>
        <v>F0946</v>
      </c>
      <c r="D110" t="str">
        <f>IFERROR(IF(0=LEN(ReferenceData!$D$110),"",ReferenceData!$D$110),"")</f>
        <v>TOTAL_GHG_CO2_EMISSIONS</v>
      </c>
      <c r="E110" t="str">
        <f>IFERROR(IF(0=LEN(ReferenceData!$E$110),"",ReferenceData!$E$110),"")</f>
        <v>Dynamic</v>
      </c>
      <c r="F110" t="str">
        <f ca="1">IFERROR(IF(0=LEN(ReferenceData!$F$110),"",ReferenceData!$F$110),"")</f>
        <v/>
      </c>
      <c r="G110">
        <f ca="1">IFERROR(IF(0=LEN(ReferenceData!$G$110),"",ReferenceData!$G$110),"")</f>
        <v>0.17569000200000001</v>
      </c>
      <c r="H110">
        <f ca="1">IFERROR(IF(0=LEN(ReferenceData!$H$110),"",ReferenceData!$H$110),"")</f>
        <v>0.26065301499999999</v>
      </c>
      <c r="I110">
        <f ca="1">IFERROR(IF(0=LEN(ReferenceData!$I$110),"",ReferenceData!$I$110),"")</f>
        <v>0.19197099300000001</v>
      </c>
      <c r="J110">
        <f ca="1">IFERROR(IF(0=LEN(ReferenceData!$J$110),"",ReferenceData!$J$110),"")</f>
        <v>0.20393699600000001</v>
      </c>
    </row>
    <row r="111" spans="1:10" x14ac:dyDescent="0.25">
      <c r="A111" t="str">
        <f>IFERROR(IF(0=LEN(ReferenceData!$A$111),"",ReferenceData!$A$111),"")</f>
        <v xml:space="preserve">                    LG Chem Ltd</v>
      </c>
      <c r="B111" t="str">
        <f>IFERROR(IF(0=LEN(ReferenceData!$B$111),"",ReferenceData!$B$111),"")</f>
        <v>051910 KS Equity</v>
      </c>
      <c r="C111" t="str">
        <f>IFERROR(IF(0=LEN(ReferenceData!$C$111),"",ReferenceData!$C$111),"")</f>
        <v>F0946</v>
      </c>
      <c r="D111" t="str">
        <f>IFERROR(IF(0=LEN(ReferenceData!$D$111),"",ReferenceData!$D$111),"")</f>
        <v>TOTAL_GHG_CO2_EMISSIONS</v>
      </c>
      <c r="E111" t="str">
        <f>IFERROR(IF(0=LEN(ReferenceData!$E$111),"",ReferenceData!$E$111),"")</f>
        <v>Dynamic</v>
      </c>
      <c r="F111" t="str">
        <f ca="1">IFERROR(IF(0=LEN(ReferenceData!$F$111),"",ReferenceData!$F$111),"")</f>
        <v/>
      </c>
      <c r="G111">
        <f ca="1">IFERROR(IF(0=LEN(ReferenceData!$G$111),"",ReferenceData!$G$111),"")</f>
        <v>10.339700199999999</v>
      </c>
      <c r="H111">
        <f ca="1">IFERROR(IF(0=LEN(ReferenceData!$H$111),"",ReferenceData!$H$111),"")</f>
        <v>9.5197802730000003</v>
      </c>
      <c r="I111">
        <f ca="1">IFERROR(IF(0=LEN(ReferenceData!$I$111),"",ReferenceData!$I$111),"")</f>
        <v>10.5832002</v>
      </c>
      <c r="J111">
        <f ca="1">IFERROR(IF(0=LEN(ReferenceData!$J$111),"",ReferenceData!$J$111),"")</f>
        <v>9.9878701169999999</v>
      </c>
    </row>
    <row r="112" spans="1:10" x14ac:dyDescent="0.25">
      <c r="A112" t="str">
        <f>IFERROR(IF(0=LEN(ReferenceData!$A$112),"",ReferenceData!$A$112),"")</f>
        <v xml:space="preserve">                    Linamar Corp</v>
      </c>
      <c r="B112" t="str">
        <f>IFERROR(IF(0=LEN(ReferenceData!$B$112),"",ReferenceData!$B$112),"")</f>
        <v>LNR CN Equity</v>
      </c>
      <c r="C112" t="str">
        <f>IFERROR(IF(0=LEN(ReferenceData!$C$112),"",ReferenceData!$C$112),"")</f>
        <v>F0946</v>
      </c>
      <c r="D112" t="str">
        <f>IFERROR(IF(0=LEN(ReferenceData!$D$112),"",ReferenceData!$D$112),"")</f>
        <v>TOTAL_GHG_CO2_EMISSIONS</v>
      </c>
      <c r="E112" t="str">
        <f>IFERROR(IF(0=LEN(ReferenceData!$E$112),"",ReferenceData!$E$112),"")</f>
        <v>Dynamic</v>
      </c>
      <c r="F112" t="str">
        <f ca="1">IFERROR(IF(0=LEN(ReferenceData!$F$112),"",ReferenceData!$F$112),"")</f>
        <v/>
      </c>
      <c r="G112" t="str">
        <f ca="1">IFERROR(IF(0=LEN(ReferenceData!$G$112),"",ReferenceData!$G$112),"")</f>
        <v/>
      </c>
      <c r="H112" t="str">
        <f ca="1">IFERROR(IF(0=LEN(ReferenceData!$H$112),"",ReferenceData!$H$112),"")</f>
        <v/>
      </c>
      <c r="I112" t="str">
        <f ca="1">IFERROR(IF(0=LEN(ReferenceData!$I$112),"",ReferenceData!$I$112),"")</f>
        <v/>
      </c>
      <c r="J112" t="str">
        <f ca="1">IFERROR(IF(0=LEN(ReferenceData!$J$112),"",ReferenceData!$J$112),"")</f>
        <v/>
      </c>
    </row>
    <row r="113" spans="1:10" x14ac:dyDescent="0.25">
      <c r="A113" t="str">
        <f>IFERROR(IF(0=LEN(ReferenceData!$A$113),"",ReferenceData!$A$113),"")</f>
        <v xml:space="preserve">                    MAHLE Behr GmbH &amp; Co KG</v>
      </c>
      <c r="B113" t="str">
        <f>IFERROR(IF(0=LEN(ReferenceData!$B$113),"",ReferenceData!$B$113),"")</f>
        <v>2551Z GR Equity</v>
      </c>
      <c r="C113" t="str">
        <f>IFERROR(IF(0=LEN(ReferenceData!$C$113),"",ReferenceData!$C$113),"")</f>
        <v>F0946</v>
      </c>
      <c r="D113" t="str">
        <f>IFERROR(IF(0=LEN(ReferenceData!$D$113),"",ReferenceData!$D$113),"")</f>
        <v>TOTAL_GHG_CO2_EMISSIONS</v>
      </c>
      <c r="E113" t="str">
        <f>IFERROR(IF(0=LEN(ReferenceData!$E$113),"",ReferenceData!$E$113),"")</f>
        <v>Dynamic</v>
      </c>
      <c r="F113" t="str">
        <f ca="1">IFERROR(IF(0=LEN(ReferenceData!$F$113),"",ReferenceData!$F$113),"")</f>
        <v/>
      </c>
      <c r="G113" t="str">
        <f ca="1">IFERROR(IF(0=LEN(ReferenceData!$G$113),"",ReferenceData!$G$113),"")</f>
        <v/>
      </c>
      <c r="H113" t="str">
        <f ca="1">IFERROR(IF(0=LEN(ReferenceData!$H$113),"",ReferenceData!$H$113),"")</f>
        <v/>
      </c>
      <c r="I113" t="str">
        <f ca="1">IFERROR(IF(0=LEN(ReferenceData!$I$113),"",ReferenceData!$I$113),"")</f>
        <v/>
      </c>
      <c r="J113" t="str">
        <f ca="1">IFERROR(IF(0=LEN(ReferenceData!$J$113),"",ReferenceData!$J$113),"")</f>
        <v/>
      </c>
    </row>
    <row r="114" spans="1:10" x14ac:dyDescent="0.25">
      <c r="A114" t="str">
        <f>IFERROR(IF(0=LEN(ReferenceData!$A$114),"",ReferenceData!$A$114),"")</f>
        <v xml:space="preserve">                    Martinrea International Inc</v>
      </c>
      <c r="B114" t="str">
        <f>IFERROR(IF(0=LEN(ReferenceData!$B$114),"",ReferenceData!$B$114),"")</f>
        <v>MRE CN Equity</v>
      </c>
      <c r="C114" t="str">
        <f>IFERROR(IF(0=LEN(ReferenceData!$C$114),"",ReferenceData!$C$114),"")</f>
        <v>F0946</v>
      </c>
      <c r="D114" t="str">
        <f>IFERROR(IF(0=LEN(ReferenceData!$D$114),"",ReferenceData!$D$114),"")</f>
        <v>TOTAL_GHG_CO2_EMISSIONS</v>
      </c>
      <c r="E114" t="str">
        <f>IFERROR(IF(0=LEN(ReferenceData!$E$114),"",ReferenceData!$E$114),"")</f>
        <v>Dynamic</v>
      </c>
      <c r="F114" t="str">
        <f ca="1">IFERROR(IF(0=LEN(ReferenceData!$F$114),"",ReferenceData!$F$114),"")</f>
        <v/>
      </c>
      <c r="G114">
        <f ca="1">IFERROR(IF(0=LEN(ReferenceData!$G$114),"",ReferenceData!$G$114),"")</f>
        <v>0.25654299899999999</v>
      </c>
      <c r="H114">
        <f ca="1">IFERROR(IF(0=LEN(ReferenceData!$H$114),"",ReferenceData!$H$114),"")</f>
        <v>0.253940002</v>
      </c>
      <c r="I114">
        <f ca="1">IFERROR(IF(0=LEN(ReferenceData!$I$114),"",ReferenceData!$I$114),"")</f>
        <v>0.29277499400000001</v>
      </c>
      <c r="J114" t="str">
        <f ca="1">IFERROR(IF(0=LEN(ReferenceData!$J$114),"",ReferenceData!$J$114),"")</f>
        <v/>
      </c>
    </row>
    <row r="115" spans="1:10" x14ac:dyDescent="0.25">
      <c r="A115" t="str">
        <f>IFERROR(IF(0=LEN(ReferenceData!$A$115),"",ReferenceData!$A$115),"")</f>
        <v xml:space="preserve">                    Mitsuba Corp</v>
      </c>
      <c r="B115" t="str">
        <f>IFERROR(IF(0=LEN(ReferenceData!$B$115),"",ReferenceData!$B$115),"")</f>
        <v>7280 JP Equity</v>
      </c>
      <c r="C115" t="str">
        <f>IFERROR(IF(0=LEN(ReferenceData!$C$115),"",ReferenceData!$C$115),"")</f>
        <v>F0946</v>
      </c>
      <c r="D115" t="str">
        <f>IFERROR(IF(0=LEN(ReferenceData!$D$115),"",ReferenceData!$D$115),"")</f>
        <v>TOTAL_GHG_CO2_EMISSIONS</v>
      </c>
      <c r="E115" t="str">
        <f>IFERROR(IF(0=LEN(ReferenceData!$E$115),"",ReferenceData!$E$115),"")</f>
        <v>Dynamic</v>
      </c>
      <c r="F115" t="str">
        <f ca="1">IFERROR(IF(0=LEN(ReferenceData!$F$115),"",ReferenceData!$F$115),"")</f>
        <v/>
      </c>
      <c r="G115">
        <f ca="1">IFERROR(IF(0=LEN(ReferenceData!$G$115),"",ReferenceData!$G$115),"")</f>
        <v>0.16058799700000001</v>
      </c>
      <c r="H115">
        <f ca="1">IFERROR(IF(0=LEN(ReferenceData!$H$115),"",ReferenceData!$H$115),"")</f>
        <v>0.156412994</v>
      </c>
      <c r="I115">
        <f ca="1">IFERROR(IF(0=LEN(ReferenceData!$I$115),"",ReferenceData!$I$115),"")</f>
        <v>0.17</v>
      </c>
      <c r="J115">
        <f ca="1">IFERROR(IF(0=LEN(ReferenceData!$J$115),"",ReferenceData!$J$115),"")</f>
        <v>0.17299999999999999</v>
      </c>
    </row>
    <row r="116" spans="1:10" x14ac:dyDescent="0.25">
      <c r="A116" t="str">
        <f>IFERROR(IF(0=LEN(ReferenceData!$A$116),"",ReferenceData!$A$116),"")</f>
        <v xml:space="preserve">                    Modine Manufacturing Co</v>
      </c>
      <c r="B116" t="str">
        <f>IFERROR(IF(0=LEN(ReferenceData!$B$116),"",ReferenceData!$B$116),"")</f>
        <v>MOD US Equity</v>
      </c>
      <c r="C116" t="str">
        <f>IFERROR(IF(0=LEN(ReferenceData!$C$116),"",ReferenceData!$C$116),"")</f>
        <v>F0946</v>
      </c>
      <c r="D116" t="str">
        <f>IFERROR(IF(0=LEN(ReferenceData!$D$116),"",ReferenceData!$D$116),"")</f>
        <v>TOTAL_GHG_CO2_EMISSIONS</v>
      </c>
      <c r="E116" t="str">
        <f>IFERROR(IF(0=LEN(ReferenceData!$E$116),"",ReferenceData!$E$116),"")</f>
        <v>Dynamic</v>
      </c>
      <c r="F116" t="str">
        <f ca="1">IFERROR(IF(0=LEN(ReferenceData!$F$116),"",ReferenceData!$F$116),"")</f>
        <v/>
      </c>
      <c r="G116" t="str">
        <f ca="1">IFERROR(IF(0=LEN(ReferenceData!$G$116),"",ReferenceData!$G$116),"")</f>
        <v/>
      </c>
      <c r="H116" t="str">
        <f ca="1">IFERROR(IF(0=LEN(ReferenceData!$H$116),"",ReferenceData!$H$116),"")</f>
        <v/>
      </c>
      <c r="I116" t="str">
        <f ca="1">IFERROR(IF(0=LEN(ReferenceData!$I$116),"",ReferenceData!$I$116),"")</f>
        <v/>
      </c>
      <c r="J116" t="str">
        <f ca="1">IFERROR(IF(0=LEN(ReferenceData!$J$116),"",ReferenceData!$J$116),"")</f>
        <v/>
      </c>
    </row>
    <row r="117" spans="1:10" x14ac:dyDescent="0.25">
      <c r="A117" t="str">
        <f>IFERROR(IF(0=LEN(ReferenceData!$A$117),"",ReferenceData!$A$117),"")</f>
        <v xml:space="preserve">                    Magna International Inc</v>
      </c>
      <c r="B117" t="str">
        <f>IFERROR(IF(0=LEN(ReferenceData!$B$117),"",ReferenceData!$B$117),"")</f>
        <v>MGA US Equity</v>
      </c>
      <c r="C117" t="str">
        <f>IFERROR(IF(0=LEN(ReferenceData!$C$117),"",ReferenceData!$C$117),"")</f>
        <v>F0946</v>
      </c>
      <c r="D117" t="str">
        <f>IFERROR(IF(0=LEN(ReferenceData!$D$117),"",ReferenceData!$D$117),"")</f>
        <v>TOTAL_GHG_CO2_EMISSIONS</v>
      </c>
      <c r="E117" t="str">
        <f>IFERROR(IF(0=LEN(ReferenceData!$E$117),"",ReferenceData!$E$117),"")</f>
        <v>Dynamic</v>
      </c>
      <c r="F117" t="str">
        <f ca="1">IFERROR(IF(0=LEN(ReferenceData!$F$117),"",ReferenceData!$F$117),"")</f>
        <v/>
      </c>
      <c r="G117">
        <f ca="1">IFERROR(IF(0=LEN(ReferenceData!$G$117),"",ReferenceData!$G$117),"")</f>
        <v>1.563170044</v>
      </c>
      <c r="H117">
        <f ca="1">IFERROR(IF(0=LEN(ReferenceData!$H$117),"",ReferenceData!$H$117),"")</f>
        <v>1.705900024</v>
      </c>
      <c r="I117">
        <f ca="1">IFERROR(IF(0=LEN(ReferenceData!$I$117),"",ReferenceData!$I$117),"")</f>
        <v>2.1266799320000001</v>
      </c>
      <c r="J117">
        <f ca="1">IFERROR(IF(0=LEN(ReferenceData!$J$117),"",ReferenceData!$J$117),"")</f>
        <v>2.1203000489999999</v>
      </c>
    </row>
    <row r="118" spans="1:10" x14ac:dyDescent="0.25">
      <c r="A118" t="str">
        <f>IFERROR(IF(0=LEN(ReferenceData!$A$118),"",ReferenceData!$A$118),"")</f>
        <v xml:space="preserve">                    Mahle GmbH</v>
      </c>
      <c r="B118" t="str">
        <f>IFERROR(IF(0=LEN(ReferenceData!$B$118),"",ReferenceData!$B$118),"")</f>
        <v>MAHL GR Equity</v>
      </c>
      <c r="C118" t="str">
        <f>IFERROR(IF(0=LEN(ReferenceData!$C$118),"",ReferenceData!$C$118),"")</f>
        <v>F0946</v>
      </c>
      <c r="D118" t="str">
        <f>IFERROR(IF(0=LEN(ReferenceData!$D$118),"",ReferenceData!$D$118),"")</f>
        <v>TOTAL_GHG_CO2_EMISSIONS</v>
      </c>
      <c r="E118" t="str">
        <f>IFERROR(IF(0=LEN(ReferenceData!$E$118),"",ReferenceData!$E$118),"")</f>
        <v>Dynamic</v>
      </c>
      <c r="F118" t="str">
        <f ca="1">IFERROR(IF(0=LEN(ReferenceData!$F$118),"",ReferenceData!$F$118),"")</f>
        <v/>
      </c>
      <c r="G118" t="str">
        <f ca="1">IFERROR(IF(0=LEN(ReferenceData!$G$118),"",ReferenceData!$G$118),"")</f>
        <v/>
      </c>
      <c r="H118" t="str">
        <f ca="1">IFERROR(IF(0=LEN(ReferenceData!$H$118),"",ReferenceData!$H$118),"")</f>
        <v/>
      </c>
      <c r="I118" t="str">
        <f ca="1">IFERROR(IF(0=LEN(ReferenceData!$I$118),"",ReferenceData!$I$118),"")</f>
        <v/>
      </c>
      <c r="J118" t="str">
        <f ca="1">IFERROR(IF(0=LEN(ReferenceData!$J$118),"",ReferenceData!$J$118),"")</f>
        <v/>
      </c>
    </row>
    <row r="119" spans="1:10" x14ac:dyDescent="0.25">
      <c r="A119" t="str">
        <f>IFERROR(IF(0=LEN(ReferenceData!$A$119),"",ReferenceData!$A$119),"")</f>
        <v xml:space="preserve">                    Cie Generale des Etablissement</v>
      </c>
      <c r="B119" t="str">
        <f>IFERROR(IF(0=LEN(ReferenceData!$B$119),"",ReferenceData!$B$119),"")</f>
        <v>ML FP Equity</v>
      </c>
      <c r="C119" t="str">
        <f>IFERROR(IF(0=LEN(ReferenceData!$C$119),"",ReferenceData!$C$119),"")</f>
        <v>F0946</v>
      </c>
      <c r="D119" t="str">
        <f>IFERROR(IF(0=LEN(ReferenceData!$D$119),"",ReferenceData!$D$119),"")</f>
        <v>TOTAL_GHG_CO2_EMISSIONS</v>
      </c>
      <c r="E119" t="str">
        <f>IFERROR(IF(0=LEN(ReferenceData!$E$119),"",ReferenceData!$E$119),"")</f>
        <v>Dynamic</v>
      </c>
      <c r="F119" t="str">
        <f ca="1">IFERROR(IF(0=LEN(ReferenceData!$F$119),"",ReferenceData!$F$119),"")</f>
        <v/>
      </c>
      <c r="G119">
        <f ca="1">IFERROR(IF(0=LEN(ReferenceData!$G$119),"",ReferenceData!$G$119),"")</f>
        <v>2.7629999999999999</v>
      </c>
      <c r="H119">
        <f ca="1">IFERROR(IF(0=LEN(ReferenceData!$H$119),"",ReferenceData!$H$119),"")</f>
        <v>2.7935300289999998</v>
      </c>
      <c r="I119">
        <f ca="1">IFERROR(IF(0=LEN(ReferenceData!$I$119),"",ReferenceData!$I$119),"")</f>
        <v>3.250580078</v>
      </c>
      <c r="J119">
        <f ca="1">IFERROR(IF(0=LEN(ReferenceData!$J$119),"",ReferenceData!$J$119),"")</f>
        <v>3.390860107</v>
      </c>
    </row>
    <row r="120" spans="1:10" x14ac:dyDescent="0.25">
      <c r="A120" t="str">
        <f>IFERROR(IF(0=LEN(ReferenceData!$A$120),"",ReferenceData!$A$120),"")</f>
        <v xml:space="preserve">                    MRF Ltd</v>
      </c>
      <c r="B120" t="str">
        <f>IFERROR(IF(0=LEN(ReferenceData!$B$120),"",ReferenceData!$B$120),"")</f>
        <v>MRF IN Equity</v>
      </c>
      <c r="C120" t="str">
        <f>IFERROR(IF(0=LEN(ReferenceData!$C$120),"",ReferenceData!$C$120),"")</f>
        <v>F0946</v>
      </c>
      <c r="D120" t="str">
        <f>IFERROR(IF(0=LEN(ReferenceData!$D$120),"",ReferenceData!$D$120),"")</f>
        <v>TOTAL_GHG_CO2_EMISSIONS</v>
      </c>
      <c r="E120" t="str">
        <f>IFERROR(IF(0=LEN(ReferenceData!$E$120),"",ReferenceData!$E$120),"")</f>
        <v>Dynamic</v>
      </c>
      <c r="F120" t="str">
        <f ca="1">IFERROR(IF(0=LEN(ReferenceData!$F$120),"",ReferenceData!$F$120),"")</f>
        <v/>
      </c>
      <c r="G120" t="str">
        <f ca="1">IFERROR(IF(0=LEN(ReferenceData!$G$120),"",ReferenceData!$G$120),"")</f>
        <v/>
      </c>
      <c r="H120" t="str">
        <f ca="1">IFERROR(IF(0=LEN(ReferenceData!$H$120),"",ReferenceData!$H$120),"")</f>
        <v/>
      </c>
      <c r="I120" t="str">
        <f ca="1">IFERROR(IF(0=LEN(ReferenceData!$I$120),"",ReferenceData!$I$120),"")</f>
        <v/>
      </c>
      <c r="J120" t="str">
        <f ca="1">IFERROR(IF(0=LEN(ReferenceData!$J$120),"",ReferenceData!$J$120),"")</f>
        <v/>
      </c>
    </row>
    <row r="121" spans="1:10" x14ac:dyDescent="0.25">
      <c r="A121" t="str">
        <f>IFERROR(IF(0=LEN(ReferenceData!$A$121),"",ReferenceData!$A$121),"")</f>
        <v xml:space="preserve">                    Nexen Tire Corp</v>
      </c>
      <c r="B121" t="str">
        <f>IFERROR(IF(0=LEN(ReferenceData!$B$121),"",ReferenceData!$B$121),"")</f>
        <v>002350 KS Equity</v>
      </c>
      <c r="C121" t="str">
        <f>IFERROR(IF(0=LEN(ReferenceData!$C$121),"",ReferenceData!$C$121),"")</f>
        <v>F0946</v>
      </c>
      <c r="D121" t="str">
        <f>IFERROR(IF(0=LEN(ReferenceData!$D$121),"",ReferenceData!$D$121),"")</f>
        <v>TOTAL_GHG_CO2_EMISSIONS</v>
      </c>
      <c r="E121" t="str">
        <f>IFERROR(IF(0=LEN(ReferenceData!$E$121),"",ReferenceData!$E$121),"")</f>
        <v>Dynamic</v>
      </c>
      <c r="F121" t="str">
        <f ca="1">IFERROR(IF(0=LEN(ReferenceData!$F$121),"",ReferenceData!$F$121),"")</f>
        <v/>
      </c>
      <c r="G121">
        <f ca="1">IFERROR(IF(0=LEN(ReferenceData!$G$121),"",ReferenceData!$G$121),"")</f>
        <v>0.36829599000000002</v>
      </c>
      <c r="H121">
        <f ca="1">IFERROR(IF(0=LEN(ReferenceData!$H$121),"",ReferenceData!$H$121),"")</f>
        <v>0.30922198499999998</v>
      </c>
      <c r="I121">
        <f ca="1">IFERROR(IF(0=LEN(ReferenceData!$I$121),"",ReferenceData!$I$121),"")</f>
        <v>0.34778601100000001</v>
      </c>
      <c r="J121">
        <f ca="1">IFERROR(IF(0=LEN(ReferenceData!$J$121),"",ReferenceData!$J$121),"")</f>
        <v>0.210869995</v>
      </c>
    </row>
    <row r="122" spans="1:10" x14ac:dyDescent="0.25">
      <c r="A122" t="str">
        <f>IFERROR(IF(0=LEN(ReferenceData!$A$122),"",ReferenceData!$A$122),"")</f>
        <v xml:space="preserve">                    Nokian Renkaat Oyj</v>
      </c>
      <c r="B122" t="str">
        <f>IFERROR(IF(0=LEN(ReferenceData!$B$122),"",ReferenceData!$B$122),"")</f>
        <v>TYRES FH Equity</v>
      </c>
      <c r="C122" t="str">
        <f>IFERROR(IF(0=LEN(ReferenceData!$C$122),"",ReferenceData!$C$122),"")</f>
        <v>F0946</v>
      </c>
      <c r="D122" t="str">
        <f>IFERROR(IF(0=LEN(ReferenceData!$D$122),"",ReferenceData!$D$122),"")</f>
        <v>TOTAL_GHG_CO2_EMISSIONS</v>
      </c>
      <c r="E122" t="str">
        <f>IFERROR(IF(0=LEN(ReferenceData!$E$122),"",ReferenceData!$E$122),"")</f>
        <v>Dynamic</v>
      </c>
      <c r="F122">
        <f ca="1">IFERROR(IF(0=LEN(ReferenceData!$F$122),"",ReferenceData!$F$122),"")</f>
        <v>0.106</v>
      </c>
      <c r="G122">
        <f ca="1">IFERROR(IF(0=LEN(ReferenceData!$G$122),"",ReferenceData!$G$122),"")</f>
        <v>0.13958000200000001</v>
      </c>
      <c r="H122">
        <f ca="1">IFERROR(IF(0=LEN(ReferenceData!$H$122),"",ReferenceData!$H$122),"")</f>
        <v>0.123209999</v>
      </c>
      <c r="I122">
        <f ca="1">IFERROR(IF(0=LEN(ReferenceData!$I$122),"",ReferenceData!$I$122),"")</f>
        <v>0.122544998</v>
      </c>
      <c r="J122">
        <f ca="1">IFERROR(IF(0=LEN(ReferenceData!$J$122),"",ReferenceData!$J$122),"")</f>
        <v>0.122276001</v>
      </c>
    </row>
    <row r="123" spans="1:10" x14ac:dyDescent="0.25">
      <c r="A123" t="str">
        <f>IFERROR(IF(0=LEN(ReferenceData!$A$123),"",ReferenceData!$A$123),"")</f>
        <v xml:space="preserve">                    NHK Spring Co Ltd</v>
      </c>
      <c r="B123" t="str">
        <f>IFERROR(IF(0=LEN(ReferenceData!$B$123),"",ReferenceData!$B$123),"")</f>
        <v>5991 JP Equity</v>
      </c>
      <c r="C123" t="str">
        <f>IFERROR(IF(0=LEN(ReferenceData!$C$123),"",ReferenceData!$C$123),"")</f>
        <v>F0946</v>
      </c>
      <c r="D123" t="str">
        <f>IFERROR(IF(0=LEN(ReferenceData!$D$123),"",ReferenceData!$D$123),"")</f>
        <v>TOTAL_GHG_CO2_EMISSIONS</v>
      </c>
      <c r="E123" t="str">
        <f>IFERROR(IF(0=LEN(ReferenceData!$E$123),"",ReferenceData!$E$123),"")</f>
        <v>Dynamic</v>
      </c>
      <c r="F123" t="str">
        <f ca="1">IFERROR(IF(0=LEN(ReferenceData!$F$123),"",ReferenceData!$F$123),"")</f>
        <v/>
      </c>
      <c r="G123">
        <f ca="1">IFERROR(IF(0=LEN(ReferenceData!$G$123),"",ReferenceData!$G$123),"")</f>
        <v>9.7500000000000003E-2</v>
      </c>
      <c r="H123">
        <f ca="1">IFERROR(IF(0=LEN(ReferenceData!$H$123),"",ReferenceData!$H$123),"")</f>
        <v>9.2781998000000004E-2</v>
      </c>
      <c r="I123">
        <f ca="1">IFERROR(IF(0=LEN(ReferenceData!$I$123),"",ReferenceData!$I$123),"")</f>
        <v>9.5983001999999998E-2</v>
      </c>
      <c r="J123">
        <f ca="1">IFERROR(IF(0=LEN(ReferenceData!$J$123),"",ReferenceData!$J$123),"")</f>
        <v>9.0563004000000003E-2</v>
      </c>
    </row>
    <row r="124" spans="1:10" x14ac:dyDescent="0.25">
      <c r="A124" t="str">
        <f>IFERROR(IF(0=LEN(ReferenceData!$A$124),"",ReferenceData!$A$124),"")</f>
        <v xml:space="preserve">                    NSK Ltd</v>
      </c>
      <c r="B124" t="str">
        <f>IFERROR(IF(0=LEN(ReferenceData!$B$124),"",ReferenceData!$B$124),"")</f>
        <v>6471 JP Equity</v>
      </c>
      <c r="C124" t="str">
        <f>IFERROR(IF(0=LEN(ReferenceData!$C$124),"",ReferenceData!$C$124),"")</f>
        <v>F0946</v>
      </c>
      <c r="D124" t="str">
        <f>IFERROR(IF(0=LEN(ReferenceData!$D$124),"",ReferenceData!$D$124),"")</f>
        <v>TOTAL_GHG_CO2_EMISSIONS</v>
      </c>
      <c r="E124" t="str">
        <f>IFERROR(IF(0=LEN(ReferenceData!$E$124),"",ReferenceData!$E$124),"")</f>
        <v>Dynamic</v>
      </c>
      <c r="F124" t="str">
        <f ca="1">IFERROR(IF(0=LEN(ReferenceData!$F$124),"",ReferenceData!$F$124),"")</f>
        <v/>
      </c>
      <c r="G124">
        <f ca="1">IFERROR(IF(0=LEN(ReferenceData!$G$124),"",ReferenceData!$G$124),"")</f>
        <v>0.89212200900000005</v>
      </c>
      <c r="H124">
        <f ca="1">IFERROR(IF(0=LEN(ReferenceData!$H$124),"",ReferenceData!$H$124),"")</f>
        <v>0.82361798100000005</v>
      </c>
      <c r="I124">
        <f ca="1">IFERROR(IF(0=LEN(ReferenceData!$I$124),"",ReferenceData!$I$124),"")</f>
        <v>0.84</v>
      </c>
      <c r="J124">
        <f ca="1">IFERROR(IF(0=LEN(ReferenceData!$J$124),"",ReferenceData!$J$124),"")</f>
        <v>0.97799999999999998</v>
      </c>
    </row>
    <row r="125" spans="1:10" x14ac:dyDescent="0.25">
      <c r="A125" t="str">
        <f>IFERROR(IF(0=LEN(ReferenceData!$A$125),"",ReferenceData!$A$125),"")</f>
        <v xml:space="preserve">                    NTN Corp</v>
      </c>
      <c r="B125" t="str">
        <f>IFERROR(IF(0=LEN(ReferenceData!$B$125),"",ReferenceData!$B$125),"")</f>
        <v>6472 JP Equity</v>
      </c>
      <c r="C125" t="str">
        <f>IFERROR(IF(0=LEN(ReferenceData!$C$125),"",ReferenceData!$C$125),"")</f>
        <v>F0946</v>
      </c>
      <c r="D125" t="str">
        <f>IFERROR(IF(0=LEN(ReferenceData!$D$125),"",ReferenceData!$D$125),"")</f>
        <v>TOTAL_GHG_CO2_EMISSIONS</v>
      </c>
      <c r="E125" t="str">
        <f>IFERROR(IF(0=LEN(ReferenceData!$E$125),"",ReferenceData!$E$125),"")</f>
        <v>Dynamic</v>
      </c>
      <c r="F125" t="str">
        <f ca="1">IFERROR(IF(0=LEN(ReferenceData!$F$125),"",ReferenceData!$F$125),"")</f>
        <v/>
      </c>
      <c r="G125">
        <f ca="1">IFERROR(IF(0=LEN(ReferenceData!$G$125),"",ReferenceData!$G$125),"")</f>
        <v>0.57699999999999996</v>
      </c>
      <c r="H125">
        <f ca="1">IFERROR(IF(0=LEN(ReferenceData!$H$125),"",ReferenceData!$H$125),"")</f>
        <v>0.55600000000000005</v>
      </c>
      <c r="I125">
        <f ca="1">IFERROR(IF(0=LEN(ReferenceData!$I$125),"",ReferenceData!$I$125),"")</f>
        <v>0.60599999999999998</v>
      </c>
      <c r="J125">
        <f ca="1">IFERROR(IF(0=LEN(ReferenceData!$J$125),"",ReferenceData!$J$125),"")</f>
        <v>0.67300000000000004</v>
      </c>
    </row>
    <row r="126" spans="1:10" x14ac:dyDescent="0.25">
      <c r="A126" t="str">
        <f>IFERROR(IF(0=LEN(ReferenceData!$A$126),"",ReferenceData!$A$126),"")</f>
        <v xml:space="preserve">                    Omron Corp</v>
      </c>
      <c r="B126" t="str">
        <f>IFERROR(IF(0=LEN(ReferenceData!$B$126),"",ReferenceData!$B$126),"")</f>
        <v>6645 JP Equity</v>
      </c>
      <c r="C126" t="str">
        <f>IFERROR(IF(0=LEN(ReferenceData!$C$126),"",ReferenceData!$C$126),"")</f>
        <v>F0946</v>
      </c>
      <c r="D126" t="str">
        <f>IFERROR(IF(0=LEN(ReferenceData!$D$126),"",ReferenceData!$D$126),"")</f>
        <v>TOTAL_GHG_CO2_EMISSIONS</v>
      </c>
      <c r="E126" t="str">
        <f>IFERROR(IF(0=LEN(ReferenceData!$E$126),"",ReferenceData!$E$126),"")</f>
        <v>Dynamic</v>
      </c>
      <c r="F126" t="str">
        <f ca="1">IFERROR(IF(0=LEN(ReferenceData!$F$126),"",ReferenceData!$F$126),"")</f>
        <v/>
      </c>
      <c r="G126">
        <f ca="1">IFERROR(IF(0=LEN(ReferenceData!$G$126),"",ReferenceData!$G$126),"")</f>
        <v>0.122042999</v>
      </c>
      <c r="H126">
        <f ca="1">IFERROR(IF(0=LEN(ReferenceData!$H$126),"",ReferenceData!$H$126),"")</f>
        <v>0.12339399700000001</v>
      </c>
      <c r="I126">
        <f ca="1">IFERROR(IF(0=LEN(ReferenceData!$I$126),"",ReferenceData!$I$126),"")</f>
        <v>0.16608999599999999</v>
      </c>
      <c r="J126">
        <f ca="1">IFERROR(IF(0=LEN(ReferenceData!$J$126),"",ReferenceData!$J$126),"")</f>
        <v>0.23455700700000001</v>
      </c>
    </row>
    <row r="127" spans="1:10" x14ac:dyDescent="0.25">
      <c r="A127" t="str">
        <f>IFERROR(IF(0=LEN(ReferenceData!$A$127),"",ReferenceData!$A$127),"")</f>
        <v xml:space="preserve">                    Rieter Automotive Systems - Se</v>
      </c>
      <c r="B127" t="str">
        <f>IFERROR(IF(0=LEN(ReferenceData!$B$127),"",ReferenceData!$B$127),"")</f>
        <v>219215Z GR Equity</v>
      </c>
      <c r="C127" t="str">
        <f>IFERROR(IF(0=LEN(ReferenceData!$C$127),"",ReferenceData!$C$127),"")</f>
        <v>F0946</v>
      </c>
      <c r="D127" t="str">
        <f>IFERROR(IF(0=LEN(ReferenceData!$D$127),"",ReferenceData!$D$127),"")</f>
        <v>TOTAL_GHG_CO2_EMISSIONS</v>
      </c>
      <c r="E127" t="str">
        <f>IFERROR(IF(0=LEN(ReferenceData!$E$127),"",ReferenceData!$E$127),"")</f>
        <v>Dynamic</v>
      </c>
      <c r="F127" t="str">
        <f ca="1">IFERROR(IF(0=LEN(ReferenceData!$F$127),"",ReferenceData!$F$127),"")</f>
        <v/>
      </c>
      <c r="G127" t="str">
        <f ca="1">IFERROR(IF(0=LEN(ReferenceData!$G$127),"",ReferenceData!$G$127),"")</f>
        <v/>
      </c>
      <c r="H127" t="str">
        <f ca="1">IFERROR(IF(0=LEN(ReferenceData!$H$127),"",ReferenceData!$H$127),"")</f>
        <v/>
      </c>
      <c r="I127" t="str">
        <f ca="1">IFERROR(IF(0=LEN(ReferenceData!$I$127),"",ReferenceData!$I$127),"")</f>
        <v/>
      </c>
      <c r="J127" t="str">
        <f ca="1">IFERROR(IF(0=LEN(ReferenceData!$J$127),"",ReferenceData!$J$127),"")</f>
        <v/>
      </c>
    </row>
    <row r="128" spans="1:10" x14ac:dyDescent="0.25">
      <c r="A128" t="str">
        <f>IFERROR(IF(0=LEN(ReferenceData!$A$128),"",ReferenceData!$A$128),"")</f>
        <v xml:space="preserve">                    Robert Bosch GmbH</v>
      </c>
      <c r="B128" t="str">
        <f>IFERROR(IF(0=LEN(ReferenceData!$B$128),"",ReferenceData!$B$128),"")</f>
        <v>RBOS GR Equity</v>
      </c>
      <c r="C128" t="str">
        <f>IFERROR(IF(0=LEN(ReferenceData!$C$128),"",ReferenceData!$C$128),"")</f>
        <v>F0946</v>
      </c>
      <c r="D128" t="str">
        <f>IFERROR(IF(0=LEN(ReferenceData!$D$128),"",ReferenceData!$D$128),"")</f>
        <v>TOTAL_GHG_CO2_EMISSIONS</v>
      </c>
      <c r="E128" t="str">
        <f>IFERROR(IF(0=LEN(ReferenceData!$E$128),"",ReferenceData!$E$128),"")</f>
        <v>Dynamic</v>
      </c>
      <c r="F128" t="str">
        <f ca="1">IFERROR(IF(0=LEN(ReferenceData!$F$128),"",ReferenceData!$F$128),"")</f>
        <v/>
      </c>
      <c r="G128">
        <f ca="1">IFERROR(IF(0=LEN(ReferenceData!$G$128),"",ReferenceData!$G$128),"")</f>
        <v>2.7970100100000002</v>
      </c>
      <c r="H128">
        <f ca="1">IFERROR(IF(0=LEN(ReferenceData!$H$128),"",ReferenceData!$H$128),"")</f>
        <v>0.93799999999999994</v>
      </c>
      <c r="I128">
        <f ca="1">IFERROR(IF(0=LEN(ReferenceData!$I$128),"",ReferenceData!$I$128),"")</f>
        <v>1.9430000000000001</v>
      </c>
      <c r="J128">
        <f ca="1">IFERROR(IF(0=LEN(ReferenceData!$J$128),"",ReferenceData!$J$128),"")</f>
        <v>3.258</v>
      </c>
    </row>
    <row r="129" spans="1:10" x14ac:dyDescent="0.25">
      <c r="A129" t="str">
        <f>IFERROR(IF(0=LEN(ReferenceData!$A$129),"",ReferenceData!$A$129),"")</f>
        <v xml:space="preserve">                    Sanden Corp</v>
      </c>
      <c r="B129" t="str">
        <f>IFERROR(IF(0=LEN(ReferenceData!$B$129),"",ReferenceData!$B$129),"")</f>
        <v>6444 JP Equity</v>
      </c>
      <c r="C129" t="str">
        <f>IFERROR(IF(0=LEN(ReferenceData!$C$129),"",ReferenceData!$C$129),"")</f>
        <v>F0946</v>
      </c>
      <c r="D129" t="str">
        <f>IFERROR(IF(0=LEN(ReferenceData!$D$129),"",ReferenceData!$D$129),"")</f>
        <v>TOTAL_GHG_CO2_EMISSIONS</v>
      </c>
      <c r="E129" t="str">
        <f>IFERROR(IF(0=LEN(ReferenceData!$E$129),"",ReferenceData!$E$129),"")</f>
        <v>Dynamic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>
        <f ca="1">IFERROR(IF(0=LEN(ReferenceData!$H$129),"",ReferenceData!$H$129),"")</f>
        <v>9.4760001999999996E-2</v>
      </c>
      <c r="I129">
        <f ca="1">IFERROR(IF(0=LEN(ReferenceData!$I$129),"",ReferenceData!$I$129),"")</f>
        <v>0.115746002</v>
      </c>
      <c r="J129">
        <f ca="1">IFERROR(IF(0=LEN(ReferenceData!$J$129),"",ReferenceData!$J$129),"")</f>
        <v>0.12952699300000001</v>
      </c>
    </row>
    <row r="130" spans="1:10" x14ac:dyDescent="0.25">
      <c r="A130" t="str">
        <f>IFERROR(IF(0=LEN(ReferenceData!$A$130),"",ReferenceData!$A$130),"")</f>
        <v xml:space="preserve">                    Shanghai Huayi Group Co Ltd</v>
      </c>
      <c r="B130" t="str">
        <f>IFERROR(IF(0=LEN(ReferenceData!$B$130),"",ReferenceData!$B$130),"")</f>
        <v>900909 CH Equity</v>
      </c>
      <c r="C130" t="str">
        <f>IFERROR(IF(0=LEN(ReferenceData!$C$130),"",ReferenceData!$C$130),"")</f>
        <v>F0946</v>
      </c>
      <c r="D130" t="str">
        <f>IFERROR(IF(0=LEN(ReferenceData!$D$130),"",ReferenceData!$D$130),"")</f>
        <v>TOTAL_GHG_CO2_EMISSIONS</v>
      </c>
      <c r="E130" t="str">
        <f>IFERROR(IF(0=LEN(ReferenceData!$E$130),"",ReferenceData!$E$130),"")</f>
        <v>Dynamic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 t="str">
        <f ca="1">IFERROR(IF(0=LEN(ReferenceData!$H$130),"",ReferenceData!$H$130),"")</f>
        <v/>
      </c>
      <c r="I130" t="str">
        <f ca="1">IFERROR(IF(0=LEN(ReferenceData!$I$130),"",ReferenceData!$I$130),"")</f>
        <v/>
      </c>
      <c r="J130" t="str">
        <f ca="1">IFERROR(IF(0=LEN(ReferenceData!$J$130),"",ReferenceData!$J$130),"")</f>
        <v/>
      </c>
    </row>
    <row r="131" spans="1:10" x14ac:dyDescent="0.25">
      <c r="A131" t="str">
        <f>IFERROR(IF(0=LEN(ReferenceData!$A$131),"",ReferenceData!$A$131),"")</f>
        <v xml:space="preserve">                    Shenma Industry Co Ltd</v>
      </c>
      <c r="B131" t="str">
        <f>IFERROR(IF(0=LEN(ReferenceData!$B$131),"",ReferenceData!$B$131),"")</f>
        <v>600810 CH Equity</v>
      </c>
      <c r="C131" t="str">
        <f>IFERROR(IF(0=LEN(ReferenceData!$C$131),"",ReferenceData!$C$131),"")</f>
        <v>F0946</v>
      </c>
      <c r="D131" t="str">
        <f>IFERROR(IF(0=LEN(ReferenceData!$D$131),"",ReferenceData!$D$131),"")</f>
        <v>TOTAL_GHG_CO2_EMISSIONS</v>
      </c>
      <c r="E131" t="str">
        <f>IFERROR(IF(0=LEN(ReferenceData!$E$131),"",ReferenceData!$E$131),"")</f>
        <v>Dynamic</v>
      </c>
      <c r="F131" t="str">
        <f ca="1">IFERROR(IF(0=LEN(ReferenceData!$F$131),"",ReferenceData!$F$131),"")</f>
        <v/>
      </c>
      <c r="G131">
        <f ca="1">IFERROR(IF(0=LEN(ReferenceData!$G$131),"",ReferenceData!$G$131),"")</f>
        <v>1.9370000000000001</v>
      </c>
      <c r="H131">
        <f ca="1">IFERROR(IF(0=LEN(ReferenceData!$H$131),"",ReferenceData!$H$131),"")</f>
        <v>1.9115</v>
      </c>
      <c r="I131" t="str">
        <f ca="1">IFERROR(IF(0=LEN(ReferenceData!$I$131),"",ReferenceData!$I$131),"")</f>
        <v/>
      </c>
      <c r="J131">
        <f ca="1">IFERROR(IF(0=LEN(ReferenceData!$J$131),"",ReferenceData!$J$131),"")</f>
        <v>0.42694299299999999</v>
      </c>
    </row>
    <row r="132" spans="1:10" x14ac:dyDescent="0.25">
      <c r="A132" t="str">
        <f>IFERROR(IF(0=LEN(ReferenceData!$A$132),"",ReferenceData!$A$132),"")</f>
        <v xml:space="preserve">                    Samvardhana Motherson Internat</v>
      </c>
      <c r="B132" t="str">
        <f>IFERROR(IF(0=LEN(ReferenceData!$B$132),"",ReferenceData!$B$132),"")</f>
        <v>MOTHERSO IN Equity</v>
      </c>
      <c r="C132" t="str">
        <f>IFERROR(IF(0=LEN(ReferenceData!$C$132),"",ReferenceData!$C$132),"")</f>
        <v>F0946</v>
      </c>
      <c r="D132" t="str">
        <f>IFERROR(IF(0=LEN(ReferenceData!$D$132),"",ReferenceData!$D$132),"")</f>
        <v>TOTAL_GHG_CO2_EMISSIONS</v>
      </c>
      <c r="E132" t="str">
        <f>IFERROR(IF(0=LEN(ReferenceData!$E$132),"",ReferenceData!$E$132),"")</f>
        <v>Dynamic</v>
      </c>
      <c r="F132" t="str">
        <f ca="1">IFERROR(IF(0=LEN(ReferenceData!$F$132),"",ReferenceData!$F$132),"")</f>
        <v/>
      </c>
      <c r="G132">
        <f ca="1">IFERROR(IF(0=LEN(ReferenceData!$G$132),"",ReferenceData!$G$132),"")</f>
        <v>0.365433014</v>
      </c>
      <c r="H132">
        <f ca="1">IFERROR(IF(0=LEN(ReferenceData!$H$132),"",ReferenceData!$H$132),"")</f>
        <v>0.332544006</v>
      </c>
      <c r="I132" t="str">
        <f ca="1">IFERROR(IF(0=LEN(ReferenceData!$I$132),"",ReferenceData!$I$132),"")</f>
        <v/>
      </c>
      <c r="J132" t="str">
        <f ca="1">IFERROR(IF(0=LEN(ReferenceData!$J$132),"",ReferenceData!$J$132),"")</f>
        <v/>
      </c>
    </row>
    <row r="133" spans="1:10" x14ac:dyDescent="0.25">
      <c r="A133" t="str">
        <f>IFERROR(IF(0=LEN(ReferenceData!$A$133),"",ReferenceData!$A$133),"")</f>
        <v xml:space="preserve">                    SKF AB</v>
      </c>
      <c r="B133" t="str">
        <f>IFERROR(IF(0=LEN(ReferenceData!$B$133),"",ReferenceData!$B$133),"")</f>
        <v>SKFB SS Equity</v>
      </c>
      <c r="C133" t="str">
        <f>IFERROR(IF(0=LEN(ReferenceData!$C$133),"",ReferenceData!$C$133),"")</f>
        <v>F0946</v>
      </c>
      <c r="D133" t="str">
        <f>IFERROR(IF(0=LEN(ReferenceData!$D$133),"",ReferenceData!$D$133),"")</f>
        <v>TOTAL_GHG_CO2_EMISSIONS</v>
      </c>
      <c r="E133" t="str">
        <f>IFERROR(IF(0=LEN(ReferenceData!$E$133),"",ReferenceData!$E$133),"")</f>
        <v>Dynamic</v>
      </c>
      <c r="F133">
        <f ca="1">IFERROR(IF(0=LEN(ReferenceData!$F$133),"",ReferenceData!$F$133),"")</f>
        <v>0.52747497600000004</v>
      </c>
      <c r="G133">
        <f ca="1">IFERROR(IF(0=LEN(ReferenceData!$G$133),"",ReferenceData!$G$133),"")</f>
        <v>0.58232702599999997</v>
      </c>
      <c r="H133">
        <f ca="1">IFERROR(IF(0=LEN(ReferenceData!$H$133),"",ReferenceData!$H$133),"")</f>
        <v>0.51653302000000001</v>
      </c>
      <c r="I133">
        <f ca="1">IFERROR(IF(0=LEN(ReferenceData!$I$133),"",ReferenceData!$I$133),"")</f>
        <v>0.55967297400000005</v>
      </c>
      <c r="J133">
        <f ca="1">IFERROR(IF(0=LEN(ReferenceData!$J$133),"",ReferenceData!$J$133),"")</f>
        <v>0.64224298099999999</v>
      </c>
    </row>
    <row r="134" spans="1:10" x14ac:dyDescent="0.25">
      <c r="A134" t="str">
        <f>IFERROR(IF(0=LEN(ReferenceData!$A$134),"",ReferenceData!$A$134),"")</f>
        <v xml:space="preserve">                    Stanley Electric Co Ltd</v>
      </c>
      <c r="B134" t="str">
        <f>IFERROR(IF(0=LEN(ReferenceData!$B$134),"",ReferenceData!$B$134),"")</f>
        <v>6923 JP Equity</v>
      </c>
      <c r="C134" t="str">
        <f>IFERROR(IF(0=LEN(ReferenceData!$C$134),"",ReferenceData!$C$134),"")</f>
        <v>F0946</v>
      </c>
      <c r="D134" t="str">
        <f>IFERROR(IF(0=LEN(ReferenceData!$D$134),"",ReferenceData!$D$134),"")</f>
        <v>TOTAL_GHG_CO2_EMISSIONS</v>
      </c>
      <c r="E134" t="str">
        <f>IFERROR(IF(0=LEN(ReferenceData!$E$134),"",ReferenceData!$E$134),"")</f>
        <v>Dynamic</v>
      </c>
      <c r="F134" t="str">
        <f ca="1">IFERROR(IF(0=LEN(ReferenceData!$F$134),"",ReferenceData!$F$134),"")</f>
        <v/>
      </c>
      <c r="G134">
        <f ca="1">IFERROR(IF(0=LEN(ReferenceData!$G$134),"",ReferenceData!$G$134),"")</f>
        <v>5.3438999000000001E-2</v>
      </c>
      <c r="H134">
        <f ca="1">IFERROR(IF(0=LEN(ReferenceData!$H$134),"",ReferenceData!$H$134),"")</f>
        <v>0.40958599800000001</v>
      </c>
      <c r="I134">
        <f ca="1">IFERROR(IF(0=LEN(ReferenceData!$I$134),"",ReferenceData!$I$134),"")</f>
        <v>0.45003299000000002</v>
      </c>
      <c r="J134">
        <f ca="1">IFERROR(IF(0=LEN(ReferenceData!$J$134),"",ReferenceData!$J$134),"")</f>
        <v>0.47041900599999997</v>
      </c>
    </row>
    <row r="135" spans="1:10" x14ac:dyDescent="0.25">
      <c r="A135" t="str">
        <f>IFERROR(IF(0=LEN(ReferenceData!$A$135),"",ReferenceData!$A$135),"")</f>
        <v xml:space="preserve">                    Sumitomo Electric Industries L</v>
      </c>
      <c r="B135" t="str">
        <f>IFERROR(IF(0=LEN(ReferenceData!$B$135),"",ReferenceData!$B$135),"")</f>
        <v>5802 JP Equity</v>
      </c>
      <c r="C135" t="str">
        <f>IFERROR(IF(0=LEN(ReferenceData!$C$135),"",ReferenceData!$C$135),"")</f>
        <v>F0946</v>
      </c>
      <c r="D135" t="str">
        <f>IFERROR(IF(0=LEN(ReferenceData!$D$135),"",ReferenceData!$D$135),"")</f>
        <v>TOTAL_GHG_CO2_EMISSIONS</v>
      </c>
      <c r="E135" t="str">
        <f>IFERROR(IF(0=LEN(ReferenceData!$E$135),"",ReferenceData!$E$135),"")</f>
        <v>Dynamic</v>
      </c>
      <c r="F135" t="str">
        <f ca="1">IFERROR(IF(0=LEN(ReferenceData!$F$135),"",ReferenceData!$F$135),"")</f>
        <v/>
      </c>
      <c r="G135">
        <f ca="1">IFERROR(IF(0=LEN(ReferenceData!$G$135),"",ReferenceData!$G$135),"")</f>
        <v>1.4119999999999999</v>
      </c>
      <c r="H135">
        <f ca="1">IFERROR(IF(0=LEN(ReferenceData!$H$135),"",ReferenceData!$H$135),"")</f>
        <v>1.298</v>
      </c>
      <c r="I135">
        <f ca="1">IFERROR(IF(0=LEN(ReferenceData!$I$135),"",ReferenceData!$I$135),"")</f>
        <v>1.373</v>
      </c>
      <c r="J135">
        <f ca="1">IFERROR(IF(0=LEN(ReferenceData!$J$135),"",ReferenceData!$J$135),"")</f>
        <v>1.5409999999999999</v>
      </c>
    </row>
    <row r="136" spans="1:10" x14ac:dyDescent="0.25">
      <c r="A136" t="str">
        <f>IFERROR(IF(0=LEN(ReferenceData!$A$136),"",ReferenceData!$A$136),"")</f>
        <v xml:space="preserve">                    Sumitomo Rubber Industries Ltd</v>
      </c>
      <c r="B136" t="str">
        <f>IFERROR(IF(0=LEN(ReferenceData!$B$136),"",ReferenceData!$B$136),"")</f>
        <v>5110 JP Equity</v>
      </c>
      <c r="C136" t="str">
        <f>IFERROR(IF(0=LEN(ReferenceData!$C$136),"",ReferenceData!$C$136),"")</f>
        <v>F0946</v>
      </c>
      <c r="D136" t="str">
        <f>IFERROR(IF(0=LEN(ReferenceData!$D$136),"",ReferenceData!$D$136),"")</f>
        <v>TOTAL_GHG_CO2_EMISSIONS</v>
      </c>
      <c r="E136" t="str">
        <f>IFERROR(IF(0=LEN(ReferenceData!$E$136),"",ReferenceData!$E$136),"")</f>
        <v>Dynamic</v>
      </c>
      <c r="F136" t="str">
        <f ca="1">IFERROR(IF(0=LEN(ReferenceData!$F$136),"",ReferenceData!$F$136),"")</f>
        <v/>
      </c>
      <c r="G136">
        <f ca="1">IFERROR(IF(0=LEN(ReferenceData!$G$136),"",ReferenceData!$G$136),"")</f>
        <v>1.145</v>
      </c>
      <c r="H136">
        <f ca="1">IFERROR(IF(0=LEN(ReferenceData!$H$136),"",ReferenceData!$H$136),"")</f>
        <v>1.018</v>
      </c>
      <c r="I136">
        <f ca="1">IFERROR(IF(0=LEN(ReferenceData!$I$136),"",ReferenceData!$I$136),"")</f>
        <v>1.095</v>
      </c>
      <c r="J136">
        <f ca="1">IFERROR(IF(0=LEN(ReferenceData!$J$136),"",ReferenceData!$J$136),"")</f>
        <v>1.073</v>
      </c>
    </row>
    <row r="137" spans="1:10" x14ac:dyDescent="0.25">
      <c r="A137" t="str">
        <f>IFERROR(IF(0=LEN(ReferenceData!$A$137),"",ReferenceData!$A$137),"")</f>
        <v xml:space="preserve">                    Nemak SAB de CV</v>
      </c>
      <c r="B137" t="str">
        <f>IFERROR(IF(0=LEN(ReferenceData!$B$137),"",ReferenceData!$B$137),"")</f>
        <v>NEMAKA MM Equity</v>
      </c>
      <c r="C137" t="str">
        <f>IFERROR(IF(0=LEN(ReferenceData!$C$137),"",ReferenceData!$C$137),"")</f>
        <v>F0946</v>
      </c>
      <c r="D137" t="str">
        <f>IFERROR(IF(0=LEN(ReferenceData!$D$137),"",ReferenceData!$D$137),"")</f>
        <v>TOTAL_GHG_CO2_EMISSIONS</v>
      </c>
      <c r="E137" t="str">
        <f>IFERROR(IF(0=LEN(ReferenceData!$E$137),"",ReferenceData!$E$137),"")</f>
        <v>Dynamic</v>
      </c>
      <c r="F137">
        <f ca="1">IFERROR(IF(0=LEN(ReferenceData!$F$137),"",ReferenceData!$F$137),"")</f>
        <v>1.124219971</v>
      </c>
      <c r="G137">
        <f ca="1">IFERROR(IF(0=LEN(ReferenceData!$G$137),"",ReferenceData!$G$137),"")</f>
        <v>1.2169200440000001</v>
      </c>
      <c r="H137">
        <f ca="1">IFERROR(IF(0=LEN(ReferenceData!$H$137),"",ReferenceData!$H$137),"")</f>
        <v>1.1617199709999999</v>
      </c>
      <c r="I137">
        <f ca="1">IFERROR(IF(0=LEN(ReferenceData!$I$137),"",ReferenceData!$I$137),"")</f>
        <v>1.36</v>
      </c>
      <c r="J137">
        <f ca="1">IFERROR(IF(0=LEN(ReferenceData!$J$137),"",ReferenceData!$J$137),"")</f>
        <v>1.52</v>
      </c>
    </row>
    <row r="138" spans="1:10" x14ac:dyDescent="0.25">
      <c r="A138" t="str">
        <f>IFERROR(IF(0=LEN(ReferenceData!$A$138),"",ReferenceData!$A$138),"")</f>
        <v xml:space="preserve">                    Toyo Tire Corp</v>
      </c>
      <c r="B138" t="str">
        <f>IFERROR(IF(0=LEN(ReferenceData!$B$138),"",ReferenceData!$B$138),"")</f>
        <v>5105 JP Equity</v>
      </c>
      <c r="C138" t="str">
        <f>IFERROR(IF(0=LEN(ReferenceData!$C$138),"",ReferenceData!$C$138),"")</f>
        <v>F0946</v>
      </c>
      <c r="D138" t="str">
        <f>IFERROR(IF(0=LEN(ReferenceData!$D$138),"",ReferenceData!$D$138),"")</f>
        <v>TOTAL_GHG_CO2_EMISSIONS</v>
      </c>
      <c r="E138" t="str">
        <f>IFERROR(IF(0=LEN(ReferenceData!$E$138),"",ReferenceData!$E$138),"")</f>
        <v>Dynamic</v>
      </c>
      <c r="F138" t="str">
        <f ca="1">IFERROR(IF(0=LEN(ReferenceData!$F$138),"",ReferenceData!$F$138),"")</f>
        <v/>
      </c>
      <c r="G138">
        <f ca="1">IFERROR(IF(0=LEN(ReferenceData!$G$138),"",ReferenceData!$G$138),"")</f>
        <v>0.55259997599999999</v>
      </c>
      <c r="H138">
        <f ca="1">IFERROR(IF(0=LEN(ReferenceData!$H$138),"",ReferenceData!$H$138),"")</f>
        <v>0.53540002399999997</v>
      </c>
      <c r="I138">
        <f ca="1">IFERROR(IF(0=LEN(ReferenceData!$I$138),"",ReferenceData!$I$138),"")</f>
        <v>0.59090002399999997</v>
      </c>
      <c r="J138">
        <f ca="1">IFERROR(IF(0=LEN(ReferenceData!$J$138),"",ReferenceData!$J$138),"")</f>
        <v>0.62629998799999997</v>
      </c>
    </row>
    <row r="139" spans="1:10" x14ac:dyDescent="0.25">
      <c r="A139" t="str">
        <f>IFERROR(IF(0=LEN(ReferenceData!$A$139),"",ReferenceData!$A$139),"")</f>
        <v xml:space="preserve">                    TS Tech Co Ltd</v>
      </c>
      <c r="B139" t="str">
        <f>IFERROR(IF(0=LEN(ReferenceData!$B$139),"",ReferenceData!$B$139),"")</f>
        <v>7313 JP Equity</v>
      </c>
      <c r="C139" t="str">
        <f>IFERROR(IF(0=LEN(ReferenceData!$C$139),"",ReferenceData!$C$139),"")</f>
        <v>F0946</v>
      </c>
      <c r="D139" t="str">
        <f>IFERROR(IF(0=LEN(ReferenceData!$D$139),"",ReferenceData!$D$139),"")</f>
        <v>TOTAL_GHG_CO2_EMISSIONS</v>
      </c>
      <c r="E139" t="str">
        <f>IFERROR(IF(0=LEN(ReferenceData!$E$139),"",ReferenceData!$E$139),"")</f>
        <v>Dynamic</v>
      </c>
      <c r="F139" t="str">
        <f ca="1">IFERROR(IF(0=LEN(ReferenceData!$F$139),"",ReferenceData!$F$139),"")</f>
        <v/>
      </c>
      <c r="G139">
        <f ca="1">IFERROR(IF(0=LEN(ReferenceData!$G$139),"",ReferenceData!$G$139),"")</f>
        <v>6.4843001999999997E-2</v>
      </c>
      <c r="H139">
        <f ca="1">IFERROR(IF(0=LEN(ReferenceData!$H$139),"",ReferenceData!$H$139),"")</f>
        <v>6.6488997999999994E-2</v>
      </c>
      <c r="I139">
        <f ca="1">IFERROR(IF(0=LEN(ReferenceData!$I$139),"",ReferenceData!$I$139),"")</f>
        <v>8.5004097000000001E-2</v>
      </c>
      <c r="J139">
        <f ca="1">IFERROR(IF(0=LEN(ReferenceData!$J$139),"",ReferenceData!$J$139),"")</f>
        <v>9.3397003000000006E-2</v>
      </c>
    </row>
    <row r="140" spans="1:10" x14ac:dyDescent="0.25">
      <c r="A140" t="str">
        <f>IFERROR(IF(0=LEN(ReferenceData!$A$140),"",ReferenceData!$A$140),"")</f>
        <v xml:space="preserve">                    Goodyear Tire &amp; Rubber Co/The</v>
      </c>
      <c r="B140" t="str">
        <f>IFERROR(IF(0=LEN(ReferenceData!$B$140),"",ReferenceData!$B$140),"")</f>
        <v>GT US Equity</v>
      </c>
      <c r="C140" t="str">
        <f>IFERROR(IF(0=LEN(ReferenceData!$C$140),"",ReferenceData!$C$140),"")</f>
        <v>F0946</v>
      </c>
      <c r="D140" t="str">
        <f>IFERROR(IF(0=LEN(ReferenceData!$D$140),"",ReferenceData!$D$140),"")</f>
        <v>TOTAL_GHG_CO2_EMISSIONS</v>
      </c>
      <c r="E140" t="str">
        <f>IFERROR(IF(0=LEN(ReferenceData!$E$140),"",ReferenceData!$E$140),"")</f>
        <v>Dynamic</v>
      </c>
      <c r="F140" t="str">
        <f ca="1">IFERROR(IF(0=LEN(ReferenceData!$F$140),"",ReferenceData!$F$140),"")</f>
        <v/>
      </c>
      <c r="G140">
        <f ca="1">IFERROR(IF(0=LEN(ReferenceData!$G$140),"",ReferenceData!$G$140),"")</f>
        <v>2.73473999</v>
      </c>
      <c r="H140">
        <f ca="1">IFERROR(IF(0=LEN(ReferenceData!$H$140),"",ReferenceData!$H$140),"")</f>
        <v>2.2440000000000002</v>
      </c>
      <c r="I140">
        <f ca="1">IFERROR(IF(0=LEN(ReferenceData!$I$140),"",ReferenceData!$I$140),"")</f>
        <v>2.617</v>
      </c>
      <c r="J140">
        <f ca="1">IFERROR(IF(0=LEN(ReferenceData!$J$140),"",ReferenceData!$J$140),"")</f>
        <v>2.7423100589999998</v>
      </c>
    </row>
    <row r="141" spans="1:10" x14ac:dyDescent="0.25">
      <c r="A141" t="str">
        <f>IFERROR(IF(0=LEN(ReferenceData!$A$141),"",ReferenceData!$A$141),"")</f>
        <v xml:space="preserve">                    Tokai Rika Co Ltd</v>
      </c>
      <c r="B141" t="str">
        <f>IFERROR(IF(0=LEN(ReferenceData!$B$141),"",ReferenceData!$B$141),"")</f>
        <v>6995 JP Equity</v>
      </c>
      <c r="C141" t="str">
        <f>IFERROR(IF(0=LEN(ReferenceData!$C$141),"",ReferenceData!$C$141),"")</f>
        <v>F0946</v>
      </c>
      <c r="D141" t="str">
        <f>IFERROR(IF(0=LEN(ReferenceData!$D$141),"",ReferenceData!$D$141),"")</f>
        <v>TOTAL_GHG_CO2_EMISSIONS</v>
      </c>
      <c r="E141" t="str">
        <f>IFERROR(IF(0=LEN(ReferenceData!$E$141),"",ReferenceData!$E$141),"")</f>
        <v>Dynamic</v>
      </c>
      <c r="F141" t="str">
        <f ca="1">IFERROR(IF(0=LEN(ReferenceData!$F$141),"",ReferenceData!$F$141),"")</f>
        <v/>
      </c>
      <c r="G141">
        <f ca="1">IFERROR(IF(0=LEN(ReferenceData!$G$141),"",ReferenceData!$G$141),"")</f>
        <v>0.25222399899999998</v>
      </c>
      <c r="H141">
        <f ca="1">IFERROR(IF(0=LEN(ReferenceData!$H$141),"",ReferenceData!$H$141),"")</f>
        <v>0.21324200400000001</v>
      </c>
      <c r="I141">
        <f ca="1">IFERROR(IF(0=LEN(ReferenceData!$I$141),"",ReferenceData!$I$141),"")</f>
        <v>0.23863499499999999</v>
      </c>
      <c r="J141">
        <f ca="1">IFERROR(IF(0=LEN(ReferenceData!$J$141),"",ReferenceData!$J$141),"")</f>
        <v>0.211727997</v>
      </c>
    </row>
    <row r="142" spans="1:10" x14ac:dyDescent="0.25">
      <c r="A142" t="str">
        <f>IFERROR(IF(0=LEN(ReferenceData!$A$142),"",ReferenceData!$A$142),"")</f>
        <v xml:space="preserve">                    Toyoda Gosei Co Ltd</v>
      </c>
      <c r="B142" t="str">
        <f>IFERROR(IF(0=LEN(ReferenceData!$B$142),"",ReferenceData!$B$142),"")</f>
        <v>7282 JP Equity</v>
      </c>
      <c r="C142" t="str">
        <f>IFERROR(IF(0=LEN(ReferenceData!$C$142),"",ReferenceData!$C$142),"")</f>
        <v>F0946</v>
      </c>
      <c r="D142" t="str">
        <f>IFERROR(IF(0=LEN(ReferenceData!$D$142),"",ReferenceData!$D$142),"")</f>
        <v>TOTAL_GHG_CO2_EMISSIONS</v>
      </c>
      <c r="E142" t="str">
        <f>IFERROR(IF(0=LEN(ReferenceData!$E$142),"",ReferenceData!$E$142),"")</f>
        <v>Dynamic</v>
      </c>
      <c r="F142" t="str">
        <f ca="1">IFERROR(IF(0=LEN(ReferenceData!$F$142),"",ReferenceData!$F$142),"")</f>
        <v/>
      </c>
      <c r="G142">
        <f ca="1">IFERROR(IF(0=LEN(ReferenceData!$G$142),"",ReferenceData!$G$142),"")</f>
        <v>0.51491998299999997</v>
      </c>
      <c r="H142">
        <f ca="1">IFERROR(IF(0=LEN(ReferenceData!$H$142),"",ReferenceData!$H$142),"")</f>
        <v>7.0196998999999996E-2</v>
      </c>
      <c r="I142">
        <f ca="1">IFERROR(IF(0=LEN(ReferenceData!$I$142),"",ReferenceData!$I$142),"")</f>
        <v>0.76300000000000001</v>
      </c>
      <c r="J142">
        <f ca="1">IFERROR(IF(0=LEN(ReferenceData!$J$142),"",ReferenceData!$J$142),"")</f>
        <v>0.81699999999999995</v>
      </c>
    </row>
    <row r="143" spans="1:10" x14ac:dyDescent="0.25">
      <c r="A143" t="str">
        <f>IFERROR(IF(0=LEN(ReferenceData!$A$143),"",ReferenceData!$A$143),"")</f>
        <v xml:space="preserve">                    Toyota Boshoku Corp</v>
      </c>
      <c r="B143" t="str">
        <f>IFERROR(IF(0=LEN(ReferenceData!$B$143),"",ReferenceData!$B$143),"")</f>
        <v>3116 JP Equity</v>
      </c>
      <c r="C143" t="str">
        <f>IFERROR(IF(0=LEN(ReferenceData!$C$143),"",ReferenceData!$C$143),"")</f>
        <v>F0946</v>
      </c>
      <c r="D143" t="str">
        <f>IFERROR(IF(0=LEN(ReferenceData!$D$143),"",ReferenceData!$D$143),"")</f>
        <v>TOTAL_GHG_CO2_EMISSIONS</v>
      </c>
      <c r="E143" t="str">
        <f>IFERROR(IF(0=LEN(ReferenceData!$E$143),"",ReferenceData!$E$143),"")</f>
        <v>Dynamic</v>
      </c>
      <c r="F143" t="str">
        <f ca="1">IFERROR(IF(0=LEN(ReferenceData!$F$143),"",ReferenceData!$F$143),"")</f>
        <v/>
      </c>
      <c r="G143">
        <f ca="1">IFERROR(IF(0=LEN(ReferenceData!$G$143),"",ReferenceData!$G$143),"")</f>
        <v>0.31249301200000001</v>
      </c>
      <c r="H143">
        <f ca="1">IFERROR(IF(0=LEN(ReferenceData!$H$143),"",ReferenceData!$H$143),"")</f>
        <v>0.28845800799999999</v>
      </c>
      <c r="I143">
        <f ca="1">IFERROR(IF(0=LEN(ReferenceData!$I$143),"",ReferenceData!$I$143),"")</f>
        <v>0.29893798799999999</v>
      </c>
      <c r="J143">
        <f ca="1">IFERROR(IF(0=LEN(ReferenceData!$J$143),"",ReferenceData!$J$143),"")</f>
        <v>0.29970001200000002</v>
      </c>
    </row>
    <row r="144" spans="1:10" x14ac:dyDescent="0.25">
      <c r="A144" t="str">
        <f>IFERROR(IF(0=LEN(ReferenceData!$A$144),"",ReferenceData!$A$144),"")</f>
        <v xml:space="preserve">                    Visteon Corp</v>
      </c>
      <c r="B144" t="str">
        <f>IFERROR(IF(0=LEN(ReferenceData!$B$144),"",ReferenceData!$B$144),"")</f>
        <v>VC US Equity</v>
      </c>
      <c r="C144" t="str">
        <f>IFERROR(IF(0=LEN(ReferenceData!$C$144),"",ReferenceData!$C$144),"")</f>
        <v>F0946</v>
      </c>
      <c r="D144" t="str">
        <f>IFERROR(IF(0=LEN(ReferenceData!$D$144),"",ReferenceData!$D$144),"")</f>
        <v>TOTAL_GHG_CO2_EMISSIONS</v>
      </c>
      <c r="E144" t="str">
        <f>IFERROR(IF(0=LEN(ReferenceData!$E$144),"",ReferenceData!$E$144),"")</f>
        <v>Dynamic</v>
      </c>
      <c r="F144" t="str">
        <f ca="1">IFERROR(IF(0=LEN(ReferenceData!$F$144),"",ReferenceData!$F$144),"")</f>
        <v/>
      </c>
      <c r="G144" t="str">
        <f ca="1">IFERROR(IF(0=LEN(ReferenceData!$G$144),"",ReferenceData!$G$144),"")</f>
        <v/>
      </c>
      <c r="H144" t="str">
        <f ca="1">IFERROR(IF(0=LEN(ReferenceData!$H$144),"",ReferenceData!$H$144),"")</f>
        <v/>
      </c>
      <c r="I144" t="str">
        <f ca="1">IFERROR(IF(0=LEN(ReferenceData!$I$144),"",ReferenceData!$I$144),"")</f>
        <v/>
      </c>
      <c r="J144" t="str">
        <f ca="1">IFERROR(IF(0=LEN(ReferenceData!$J$144),"",ReferenceData!$J$144),"")</f>
        <v/>
      </c>
    </row>
    <row r="145" spans="1:10" x14ac:dyDescent="0.25">
      <c r="A145" t="str">
        <f>IFERROR(IF(0=LEN(ReferenceData!$A$145),"",ReferenceData!$A$145),"")</f>
        <v xml:space="preserve">                    Valeo</v>
      </c>
      <c r="B145" t="str">
        <f>IFERROR(IF(0=LEN(ReferenceData!$B$145),"",ReferenceData!$B$145),"")</f>
        <v>FR FP Equity</v>
      </c>
      <c r="C145" t="str">
        <f>IFERROR(IF(0=LEN(ReferenceData!$C$145),"",ReferenceData!$C$145),"")</f>
        <v>F0946</v>
      </c>
      <c r="D145" t="str">
        <f>IFERROR(IF(0=LEN(ReferenceData!$D$145),"",ReferenceData!$D$145),"")</f>
        <v>TOTAL_GHG_CO2_EMISSIONS</v>
      </c>
      <c r="E145" t="str">
        <f>IFERROR(IF(0=LEN(ReferenceData!$E$145),"",ReferenceData!$E$145),"")</f>
        <v>Dynamic</v>
      </c>
      <c r="F145">
        <f ca="1">IFERROR(IF(0=LEN(ReferenceData!$F$145),"",ReferenceData!$F$145),"")</f>
        <v>0.70799999999999996</v>
      </c>
      <c r="G145">
        <f ca="1">IFERROR(IF(0=LEN(ReferenceData!$G$145),"",ReferenceData!$G$145),"")</f>
        <v>1.021289978</v>
      </c>
      <c r="H145">
        <f ca="1">IFERROR(IF(0=LEN(ReferenceData!$H$145),"",ReferenceData!$H$145),"")</f>
        <v>1.0595000000000001</v>
      </c>
      <c r="I145">
        <f ca="1">IFERROR(IF(0=LEN(ReferenceData!$I$145),"",ReferenceData!$I$145),"")</f>
        <v>1.141400024</v>
      </c>
      <c r="J145">
        <f ca="1">IFERROR(IF(0=LEN(ReferenceData!$J$145),"",ReferenceData!$J$145),"")</f>
        <v>1.0458000489999999</v>
      </c>
    </row>
    <row r="146" spans="1:10" x14ac:dyDescent="0.25">
      <c r="A146" t="str">
        <f>IFERROR(IF(0=LEN(ReferenceData!$A$146),"",ReferenceData!$A$146),"")</f>
        <v xml:space="preserve">                    Yazaki Corp</v>
      </c>
      <c r="B146" t="str">
        <f>IFERROR(IF(0=LEN(ReferenceData!$B$146),"",ReferenceData!$B$146),"")</f>
        <v>YAZZ JP Equity</v>
      </c>
      <c r="C146" t="str">
        <f>IFERROR(IF(0=LEN(ReferenceData!$C$146),"",ReferenceData!$C$146),"")</f>
        <v>F0946</v>
      </c>
      <c r="D146" t="str">
        <f>IFERROR(IF(0=LEN(ReferenceData!$D$146),"",ReferenceData!$D$146),"")</f>
        <v>TOTAL_GHG_CO2_EMISSIONS</v>
      </c>
      <c r="E146" t="str">
        <f>IFERROR(IF(0=LEN(ReferenceData!$E$146),"",ReferenceData!$E$146),"")</f>
        <v>Dynamic</v>
      </c>
      <c r="F146" t="str">
        <f ca="1">IFERROR(IF(0=LEN(ReferenceData!$F$146),"",ReferenceData!$F$146),"")</f>
        <v/>
      </c>
      <c r="G146" t="str">
        <f ca="1">IFERROR(IF(0=LEN(ReferenceData!$G$146),"",ReferenceData!$G$146),"")</f>
        <v/>
      </c>
      <c r="H146" t="str">
        <f ca="1">IFERROR(IF(0=LEN(ReferenceData!$H$146),"",ReferenceData!$H$146),"")</f>
        <v/>
      </c>
      <c r="I146" t="str">
        <f ca="1">IFERROR(IF(0=LEN(ReferenceData!$I$146),"",ReferenceData!$I$146),"")</f>
        <v/>
      </c>
      <c r="J146" t="str">
        <f ca="1">IFERROR(IF(0=LEN(ReferenceData!$J$146),"",ReferenceData!$J$146),"")</f>
        <v/>
      </c>
    </row>
    <row r="147" spans="1:10" x14ac:dyDescent="0.25">
      <c r="A147" t="str">
        <f>IFERROR(IF(0=LEN(ReferenceData!$A$147),"",ReferenceData!$A$147),"")</f>
        <v xml:space="preserve">                    Yokohama Rubber Co Ltd/The</v>
      </c>
      <c r="B147" t="str">
        <f>IFERROR(IF(0=LEN(ReferenceData!$B$147),"",ReferenceData!$B$147),"")</f>
        <v>5101 JP Equity</v>
      </c>
      <c r="C147" t="str">
        <f>IFERROR(IF(0=LEN(ReferenceData!$C$147),"",ReferenceData!$C$147),"")</f>
        <v>F0946</v>
      </c>
      <c r="D147" t="str">
        <f>IFERROR(IF(0=LEN(ReferenceData!$D$147),"",ReferenceData!$D$147),"")</f>
        <v>TOTAL_GHG_CO2_EMISSIONS</v>
      </c>
      <c r="E147" t="str">
        <f>IFERROR(IF(0=LEN(ReferenceData!$E$147),"",ReferenceData!$E$147),"")</f>
        <v>Dynamic</v>
      </c>
      <c r="F147" t="str">
        <f ca="1">IFERROR(IF(0=LEN(ReferenceData!$F$147),"",ReferenceData!$F$147),"")</f>
        <v/>
      </c>
      <c r="G147">
        <f ca="1">IFERROR(IF(0=LEN(ReferenceData!$G$147),"",ReferenceData!$G$147),"")</f>
        <v>1.124209961</v>
      </c>
      <c r="H147">
        <f ca="1">IFERROR(IF(0=LEN(ReferenceData!$H$147),"",ReferenceData!$H$147),"")</f>
        <v>0.98599999999999999</v>
      </c>
      <c r="I147">
        <f ca="1">IFERROR(IF(0=LEN(ReferenceData!$I$147),"",ReferenceData!$I$147),"")</f>
        <v>1.052</v>
      </c>
      <c r="J147">
        <f ca="1">IFERROR(IF(0=LEN(ReferenceData!$J$147),"",ReferenceData!$J$147),"")</f>
        <v>0.72</v>
      </c>
    </row>
    <row r="148" spans="1:10" x14ac:dyDescent="0.25">
      <c r="A148" t="str">
        <f>IFERROR(IF(0=LEN(ReferenceData!$A$148),"",ReferenceData!$A$148),"")</f>
        <v xml:space="preserve">                    ZF Friedrichshafen AG</v>
      </c>
      <c r="B148" t="str">
        <f>IFERROR(IF(0=LEN(ReferenceData!$B$148),"",ReferenceData!$B$148),"")</f>
        <v>1003Z GR Equity</v>
      </c>
      <c r="C148" t="str">
        <f>IFERROR(IF(0=LEN(ReferenceData!$C$148),"",ReferenceData!$C$148),"")</f>
        <v>F0946</v>
      </c>
      <c r="D148" t="str">
        <f>IFERROR(IF(0=LEN(ReferenceData!$D$148),"",ReferenceData!$D$148),"")</f>
        <v>TOTAL_GHG_CO2_EMISSIONS</v>
      </c>
      <c r="E148" t="str">
        <f>IFERROR(IF(0=LEN(ReferenceData!$E$148),"",ReferenceData!$E$148),"")</f>
        <v>Dynamic</v>
      </c>
      <c r="F148" t="str">
        <f ca="1">IFERROR(IF(0=LEN(ReferenceData!$F$148),"",ReferenceData!$F$148),"")</f>
        <v/>
      </c>
      <c r="G148" t="str">
        <f ca="1">IFERROR(IF(0=LEN(ReferenceData!$G$148),"",ReferenceData!$G$148),"")</f>
        <v/>
      </c>
      <c r="H148" t="str">
        <f ca="1">IFERROR(IF(0=LEN(ReferenceData!$H$148),"",ReferenceData!$H$148),"")</f>
        <v/>
      </c>
      <c r="I148" t="str">
        <f ca="1">IFERROR(IF(0=LEN(ReferenceData!$I$148),"",ReferenceData!$I$148),"")</f>
        <v/>
      </c>
      <c r="J148" t="str">
        <f ca="1">IFERROR(IF(0=LEN(ReferenceData!$J$148),"",ReferenceData!$J$148),"")</f>
        <v/>
      </c>
    </row>
    <row r="149" spans="1:10" x14ac:dyDescent="0.25">
      <c r="A149" t="str">
        <f>IFERROR(IF(0=LEN(ReferenceData!$A$149),"",ReferenceData!$A$149),"")</f>
        <v xml:space="preserve">            Lodging</v>
      </c>
      <c r="B149" t="str">
        <f>IFERROR(IF(0=LEN(ReferenceData!$B$149),"",ReferenceData!$B$149),"")</f>
        <v/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Sum</v>
      </c>
      <c r="F149">
        <f ca="1">IFERROR(IF(0=LEN(ReferenceData!$F$149),"",ReferenceData!$F$149),"")</f>
        <v>8.893356003000001</v>
      </c>
      <c r="G149">
        <f ca="1">IFERROR(IF(0=LEN(ReferenceData!$G$149),"",ReferenceData!$G$149),"")</f>
        <v>16.039220259</v>
      </c>
      <c r="H149">
        <f ca="1">IFERROR(IF(0=LEN(ReferenceData!$H$149),"",ReferenceData!$H$149),"")</f>
        <v>12.755146072000002</v>
      </c>
      <c r="I149">
        <f ca="1">IFERROR(IF(0=LEN(ReferenceData!$I$149),"",ReferenceData!$I$149),"")</f>
        <v>16.969960801000003</v>
      </c>
      <c r="J149">
        <f ca="1">IFERROR(IF(0=LEN(ReferenceData!$J$149),"",ReferenceData!$J$149),"")</f>
        <v>17.090227028000001</v>
      </c>
    </row>
    <row r="150" spans="1:10" x14ac:dyDescent="0.25">
      <c r="A150" t="str">
        <f>IFERROR(IF(0=LEN(ReferenceData!$A$150),"",ReferenceData!$A$150),"")</f>
        <v xml:space="preserve">                Accor SA</v>
      </c>
      <c r="B150" t="str">
        <f>IFERROR(IF(0=LEN(ReferenceData!$B$150),"",ReferenceData!$B$150),"")</f>
        <v>AC FP Equity</v>
      </c>
      <c r="C150" t="str">
        <f>IFERROR(IF(0=LEN(ReferenceData!$C$150),"",ReferenceData!$C$150),"")</f>
        <v>F0946</v>
      </c>
      <c r="D150" t="str">
        <f>IFERROR(IF(0=LEN(ReferenceData!$D$150),"",ReferenceData!$D$150),"")</f>
        <v>TOTAL_GHG_CO2_EMISSIONS</v>
      </c>
      <c r="E150" t="str">
        <f>IFERROR(IF(0=LEN(ReferenceData!$E$150),"",ReferenceData!$E$150),"")</f>
        <v>Dynamic</v>
      </c>
      <c r="F150">
        <f ca="1">IFERROR(IF(0=LEN(ReferenceData!$F$150),"",ReferenceData!$F$150),"")</f>
        <v>2.9279999999999999</v>
      </c>
      <c r="G150">
        <f ca="1">IFERROR(IF(0=LEN(ReferenceData!$G$150),"",ReferenceData!$G$150),"")</f>
        <v>2.7832800290000002</v>
      </c>
      <c r="H150">
        <f ca="1">IFERROR(IF(0=LEN(ReferenceData!$H$150),"",ReferenceData!$H$150),"")</f>
        <v>1.2709999999999999</v>
      </c>
      <c r="I150">
        <f ca="1">IFERROR(IF(0=LEN(ReferenceData!$I$150),"",ReferenceData!$I$150),"")</f>
        <v>1.95</v>
      </c>
      <c r="J150">
        <f ca="1">IFERROR(IF(0=LEN(ReferenceData!$J$150),"",ReferenceData!$J$150),"")</f>
        <v>2.11</v>
      </c>
    </row>
    <row r="151" spans="1:10" x14ac:dyDescent="0.25">
      <c r="A151" t="str">
        <f>IFERROR(IF(0=LEN(ReferenceData!$A$151),"",ReferenceData!$A$151),"")</f>
        <v xml:space="preserve">                Choice Hotels International In</v>
      </c>
      <c r="B151" t="str">
        <f>IFERROR(IF(0=LEN(ReferenceData!$B$151),"",ReferenceData!$B$151),"")</f>
        <v>CHH US Equity</v>
      </c>
      <c r="C151" t="str">
        <f>IFERROR(IF(0=LEN(ReferenceData!$C$151),"",ReferenceData!$C$151),"")</f>
        <v>F0946</v>
      </c>
      <c r="D151" t="str">
        <f>IFERROR(IF(0=LEN(ReferenceData!$D$151),"",ReferenceData!$D$151),"")</f>
        <v>TOTAL_GHG_CO2_EMISSIONS</v>
      </c>
      <c r="E151" t="str">
        <f>IFERROR(IF(0=LEN(ReferenceData!$E$151),"",ReferenceData!$E$151),"")</f>
        <v>Dynamic</v>
      </c>
      <c r="F151" t="str">
        <f ca="1">IFERROR(IF(0=LEN(ReferenceData!$F$151),"",ReferenceData!$F$151),"")</f>
        <v/>
      </c>
      <c r="G151" t="str">
        <f ca="1">IFERROR(IF(0=LEN(ReferenceData!$G$151),"",ReferenceData!$G$151),"")</f>
        <v/>
      </c>
      <c r="H151" t="str">
        <f ca="1">IFERROR(IF(0=LEN(ReferenceData!$H$151),"",ReferenceData!$H$151),"")</f>
        <v/>
      </c>
      <c r="I151" t="str">
        <f ca="1">IFERROR(IF(0=LEN(ReferenceData!$I$151),"",ReferenceData!$I$151),"")</f>
        <v/>
      </c>
      <c r="J151" t="str">
        <f ca="1">IFERROR(IF(0=LEN(ReferenceData!$J$151),"",ReferenceData!$J$151),"")</f>
        <v/>
      </c>
    </row>
    <row r="152" spans="1:10" x14ac:dyDescent="0.25">
      <c r="A152" t="str">
        <f>IFERROR(IF(0=LEN(ReferenceData!$A$152),"",ReferenceData!$A$152),"")</f>
        <v xml:space="preserve">                Great Eagle Holdings Ltd</v>
      </c>
      <c r="B152" t="str">
        <f>IFERROR(IF(0=LEN(ReferenceData!$B$152),"",ReferenceData!$B$152),"")</f>
        <v>41 HK Equity</v>
      </c>
      <c r="C152" t="str">
        <f>IFERROR(IF(0=LEN(ReferenceData!$C$152),"",ReferenceData!$C$152),"")</f>
        <v>F0946</v>
      </c>
      <c r="D152" t="str">
        <f>IFERROR(IF(0=LEN(ReferenceData!$D$152),"",ReferenceData!$D$152),"")</f>
        <v>TOTAL_GHG_CO2_EMISSIONS</v>
      </c>
      <c r="E152" t="str">
        <f>IFERROR(IF(0=LEN(ReferenceData!$E$152),"",ReferenceData!$E$152),"")</f>
        <v>Dynamic</v>
      </c>
      <c r="F152">
        <f ca="1">IFERROR(IF(0=LEN(ReferenceData!$F$152),"",ReferenceData!$F$152),"")</f>
        <v>7.7790999999999999E-2</v>
      </c>
      <c r="G152" t="str">
        <f ca="1">IFERROR(IF(0=LEN(ReferenceData!$G$152),"",ReferenceData!$G$152),"")</f>
        <v/>
      </c>
      <c r="H152" t="str">
        <f ca="1">IFERROR(IF(0=LEN(ReferenceData!$H$152),"",ReferenceData!$H$152),"")</f>
        <v/>
      </c>
      <c r="I152" t="str">
        <f ca="1">IFERROR(IF(0=LEN(ReferenceData!$I$152),"",ReferenceData!$I$152),"")</f>
        <v/>
      </c>
      <c r="J152">
        <f ca="1">IFERROR(IF(0=LEN(ReferenceData!$J$152),"",ReferenceData!$J$152),"")</f>
        <v>0.120933998</v>
      </c>
    </row>
    <row r="153" spans="1:10" x14ac:dyDescent="0.25">
      <c r="A153" t="str">
        <f>IFERROR(IF(0=LEN(ReferenceData!$A$153),"",ReferenceData!$A$153),"")</f>
        <v xml:space="preserve">                H World Group Ltd</v>
      </c>
      <c r="B153" t="str">
        <f>IFERROR(IF(0=LEN(ReferenceData!$B$153),"",ReferenceData!$B$153),"")</f>
        <v>HTHT US Equity</v>
      </c>
      <c r="C153" t="str">
        <f>IFERROR(IF(0=LEN(ReferenceData!$C$153),"",ReferenceData!$C$153),"")</f>
        <v>F0946</v>
      </c>
      <c r="D153" t="str">
        <f>IFERROR(IF(0=LEN(ReferenceData!$D$153),"",ReferenceData!$D$153),"")</f>
        <v>TOTAL_GHG_CO2_EMISSIONS</v>
      </c>
      <c r="E153" t="str">
        <f>IFERROR(IF(0=LEN(ReferenceData!$E$153),"",ReferenceData!$E$153),"")</f>
        <v>Dynamic</v>
      </c>
      <c r="F153">
        <f ca="1">IFERROR(IF(0=LEN(ReferenceData!$F$153),"",ReferenceData!$F$153),"")</f>
        <v>0.28682501199999999</v>
      </c>
      <c r="G153">
        <f ca="1">IFERROR(IF(0=LEN(ReferenceData!$G$153),"",ReferenceData!$G$153),"")</f>
        <v>0.29528201300000001</v>
      </c>
      <c r="H153">
        <f ca="1">IFERROR(IF(0=LEN(ReferenceData!$H$153),"",ReferenceData!$H$153),"")</f>
        <v>0.25669101</v>
      </c>
      <c r="I153" t="str">
        <f ca="1">IFERROR(IF(0=LEN(ReferenceData!$I$153),"",ReferenceData!$I$153),"")</f>
        <v/>
      </c>
      <c r="J153" t="str">
        <f ca="1">IFERROR(IF(0=LEN(ReferenceData!$J$153),"",ReferenceData!$J$153),"")</f>
        <v/>
      </c>
    </row>
    <row r="154" spans="1:10" x14ac:dyDescent="0.25">
      <c r="A154" t="str">
        <f>IFERROR(IF(0=LEN(ReferenceData!$A$154),"",ReferenceData!$A$154),"")</f>
        <v xml:space="preserve">                Hilton Worldwide Holdings Inc</v>
      </c>
      <c r="B154" t="str">
        <f>IFERROR(IF(0=LEN(ReferenceData!$B$154),"",ReferenceData!$B$154),"")</f>
        <v>HLT US Equity</v>
      </c>
      <c r="C154" t="str">
        <f>IFERROR(IF(0=LEN(ReferenceData!$C$154),"",ReferenceData!$C$154),"")</f>
        <v>F0946</v>
      </c>
      <c r="D154" t="str">
        <f>IFERROR(IF(0=LEN(ReferenceData!$D$154),"",ReferenceData!$D$154),"")</f>
        <v>TOTAL_GHG_CO2_EMISSIONS</v>
      </c>
      <c r="E154" t="str">
        <f>IFERROR(IF(0=LEN(ReferenceData!$E$154),"",ReferenceData!$E$154),"")</f>
        <v>Dynamic</v>
      </c>
      <c r="F154">
        <f ca="1">IFERROR(IF(0=LEN(ReferenceData!$F$154),"",ReferenceData!$F$154),"")</f>
        <v>2.3689299319999999</v>
      </c>
      <c r="G154">
        <f ca="1">IFERROR(IF(0=LEN(ReferenceData!$G$154),"",ReferenceData!$G$154),"")</f>
        <v>2.1933400879999998</v>
      </c>
      <c r="H154">
        <f ca="1">IFERROR(IF(0=LEN(ReferenceData!$H$154),"",ReferenceData!$H$154),"")</f>
        <v>1.7492800289999999</v>
      </c>
      <c r="I154">
        <f ca="1">IFERROR(IF(0=LEN(ReferenceData!$I$154),"",ReferenceData!$I$154),"")</f>
        <v>2.4253601069999999</v>
      </c>
      <c r="J154">
        <f ca="1">IFERROR(IF(0=LEN(ReferenceData!$J$154),"",ReferenceData!$J$154),"")</f>
        <v>2.4071000979999999</v>
      </c>
    </row>
    <row r="155" spans="1:10" x14ac:dyDescent="0.25">
      <c r="A155" t="str">
        <f>IFERROR(IF(0=LEN(ReferenceData!$A$155),"",ReferenceData!$A$155),"")</f>
        <v xml:space="preserve">                Hyatt Hotels Corp</v>
      </c>
      <c r="B155" t="str">
        <f>IFERROR(IF(0=LEN(ReferenceData!$B$155),"",ReferenceData!$B$155),"")</f>
        <v>H US Equity</v>
      </c>
      <c r="C155" t="str">
        <f>IFERROR(IF(0=LEN(ReferenceData!$C$155),"",ReferenceData!$C$155),"")</f>
        <v>F0946</v>
      </c>
      <c r="D155" t="str">
        <f>IFERROR(IF(0=LEN(ReferenceData!$D$155),"",ReferenceData!$D$155),"")</f>
        <v>TOTAL_GHG_CO2_EMISSIONS</v>
      </c>
      <c r="E155" t="str">
        <f>IFERROR(IF(0=LEN(ReferenceData!$E$155),"",ReferenceData!$E$155),"")</f>
        <v>Dynamic</v>
      </c>
      <c r="F155" t="str">
        <f ca="1">IFERROR(IF(0=LEN(ReferenceData!$F$155),"",ReferenceData!$F$155),"")</f>
        <v/>
      </c>
      <c r="G155">
        <f ca="1">IFERROR(IF(0=LEN(ReferenceData!$G$155),"",ReferenceData!$G$155),"")</f>
        <v>1.5699499509999999</v>
      </c>
      <c r="H155">
        <f ca="1">IFERROR(IF(0=LEN(ReferenceData!$H$155),"",ReferenceData!$H$155),"")</f>
        <v>1.291930054</v>
      </c>
      <c r="I155">
        <f ca="1">IFERROR(IF(0=LEN(ReferenceData!$I$155),"",ReferenceData!$I$155),"")</f>
        <v>1.70202002</v>
      </c>
      <c r="J155">
        <f ca="1">IFERROR(IF(0=LEN(ReferenceData!$J$155),"",ReferenceData!$J$155),"")</f>
        <v>1.5932399900000001</v>
      </c>
    </row>
    <row r="156" spans="1:10" x14ac:dyDescent="0.25">
      <c r="A156" t="str">
        <f>IFERROR(IF(0=LEN(ReferenceData!$A$156),"",ReferenceData!$A$156),"")</f>
        <v xml:space="preserve">                InterContinental Hotels Group</v>
      </c>
      <c r="B156" t="str">
        <f>IFERROR(IF(0=LEN(ReferenceData!$B$156),"",ReferenceData!$B$156),"")</f>
        <v>IHG LN Equity</v>
      </c>
      <c r="C156" t="str">
        <f>IFERROR(IF(0=LEN(ReferenceData!$C$156),"",ReferenceData!$C$156),"")</f>
        <v>F0946</v>
      </c>
      <c r="D156" t="str">
        <f>IFERROR(IF(0=LEN(ReferenceData!$D$156),"",ReferenceData!$D$156),"")</f>
        <v>TOTAL_GHG_CO2_EMISSIONS</v>
      </c>
      <c r="E156" t="str">
        <f>IFERROR(IF(0=LEN(ReferenceData!$E$156),"",ReferenceData!$E$156),"")</f>
        <v>Dynamic</v>
      </c>
      <c r="F156">
        <f ca="1">IFERROR(IF(0=LEN(ReferenceData!$F$156),"",ReferenceData!$F$156),"")</f>
        <v>2.4828100590000002</v>
      </c>
      <c r="G156">
        <f ca="1">IFERROR(IF(0=LEN(ReferenceData!$G$156),"",ReferenceData!$G$156),"")</f>
        <v>2.23072998</v>
      </c>
      <c r="H156">
        <f ca="1">IFERROR(IF(0=LEN(ReferenceData!$H$156),"",ReferenceData!$H$156),"")</f>
        <v>1.8719000240000001</v>
      </c>
      <c r="I156">
        <f ca="1">IFERROR(IF(0=LEN(ReferenceData!$I$156),"",ReferenceData!$I$156),"")</f>
        <v>2.537129883</v>
      </c>
      <c r="J156">
        <f ca="1">IFERROR(IF(0=LEN(ReferenceData!$J$156),"",ReferenceData!$J$156),"")</f>
        <v>2.4281101070000002</v>
      </c>
    </row>
    <row r="157" spans="1:10" x14ac:dyDescent="0.25">
      <c r="A157" t="str">
        <f>IFERROR(IF(0=LEN(ReferenceData!$A$157),"",ReferenceData!$A$157),"")</f>
        <v xml:space="preserve">                Melia Hotels International SA</v>
      </c>
      <c r="B157" t="str">
        <f>IFERROR(IF(0=LEN(ReferenceData!$B$157),"",ReferenceData!$B$157),"")</f>
        <v>MEL SM Equity</v>
      </c>
      <c r="C157" t="str">
        <f>IFERROR(IF(0=LEN(ReferenceData!$C$157),"",ReferenceData!$C$157),"")</f>
        <v>F0946</v>
      </c>
      <c r="D157" t="str">
        <f>IFERROR(IF(0=LEN(ReferenceData!$D$157),"",ReferenceData!$D$157),"")</f>
        <v>TOTAL_GHG_CO2_EMISSIONS</v>
      </c>
      <c r="E157" t="str">
        <f>IFERROR(IF(0=LEN(ReferenceData!$E$157),"",ReferenceData!$E$157),"")</f>
        <v>Dynamic</v>
      </c>
      <c r="F157" t="str">
        <f ca="1">IFERROR(IF(0=LEN(ReferenceData!$F$157),"",ReferenceData!$F$157),"")</f>
        <v/>
      </c>
      <c r="G157">
        <f ca="1">IFERROR(IF(0=LEN(ReferenceData!$G$157),"",ReferenceData!$G$157),"")</f>
        <v>0.22850000000000001</v>
      </c>
      <c r="H157">
        <f ca="1">IFERROR(IF(0=LEN(ReferenceData!$H$157),"",ReferenceData!$H$157),"")</f>
        <v>0.20269999699999999</v>
      </c>
      <c r="I157">
        <f ca="1">IFERROR(IF(0=LEN(ReferenceData!$I$157),"",ReferenceData!$I$157),"")</f>
        <v>0.170647995</v>
      </c>
      <c r="J157">
        <f ca="1">IFERROR(IF(0=LEN(ReferenceData!$J$157),"",ReferenceData!$J$157),"")</f>
        <v>0.20502999899999999</v>
      </c>
    </row>
    <row r="158" spans="1:10" x14ac:dyDescent="0.25">
      <c r="A158" t="str">
        <f>IFERROR(IF(0=LEN(ReferenceData!$A$158),"",ReferenceData!$A$158),"")</f>
        <v xml:space="preserve">                Marriott International Inc/MD</v>
      </c>
      <c r="B158" t="str">
        <f>IFERROR(IF(0=LEN(ReferenceData!$B$158),"",ReferenceData!$B$158),"")</f>
        <v>MAR US Equity</v>
      </c>
      <c r="C158" t="str">
        <f>IFERROR(IF(0=LEN(ReferenceData!$C$158),"",ReferenceData!$C$158),"")</f>
        <v>F0946</v>
      </c>
      <c r="D158" t="str">
        <f>IFERROR(IF(0=LEN(ReferenceData!$D$158),"",ReferenceData!$D$158),"")</f>
        <v>TOTAL_GHG_CO2_EMISSIONS</v>
      </c>
      <c r="E158" t="str">
        <f>IFERROR(IF(0=LEN(ReferenceData!$E$158),"",ReferenceData!$E$158),"")</f>
        <v>Dynamic</v>
      </c>
      <c r="F158" t="str">
        <f ca="1">IFERROR(IF(0=LEN(ReferenceData!$F$158),"",ReferenceData!$F$158),"")</f>
        <v/>
      </c>
      <c r="G158">
        <f ca="1">IFERROR(IF(0=LEN(ReferenceData!$G$158),"",ReferenceData!$G$158),"")</f>
        <v>5.812950195</v>
      </c>
      <c r="H158">
        <f ca="1">IFERROR(IF(0=LEN(ReferenceData!$H$158),"",ReferenceData!$H$158),"")</f>
        <v>5.1254799799999997</v>
      </c>
      <c r="I158">
        <f ca="1">IFERROR(IF(0=LEN(ReferenceData!$I$158),"",ReferenceData!$I$158),"")</f>
        <v>6.8062998050000001</v>
      </c>
      <c r="J158">
        <f ca="1">IFERROR(IF(0=LEN(ReferenceData!$J$158),"",ReferenceData!$J$158),"")</f>
        <v>6.8362998050000003</v>
      </c>
    </row>
    <row r="159" spans="1:10" x14ac:dyDescent="0.25">
      <c r="A159" t="str">
        <f>IFERROR(IF(0=LEN(ReferenceData!$A$159),"",ReferenceData!$A$159),"")</f>
        <v xml:space="preserve">                Shanghai Jinjiang Internationa</v>
      </c>
      <c r="B159" t="str">
        <f>IFERROR(IF(0=LEN(ReferenceData!$B$159),"",ReferenceData!$B$159),"")</f>
        <v>600754 CH Equity</v>
      </c>
      <c r="C159" t="str">
        <f>IFERROR(IF(0=LEN(ReferenceData!$C$159),"",ReferenceData!$C$159),"")</f>
        <v>F0946</v>
      </c>
      <c r="D159" t="str">
        <f>IFERROR(IF(0=LEN(ReferenceData!$D$159),"",ReferenceData!$D$159),"")</f>
        <v>TOTAL_GHG_CO2_EMISSIONS</v>
      </c>
      <c r="E159" t="str">
        <f>IFERROR(IF(0=LEN(ReferenceData!$E$159),"",ReferenceData!$E$159),"")</f>
        <v>Dynamic</v>
      </c>
      <c r="F159" t="str">
        <f ca="1">IFERROR(IF(0=LEN(ReferenceData!$F$159),"",ReferenceData!$F$159),"")</f>
        <v/>
      </c>
      <c r="G159" t="str">
        <f ca="1">IFERROR(IF(0=LEN(ReferenceData!$G$159),"",ReferenceData!$G$159),"")</f>
        <v/>
      </c>
      <c r="H159" t="str">
        <f ca="1">IFERROR(IF(0=LEN(ReferenceData!$H$159),"",ReferenceData!$H$159),"")</f>
        <v/>
      </c>
      <c r="I159" t="str">
        <f ca="1">IFERROR(IF(0=LEN(ReferenceData!$I$159),"",ReferenceData!$I$159),"")</f>
        <v/>
      </c>
      <c r="J159" t="str">
        <f ca="1">IFERROR(IF(0=LEN(ReferenceData!$J$159),"",ReferenceData!$J$159),"")</f>
        <v/>
      </c>
    </row>
    <row r="160" spans="1:10" x14ac:dyDescent="0.25">
      <c r="A160" t="str">
        <f>IFERROR(IF(0=LEN(ReferenceData!$A$160),"",ReferenceData!$A$160),"")</f>
        <v xml:space="preserve">                Shangri-La Asia Ltd</v>
      </c>
      <c r="B160" t="str">
        <f>IFERROR(IF(0=LEN(ReferenceData!$B$160),"",ReferenceData!$B$160),"")</f>
        <v>69 HK Equity</v>
      </c>
      <c r="C160" t="str">
        <f>IFERROR(IF(0=LEN(ReferenceData!$C$160),"",ReferenceData!$C$160),"")</f>
        <v>F0946</v>
      </c>
      <c r="D160" t="str">
        <f>IFERROR(IF(0=LEN(ReferenceData!$D$160),"",ReferenceData!$D$160),"")</f>
        <v>TOTAL_GHG_CO2_EMISSIONS</v>
      </c>
      <c r="E160" t="str">
        <f>IFERROR(IF(0=LEN(ReferenceData!$E$160),"",ReferenceData!$E$160),"")</f>
        <v>Dynamic</v>
      </c>
      <c r="F160">
        <f ca="1">IFERROR(IF(0=LEN(ReferenceData!$F$160),"",ReferenceData!$F$160),"")</f>
        <v>0.749</v>
      </c>
      <c r="G160">
        <f ca="1">IFERROR(IF(0=LEN(ReferenceData!$G$160),"",ReferenceData!$G$160),"")</f>
        <v>0.69616900599999998</v>
      </c>
      <c r="H160">
        <f ca="1">IFERROR(IF(0=LEN(ReferenceData!$H$160),"",ReferenceData!$H$160),"")</f>
        <v>0.748099976</v>
      </c>
      <c r="I160">
        <f ca="1">IFERROR(IF(0=LEN(ReferenceData!$I$160),"",ReferenceData!$I$160),"")</f>
        <v>1.048099976</v>
      </c>
      <c r="J160">
        <f ca="1">IFERROR(IF(0=LEN(ReferenceData!$J$160),"",ReferenceData!$J$160),"")</f>
        <v>1.0961500239999999</v>
      </c>
    </row>
    <row r="161" spans="1:10" x14ac:dyDescent="0.25">
      <c r="A161" t="str">
        <f>IFERROR(IF(0=LEN(ReferenceData!$A$161),"",ReferenceData!$A$161),"")</f>
        <v xml:space="preserve">                Wyndham Hotels &amp; Resorts Inc</v>
      </c>
      <c r="B161" t="str">
        <f>IFERROR(IF(0=LEN(ReferenceData!$B$161),"",ReferenceData!$B$161),"")</f>
        <v>WH US Equity</v>
      </c>
      <c r="C161" t="str">
        <f>IFERROR(IF(0=LEN(ReferenceData!$C$161),"",ReferenceData!$C$161),"")</f>
        <v>F0946</v>
      </c>
      <c r="D161" t="str">
        <f>IFERROR(IF(0=LEN(ReferenceData!$D$161),"",ReferenceData!$D$161),"")</f>
        <v>TOTAL_GHG_CO2_EMISSIONS</v>
      </c>
      <c r="E161" t="str">
        <f>IFERROR(IF(0=LEN(ReferenceData!$E$161),"",ReferenceData!$E$161),"")</f>
        <v>Dynamic</v>
      </c>
      <c r="F161" t="str">
        <f ca="1">IFERROR(IF(0=LEN(ReferenceData!$F$161),"",ReferenceData!$F$161),"")</f>
        <v/>
      </c>
      <c r="G161">
        <f ca="1">IFERROR(IF(0=LEN(ReferenceData!$G$161),"",ReferenceData!$G$161),"")</f>
        <v>0.229018997</v>
      </c>
      <c r="H161">
        <f ca="1">IFERROR(IF(0=LEN(ReferenceData!$H$161),"",ReferenceData!$H$161),"")</f>
        <v>0.238065002</v>
      </c>
      <c r="I161">
        <f ca="1">IFERROR(IF(0=LEN(ReferenceData!$I$161),"",ReferenceData!$I$161),"")</f>
        <v>0.33040301500000002</v>
      </c>
      <c r="J161">
        <f ca="1">IFERROR(IF(0=LEN(ReferenceData!$J$161),"",ReferenceData!$J$161),"")</f>
        <v>0.29336300700000001</v>
      </c>
    </row>
    <row r="162" spans="1:10" x14ac:dyDescent="0.25">
      <c r="A162" t="str">
        <f>IFERROR(IF(0=LEN(ReferenceData!$A$162),"",ReferenceData!$A$162),"")</f>
        <v xml:space="preserve">        Consumer Staples</v>
      </c>
      <c r="B162" t="str">
        <f>IFERROR(IF(0=LEN(ReferenceData!$B$162),"",ReferenceData!$B$162),"")</f>
        <v/>
      </c>
      <c r="C162" t="str">
        <f>IFERROR(IF(0=LEN(ReferenceData!$C$162),"",ReferenceData!$C$162),"")</f>
        <v/>
      </c>
      <c r="D162" t="str">
        <f>IFERROR(IF(0=LEN(ReferenceData!$D$162),"",ReferenceData!$D$162),"")</f>
        <v/>
      </c>
      <c r="E162" t="str">
        <f>IFERROR(IF(0=LEN(ReferenceData!$E$162),"",ReferenceData!$E$162),"")</f>
        <v>Sum</v>
      </c>
      <c r="F162">
        <f ca="1">IFERROR(IF(0=LEN(ReferenceData!$F$162),"",ReferenceData!$F$162),"")</f>
        <v>66.456973484000002</v>
      </c>
      <c r="G162">
        <f ca="1">IFERROR(IF(0=LEN(ReferenceData!$G$162),"",ReferenceData!$G$162),"")</f>
        <v>190.407319379</v>
      </c>
      <c r="H162">
        <f ca="1">IFERROR(IF(0=LEN(ReferenceData!$H$162),"",ReferenceData!$H$162),"")</f>
        <v>190.12401163999999</v>
      </c>
      <c r="I162">
        <f ca="1">IFERROR(IF(0=LEN(ReferenceData!$I$162),"",ReferenceData!$I$162),"")</f>
        <v>179.97378052999997</v>
      </c>
      <c r="J162">
        <f ca="1">IFERROR(IF(0=LEN(ReferenceData!$J$162),"",ReferenceData!$J$162),"")</f>
        <v>175.59837497200004</v>
      </c>
    </row>
    <row r="163" spans="1:10" x14ac:dyDescent="0.25">
      <c r="A163" t="str">
        <f>IFERROR(IF(0=LEN(ReferenceData!$A$163),"",ReferenceData!$A$163),"")</f>
        <v xml:space="preserve">            Consumer Products</v>
      </c>
      <c r="B163" t="str">
        <f>IFERROR(IF(0=LEN(ReferenceData!$B$163),"",ReferenceData!$B$163),"")</f>
        <v/>
      </c>
      <c r="C163" t="str">
        <f>IFERROR(IF(0=LEN(ReferenceData!$C$163),"",ReferenceData!$C$163),"")</f>
        <v/>
      </c>
      <c r="D163" t="str">
        <f>IFERROR(IF(0=LEN(ReferenceData!$D$163),"",ReferenceData!$D$163),"")</f>
        <v/>
      </c>
      <c r="E163" t="str">
        <f>IFERROR(IF(0=LEN(ReferenceData!$E$163),"",ReferenceData!$E$163),"")</f>
        <v>Sum</v>
      </c>
      <c r="F163">
        <f ca="1">IFERROR(IF(0=LEN(ReferenceData!$F$163),"",ReferenceData!$F$163),"")</f>
        <v>46.593049162000007</v>
      </c>
      <c r="G163">
        <f ca="1">IFERROR(IF(0=LEN(ReferenceData!$G$163),"",ReferenceData!$G$163),"")</f>
        <v>119.77570572900001</v>
      </c>
      <c r="H163">
        <f ca="1">IFERROR(IF(0=LEN(ReferenceData!$H$163),"",ReferenceData!$H$163),"")</f>
        <v>111.98452468699998</v>
      </c>
      <c r="I163">
        <f ca="1">IFERROR(IF(0=LEN(ReferenceData!$I$163),"",ReferenceData!$I$163),"")</f>
        <v>105.82268213699999</v>
      </c>
      <c r="J163">
        <f ca="1">IFERROR(IF(0=LEN(ReferenceData!$J$163),"",ReferenceData!$J$163),"")</f>
        <v>102.47714811900002</v>
      </c>
    </row>
    <row r="164" spans="1:10" x14ac:dyDescent="0.25">
      <c r="A164" t="str">
        <f>IFERROR(IF(0=LEN(ReferenceData!$A$164),"",ReferenceData!$A$164),"")</f>
        <v xml:space="preserve">                Beverages</v>
      </c>
      <c r="B164" t="str">
        <f>IFERROR(IF(0=LEN(ReferenceData!$B$164),"",ReferenceData!$B$164),"")</f>
        <v/>
      </c>
      <c r="C164" t="str">
        <f>IFERROR(IF(0=LEN(ReferenceData!$C$164),"",ReferenceData!$C$164),"")</f>
        <v/>
      </c>
      <c r="D164" t="str">
        <f>IFERROR(IF(0=LEN(ReferenceData!$D$164),"",ReferenceData!$D$164),"")</f>
        <v/>
      </c>
      <c r="E164" t="str">
        <f>IFERROR(IF(0=LEN(ReferenceData!$E$164),"",ReferenceData!$E$164),"")</f>
        <v>Sum</v>
      </c>
      <c r="F164">
        <f ca="1">IFERROR(IF(0=LEN(ReferenceData!$F$164),"",ReferenceData!$F$164),"")</f>
        <v>12.288371123999999</v>
      </c>
      <c r="G164">
        <f ca="1">IFERROR(IF(0=LEN(ReferenceData!$G$164),"",ReferenceData!$G$164),"")</f>
        <v>31.401619032000003</v>
      </c>
      <c r="H164">
        <f ca="1">IFERROR(IF(0=LEN(ReferenceData!$H$164),"",ReferenceData!$H$164),"")</f>
        <v>30.199474762999991</v>
      </c>
      <c r="I164">
        <f ca="1">IFERROR(IF(0=LEN(ReferenceData!$I$164),"",ReferenceData!$I$164),"")</f>
        <v>29.866094697000001</v>
      </c>
      <c r="J164">
        <f ca="1">IFERROR(IF(0=LEN(ReferenceData!$J$164),"",ReferenceData!$J$164),"")</f>
        <v>28.555104413000002</v>
      </c>
    </row>
    <row r="165" spans="1:10" x14ac:dyDescent="0.25">
      <c r="A165" t="str">
        <f>IFERROR(IF(0=LEN(ReferenceData!$A$165),"",ReferenceData!$A$165),"")</f>
        <v xml:space="preserve">                    Ambev SA</v>
      </c>
      <c r="B165" t="str">
        <f>IFERROR(IF(0=LEN(ReferenceData!$B$165),"",ReferenceData!$B$165),"")</f>
        <v>ABEV3 BZ Equity</v>
      </c>
      <c r="C165" t="str">
        <f>IFERROR(IF(0=LEN(ReferenceData!$C$165),"",ReferenceData!$C$165),"")</f>
        <v>F0946</v>
      </c>
      <c r="D165" t="str">
        <f>IFERROR(IF(0=LEN(ReferenceData!$D$165),"",ReferenceData!$D$165),"")</f>
        <v>TOTAL_GHG_CO2_EMISSIONS</v>
      </c>
      <c r="E165" t="str">
        <f>IFERROR(IF(0=LEN(ReferenceData!$E$165),"",ReferenceData!$E$165),"")</f>
        <v>Dynamic</v>
      </c>
      <c r="F165">
        <f ca="1">IFERROR(IF(0=LEN(ReferenceData!$F$165),"",ReferenceData!$F$165),"")</f>
        <v>0.26643798800000001</v>
      </c>
      <c r="G165">
        <f ca="1">IFERROR(IF(0=LEN(ReferenceData!$G$165),"",ReferenceData!$G$165),"")</f>
        <v>0.54079199200000005</v>
      </c>
      <c r="H165">
        <f ca="1">IFERROR(IF(0=LEN(ReferenceData!$H$165),"",ReferenceData!$H$165),"")</f>
        <v>0.507602997</v>
      </c>
      <c r="I165">
        <f ca="1">IFERROR(IF(0=LEN(ReferenceData!$I$165),"",ReferenceData!$I$165),"")</f>
        <v>0.51742401100000002</v>
      </c>
      <c r="J165">
        <f ca="1">IFERROR(IF(0=LEN(ReferenceData!$J$165),"",ReferenceData!$J$165),"")</f>
        <v>0.411213989</v>
      </c>
    </row>
    <row r="166" spans="1:10" x14ac:dyDescent="0.25">
      <c r="A166" t="str">
        <f>IFERROR(IF(0=LEN(ReferenceData!$A$166),"",ReferenceData!$A$166),"")</f>
        <v xml:space="preserve">                    Anadolu Efes Biracilik Ve Malt</v>
      </c>
      <c r="B166" t="str">
        <f>IFERROR(IF(0=LEN(ReferenceData!$B$166),"",ReferenceData!$B$166),"")</f>
        <v>AEFES TI Equity</v>
      </c>
      <c r="C166" t="str">
        <f>IFERROR(IF(0=LEN(ReferenceData!$C$166),"",ReferenceData!$C$166),"")</f>
        <v>F0946</v>
      </c>
      <c r="D166" t="str">
        <f>IFERROR(IF(0=LEN(ReferenceData!$D$166),"",ReferenceData!$D$166),"")</f>
        <v>TOTAL_GHG_CO2_EMISSIONS</v>
      </c>
      <c r="E166" t="str">
        <f>IFERROR(IF(0=LEN(ReferenceData!$E$166),"",ReferenceData!$E$166),"")</f>
        <v>Dynamic</v>
      </c>
      <c r="F166" t="str">
        <f ca="1">IFERROR(IF(0=LEN(ReferenceData!$F$166),"",ReferenceData!$F$166),"")</f>
        <v/>
      </c>
      <c r="G166">
        <f ca="1">IFERROR(IF(0=LEN(ReferenceData!$G$166),"",ReferenceData!$G$166),"")</f>
        <v>0.400309998</v>
      </c>
      <c r="H166">
        <f ca="1">IFERROR(IF(0=LEN(ReferenceData!$H$166),"",ReferenceData!$H$166),"")</f>
        <v>0.337862</v>
      </c>
      <c r="I166">
        <f ca="1">IFERROR(IF(0=LEN(ReferenceData!$I$166),"",ReferenceData!$I$166),"")</f>
        <v>0.35610699499999998</v>
      </c>
      <c r="J166">
        <f ca="1">IFERROR(IF(0=LEN(ReferenceData!$J$166),"",ReferenceData!$J$166),"")</f>
        <v>0.36538198900000002</v>
      </c>
    </row>
    <row r="167" spans="1:10" x14ac:dyDescent="0.25">
      <c r="A167" t="str">
        <f>IFERROR(IF(0=LEN(ReferenceData!$A$167),"",ReferenceData!$A$167),"")</f>
        <v xml:space="preserve">                    Andrew Peller Ltd</v>
      </c>
      <c r="B167" t="str">
        <f>IFERROR(IF(0=LEN(ReferenceData!$B$167),"",ReferenceData!$B$167),"")</f>
        <v>ADW/A CN Equity</v>
      </c>
      <c r="C167" t="str">
        <f>IFERROR(IF(0=LEN(ReferenceData!$C$167),"",ReferenceData!$C$167),"")</f>
        <v>F0946</v>
      </c>
      <c r="D167" t="str">
        <f>IFERROR(IF(0=LEN(ReferenceData!$D$167),"",ReferenceData!$D$167),"")</f>
        <v>TOTAL_GHG_CO2_EMISSIONS</v>
      </c>
      <c r="E167" t="str">
        <f>IFERROR(IF(0=LEN(ReferenceData!$E$167),"",ReferenceData!$E$167),"")</f>
        <v>Dynamic</v>
      </c>
      <c r="F167" t="str">
        <f ca="1">IFERROR(IF(0=LEN(ReferenceData!$F$167),"",ReferenceData!$F$167),"")</f>
        <v/>
      </c>
      <c r="G167" t="str">
        <f ca="1">IFERROR(IF(0=LEN(ReferenceData!$G$167),"",ReferenceData!$G$167),"")</f>
        <v/>
      </c>
      <c r="H167" t="str">
        <f ca="1">IFERROR(IF(0=LEN(ReferenceData!$H$167),"",ReferenceData!$H$167),"")</f>
        <v/>
      </c>
      <c r="I167" t="str">
        <f ca="1">IFERROR(IF(0=LEN(ReferenceData!$I$167),"",ReferenceData!$I$167),"")</f>
        <v/>
      </c>
      <c r="J167" t="str">
        <f ca="1">IFERROR(IF(0=LEN(ReferenceData!$J$167),"",ReferenceData!$J$167),"")</f>
        <v/>
      </c>
    </row>
    <row r="168" spans="1:10" x14ac:dyDescent="0.25">
      <c r="A168" t="str">
        <f>IFERROR(IF(0=LEN(ReferenceData!$A$168),"",ReferenceData!$A$168),"")</f>
        <v xml:space="preserve">                    Anheuser-Busch InBev SA/NV</v>
      </c>
      <c r="B168" t="str">
        <f>IFERROR(IF(0=LEN(ReferenceData!$B$168),"",ReferenceData!$B$168),"")</f>
        <v>ABI BB Equity</v>
      </c>
      <c r="C168" t="str">
        <f>IFERROR(IF(0=LEN(ReferenceData!$C$168),"",ReferenceData!$C$168),"")</f>
        <v>F0946</v>
      </c>
      <c r="D168" t="str">
        <f>IFERROR(IF(0=LEN(ReferenceData!$D$168),"",ReferenceData!$D$168),"")</f>
        <v>TOTAL_GHG_CO2_EMISSIONS</v>
      </c>
      <c r="E168" t="str">
        <f>IFERROR(IF(0=LEN(ReferenceData!$E$168),"",ReferenceData!$E$168),"")</f>
        <v>Dynamic</v>
      </c>
      <c r="F168">
        <f ca="1">IFERROR(IF(0=LEN(ReferenceData!$F$168),"",ReferenceData!$F$168),"")</f>
        <v>3.68</v>
      </c>
      <c r="G168">
        <f ca="1">IFERROR(IF(0=LEN(ReferenceData!$G$168),"",ReferenceData!$G$168),"")</f>
        <v>5.1978901369999999</v>
      </c>
      <c r="H168">
        <f ca="1">IFERROR(IF(0=LEN(ReferenceData!$H$168),"",ReferenceData!$H$168),"")</f>
        <v>4.71</v>
      </c>
      <c r="I168">
        <f ca="1">IFERROR(IF(0=LEN(ReferenceData!$I$168),"",ReferenceData!$I$168),"")</f>
        <v>5.36</v>
      </c>
      <c r="J168">
        <f ca="1">IFERROR(IF(0=LEN(ReferenceData!$J$168),"",ReferenceData!$J$168),"")</f>
        <v>6.03</v>
      </c>
    </row>
    <row r="169" spans="1:10" x14ac:dyDescent="0.25">
      <c r="A169" t="str">
        <f>IFERROR(IF(0=LEN(ReferenceData!$A$169),"",ReferenceData!$A$169),"")</f>
        <v xml:space="preserve">                    Arca Continental SAB de CV</v>
      </c>
      <c r="B169" t="str">
        <f>IFERROR(IF(0=LEN(ReferenceData!$B$169),"",ReferenceData!$B$169),"")</f>
        <v>AC* MM Equity</v>
      </c>
      <c r="C169" t="str">
        <f>IFERROR(IF(0=LEN(ReferenceData!$C$169),"",ReferenceData!$C$169),"")</f>
        <v>F0946</v>
      </c>
      <c r="D169" t="str">
        <f>IFERROR(IF(0=LEN(ReferenceData!$D$169),"",ReferenceData!$D$169),"")</f>
        <v>TOTAL_GHG_CO2_EMISSIONS</v>
      </c>
      <c r="E169" t="str">
        <f>IFERROR(IF(0=LEN(ReferenceData!$E$169),"",ReferenceData!$E$169),"")</f>
        <v>Dynamic</v>
      </c>
      <c r="F169">
        <f ca="1">IFERROR(IF(0=LEN(ReferenceData!$F$169),"",ReferenceData!$F$169),"")</f>
        <v>0.43939999400000002</v>
      </c>
      <c r="G169">
        <f ca="1">IFERROR(IF(0=LEN(ReferenceData!$G$169),"",ReferenceData!$G$169),"")</f>
        <v>0.33295001200000002</v>
      </c>
      <c r="H169">
        <f ca="1">IFERROR(IF(0=LEN(ReferenceData!$H$169),"",ReferenceData!$H$169),"")</f>
        <v>0.95299298099999996</v>
      </c>
      <c r="I169">
        <f ca="1">IFERROR(IF(0=LEN(ReferenceData!$I$169),"",ReferenceData!$I$169),"")</f>
        <v>0.49322399900000002</v>
      </c>
      <c r="J169">
        <f ca="1">IFERROR(IF(0=LEN(ReferenceData!$J$169),"",ReferenceData!$J$169),"")</f>
        <v>0.44545001200000001</v>
      </c>
    </row>
    <row r="170" spans="1:10" x14ac:dyDescent="0.25">
      <c r="A170" t="str">
        <f>IFERROR(IF(0=LEN(ReferenceData!$A$170),"",ReferenceData!$A$170),"")</f>
        <v xml:space="preserve">                    Asahi Group Holdings Ltd</v>
      </c>
      <c r="B170" t="str">
        <f>IFERROR(IF(0=LEN(ReferenceData!$B$170),"",ReferenceData!$B$170),"")</f>
        <v>2502 JP Equity</v>
      </c>
      <c r="C170" t="str">
        <f>IFERROR(IF(0=LEN(ReferenceData!$C$170),"",ReferenceData!$C$170),"")</f>
        <v>F0946</v>
      </c>
      <c r="D170" t="str">
        <f>IFERROR(IF(0=LEN(ReferenceData!$D$170),"",ReferenceData!$D$170),"")</f>
        <v>TOTAL_GHG_CO2_EMISSIONS</v>
      </c>
      <c r="E170" t="str">
        <f>IFERROR(IF(0=LEN(ReferenceData!$E$170),"",ReferenceData!$E$170),"")</f>
        <v>Dynamic</v>
      </c>
      <c r="F170" t="str">
        <f ca="1">IFERROR(IF(0=LEN(ReferenceData!$F$170),"",ReferenceData!$F$170),"")</f>
        <v/>
      </c>
      <c r="G170">
        <f ca="1">IFERROR(IF(0=LEN(ReferenceData!$G$170),"",ReferenceData!$G$170),"")</f>
        <v>0.80078698699999995</v>
      </c>
      <c r="H170">
        <f ca="1">IFERROR(IF(0=LEN(ReferenceData!$H$170),"",ReferenceData!$H$170),"")</f>
        <v>0.83</v>
      </c>
      <c r="I170">
        <f ca="1">IFERROR(IF(0=LEN(ReferenceData!$I$170),"",ReferenceData!$I$170),"")</f>
        <v>0.90900000000000003</v>
      </c>
      <c r="J170">
        <f ca="1">IFERROR(IF(0=LEN(ReferenceData!$J$170),"",ReferenceData!$J$170),"")</f>
        <v>0.88200000000000001</v>
      </c>
    </row>
    <row r="171" spans="1:10" x14ac:dyDescent="0.25">
      <c r="A171" t="str">
        <f>IFERROR(IF(0=LEN(ReferenceData!$A$171),"",ReferenceData!$A$171),"")</f>
        <v xml:space="preserve">                    Beijing Yanjing Brewery Co Ltd</v>
      </c>
      <c r="B171" t="str">
        <f>IFERROR(IF(0=LEN(ReferenceData!$B$171),"",ReferenceData!$B$171),"")</f>
        <v>000729 CH Equity</v>
      </c>
      <c r="C171" t="str">
        <f>IFERROR(IF(0=LEN(ReferenceData!$C$171),"",ReferenceData!$C$171),"")</f>
        <v>F0946</v>
      </c>
      <c r="D171" t="str">
        <f>IFERROR(IF(0=LEN(ReferenceData!$D$171),"",ReferenceData!$D$171),"")</f>
        <v>TOTAL_GHG_CO2_EMISSIONS</v>
      </c>
      <c r="E171" t="str">
        <f>IFERROR(IF(0=LEN(ReferenceData!$E$171),"",ReferenceData!$E$171),"")</f>
        <v>Dynamic</v>
      </c>
      <c r="F171">
        <f ca="1">IFERROR(IF(0=LEN(ReferenceData!$F$171),"",ReferenceData!$F$171),"")</f>
        <v>0.75310498100000001</v>
      </c>
      <c r="G171">
        <f ca="1">IFERROR(IF(0=LEN(ReferenceData!$G$171),"",ReferenceData!$G$171),"")</f>
        <v>0.783713989</v>
      </c>
      <c r="H171" t="str">
        <f ca="1">IFERROR(IF(0=LEN(ReferenceData!$H$171),"",ReferenceData!$H$171),"")</f>
        <v/>
      </c>
      <c r="I171" t="str">
        <f ca="1">IFERROR(IF(0=LEN(ReferenceData!$I$171),"",ReferenceData!$I$171),"")</f>
        <v/>
      </c>
      <c r="J171" t="str">
        <f ca="1">IFERROR(IF(0=LEN(ReferenceData!$J$171),"",ReferenceData!$J$171),"")</f>
        <v/>
      </c>
    </row>
    <row r="172" spans="1:10" x14ac:dyDescent="0.25">
      <c r="A172" t="str">
        <f>IFERROR(IF(0=LEN(ReferenceData!$A$172),"",ReferenceData!$A$172),"")</f>
        <v xml:space="preserve">                    Boston Beer Co Inc/The</v>
      </c>
      <c r="B172" t="str">
        <f>IFERROR(IF(0=LEN(ReferenceData!$B$172),"",ReferenceData!$B$172),"")</f>
        <v>SAM US Equity</v>
      </c>
      <c r="C172" t="str">
        <f>IFERROR(IF(0=LEN(ReferenceData!$C$172),"",ReferenceData!$C$172),"")</f>
        <v>F0946</v>
      </c>
      <c r="D172" t="str">
        <f>IFERROR(IF(0=LEN(ReferenceData!$D$172),"",ReferenceData!$D$172),"")</f>
        <v>TOTAL_GHG_CO2_EMISSIONS</v>
      </c>
      <c r="E172" t="str">
        <f>IFERROR(IF(0=LEN(ReferenceData!$E$172),"",ReferenceData!$E$172),"")</f>
        <v>Dynamic</v>
      </c>
      <c r="F172" t="str">
        <f ca="1">IFERROR(IF(0=LEN(ReferenceData!$F$172),"",ReferenceData!$F$172),"")</f>
        <v/>
      </c>
      <c r="G172" t="str">
        <f ca="1">IFERROR(IF(0=LEN(ReferenceData!$G$172),"",ReferenceData!$G$172),"")</f>
        <v/>
      </c>
      <c r="H172" t="str">
        <f ca="1">IFERROR(IF(0=LEN(ReferenceData!$H$172),"",ReferenceData!$H$172),"")</f>
        <v/>
      </c>
      <c r="I172" t="str">
        <f ca="1">IFERROR(IF(0=LEN(ReferenceData!$I$172),"",ReferenceData!$I$172),"")</f>
        <v/>
      </c>
      <c r="J172" t="str">
        <f ca="1">IFERROR(IF(0=LEN(ReferenceData!$J$172),"",ReferenceData!$J$172),"")</f>
        <v/>
      </c>
    </row>
    <row r="173" spans="1:10" x14ac:dyDescent="0.25">
      <c r="A173" t="str">
        <f>IFERROR(IF(0=LEN(ReferenceData!$A$173),"",ReferenceData!$A$173),"")</f>
        <v xml:space="preserve">                    Britvic PLC</v>
      </c>
      <c r="B173" t="str">
        <f>IFERROR(IF(0=LEN(ReferenceData!$B$173),"",ReferenceData!$B$173),"")</f>
        <v>BVIC LN Equity</v>
      </c>
      <c r="C173" t="str">
        <f>IFERROR(IF(0=LEN(ReferenceData!$C$173),"",ReferenceData!$C$173),"")</f>
        <v>F0946</v>
      </c>
      <c r="D173" t="str">
        <f>IFERROR(IF(0=LEN(ReferenceData!$D$173),"",ReferenceData!$D$173),"")</f>
        <v>TOTAL_GHG_CO2_EMISSIONS</v>
      </c>
      <c r="E173" t="str">
        <f>IFERROR(IF(0=LEN(ReferenceData!$E$173),"",ReferenceData!$E$173),"")</f>
        <v>Dynamic</v>
      </c>
      <c r="F173">
        <f ca="1">IFERROR(IF(0=LEN(ReferenceData!$F$173),"",ReferenceData!$F$173),"")</f>
        <v>4.4019999999999997E-2</v>
      </c>
      <c r="G173">
        <f ca="1">IFERROR(IF(0=LEN(ReferenceData!$G$173),"",ReferenceData!$G$173),"")</f>
        <v>4.7160000000000001E-2</v>
      </c>
      <c r="H173">
        <f ca="1">IFERROR(IF(0=LEN(ReferenceData!$H$173),"",ReferenceData!$H$173),"")</f>
        <v>5.4800999000000003E-2</v>
      </c>
      <c r="I173">
        <f ca="1">IFERROR(IF(0=LEN(ReferenceData!$I$173),"",ReferenceData!$I$173),"")</f>
        <v>6.2825001000000005E-2</v>
      </c>
      <c r="J173">
        <f ca="1">IFERROR(IF(0=LEN(ReferenceData!$J$173),"",ReferenceData!$J$173),"")</f>
        <v>6.1131000999999997E-2</v>
      </c>
    </row>
    <row r="174" spans="1:10" x14ac:dyDescent="0.25">
      <c r="A174" t="str">
        <f>IFERROR(IF(0=LEN(ReferenceData!$A$174),"",ReferenceData!$A$174),"")</f>
        <v xml:space="preserve">                    Becle SAB de CV</v>
      </c>
      <c r="B174" t="str">
        <f>IFERROR(IF(0=LEN(ReferenceData!$B$174),"",ReferenceData!$B$174),"")</f>
        <v>CUERVO* MM Equity</v>
      </c>
      <c r="C174" t="str">
        <f>IFERROR(IF(0=LEN(ReferenceData!$C$174),"",ReferenceData!$C$174),"")</f>
        <v>F0946</v>
      </c>
      <c r="D174" t="str">
        <f>IFERROR(IF(0=LEN(ReferenceData!$D$174),"",ReferenceData!$D$174),"")</f>
        <v>TOTAL_GHG_CO2_EMISSIONS</v>
      </c>
      <c r="E174" t="str">
        <f>IFERROR(IF(0=LEN(ReferenceData!$E$174),"",ReferenceData!$E$174),"")</f>
        <v>Dynamic</v>
      </c>
      <c r="F174" t="str">
        <f ca="1">IFERROR(IF(0=LEN(ReferenceData!$F$174),"",ReferenceData!$F$174),"")</f>
        <v/>
      </c>
      <c r="G174" t="str">
        <f ca="1">IFERROR(IF(0=LEN(ReferenceData!$G$174),"",ReferenceData!$G$174),"")</f>
        <v/>
      </c>
      <c r="H174" t="str">
        <f ca="1">IFERROR(IF(0=LEN(ReferenceData!$H$174),"",ReferenceData!$H$174),"")</f>
        <v/>
      </c>
      <c r="I174" t="str">
        <f ca="1">IFERROR(IF(0=LEN(ReferenceData!$I$174),"",ReferenceData!$I$174),"")</f>
        <v/>
      </c>
      <c r="J174" t="str">
        <f ca="1">IFERROR(IF(0=LEN(ReferenceData!$J$174),"",ReferenceData!$J$174),"")</f>
        <v/>
      </c>
    </row>
    <row r="175" spans="1:10" x14ac:dyDescent="0.25">
      <c r="A175" t="str">
        <f>IFERROR(IF(0=LEN(ReferenceData!$A$175),"",ReferenceData!$A$175),"")</f>
        <v xml:space="preserve">                    Brown-Forman Corp</v>
      </c>
      <c r="B175" t="str">
        <f>IFERROR(IF(0=LEN(ReferenceData!$B$175),"",ReferenceData!$B$175),"")</f>
        <v>BF/B US Equity</v>
      </c>
      <c r="C175" t="str">
        <f>IFERROR(IF(0=LEN(ReferenceData!$C$175),"",ReferenceData!$C$175),"")</f>
        <v>F0946</v>
      </c>
      <c r="D175" t="str">
        <f>IFERROR(IF(0=LEN(ReferenceData!$D$175),"",ReferenceData!$D$175),"")</f>
        <v>TOTAL_GHG_CO2_EMISSIONS</v>
      </c>
      <c r="E175" t="str">
        <f>IFERROR(IF(0=LEN(ReferenceData!$E$175),"",ReferenceData!$E$175),"")</f>
        <v>Dynamic</v>
      </c>
      <c r="F175" t="str">
        <f ca="1">IFERROR(IF(0=LEN(ReferenceData!$F$175),"",ReferenceData!$F$175),"")</f>
        <v/>
      </c>
      <c r="G175">
        <f ca="1">IFERROR(IF(0=LEN(ReferenceData!$G$175),"",ReferenceData!$G$175),"")</f>
        <v>0.111765999</v>
      </c>
      <c r="H175">
        <f ca="1">IFERROR(IF(0=LEN(ReferenceData!$H$175),"",ReferenceData!$H$175),"")</f>
        <v>0.15652200299999999</v>
      </c>
      <c r="I175">
        <f ca="1">IFERROR(IF(0=LEN(ReferenceData!$I$175),"",ReferenceData!$I$175),"")</f>
        <v>0.18690000000000001</v>
      </c>
      <c r="J175">
        <f ca="1">IFERROR(IF(0=LEN(ReferenceData!$J$175),"",ReferenceData!$J$175),"")</f>
        <v>0.184675003</v>
      </c>
    </row>
    <row r="176" spans="1:10" x14ac:dyDescent="0.25">
      <c r="A176" t="str">
        <f>IFERROR(IF(0=LEN(ReferenceData!$A$176),"",ReferenceData!$A$176),"")</f>
        <v xml:space="preserve">                    Celsius Holdings Inc</v>
      </c>
      <c r="B176" t="str">
        <f>IFERROR(IF(0=LEN(ReferenceData!$B$176),"",ReferenceData!$B$176),"")</f>
        <v>CELH US Equity</v>
      </c>
      <c r="C176" t="str">
        <f>IFERROR(IF(0=LEN(ReferenceData!$C$176),"",ReferenceData!$C$176),"")</f>
        <v>F0946</v>
      </c>
      <c r="D176" t="str">
        <f>IFERROR(IF(0=LEN(ReferenceData!$D$176),"",ReferenceData!$D$176),"")</f>
        <v>TOTAL_GHG_CO2_EMISSIONS</v>
      </c>
      <c r="E176" t="str">
        <f>IFERROR(IF(0=LEN(ReferenceData!$E$176),"",ReferenceData!$E$176),"")</f>
        <v>Dynamic</v>
      </c>
      <c r="F176" t="str">
        <f ca="1">IFERROR(IF(0=LEN(ReferenceData!$F$176),"",ReferenceData!$F$176),"")</f>
        <v/>
      </c>
      <c r="G176" t="str">
        <f ca="1">IFERROR(IF(0=LEN(ReferenceData!$G$176),"",ReferenceData!$G$176),"")</f>
        <v/>
      </c>
      <c r="H176" t="str">
        <f ca="1">IFERROR(IF(0=LEN(ReferenceData!$H$176),"",ReferenceData!$H$176),"")</f>
        <v/>
      </c>
      <c r="I176" t="str">
        <f ca="1">IFERROR(IF(0=LEN(ReferenceData!$I$176),"",ReferenceData!$I$176),"")</f>
        <v/>
      </c>
      <c r="J176" t="str">
        <f ca="1">IFERROR(IF(0=LEN(ReferenceData!$J$176),"",ReferenceData!$J$176),"")</f>
        <v/>
      </c>
    </row>
    <row r="177" spans="1:10" x14ac:dyDescent="0.25">
      <c r="A177" t="str">
        <f>IFERROR(IF(0=LEN(ReferenceData!$A$177),"",ReferenceData!$A$177),"")</f>
        <v xml:space="preserve">                    China Foods Ltd</v>
      </c>
      <c r="B177" t="str">
        <f>IFERROR(IF(0=LEN(ReferenceData!$B$177),"",ReferenceData!$B$177),"")</f>
        <v>506 HK Equity</v>
      </c>
      <c r="C177" t="str">
        <f>IFERROR(IF(0=LEN(ReferenceData!$C$177),"",ReferenceData!$C$177),"")</f>
        <v>F0946</v>
      </c>
      <c r="D177" t="str">
        <f>IFERROR(IF(0=LEN(ReferenceData!$D$177),"",ReferenceData!$D$177),"")</f>
        <v>TOTAL_GHG_CO2_EMISSIONS</v>
      </c>
      <c r="E177" t="str">
        <f>IFERROR(IF(0=LEN(ReferenceData!$E$177),"",ReferenceData!$E$177),"")</f>
        <v>Dynamic</v>
      </c>
      <c r="F177">
        <f ca="1">IFERROR(IF(0=LEN(ReferenceData!$F$177),"",ReferenceData!$F$177),"")</f>
        <v>0.25936499000000002</v>
      </c>
      <c r="G177">
        <f ca="1">IFERROR(IF(0=LEN(ReferenceData!$G$177),"",ReferenceData!$G$177),"")</f>
        <v>0.27636898799999998</v>
      </c>
      <c r="H177">
        <f ca="1">IFERROR(IF(0=LEN(ReferenceData!$H$177),"",ReferenceData!$H$177),"")</f>
        <v>0.29399999999999998</v>
      </c>
      <c r="I177">
        <f ca="1">IFERROR(IF(0=LEN(ReferenceData!$I$177),"",ReferenceData!$I$177),"")</f>
        <v>2.4E-2</v>
      </c>
      <c r="J177">
        <f ca="1">IFERROR(IF(0=LEN(ReferenceData!$J$177),"",ReferenceData!$J$177),"")</f>
        <v>2.3E-2</v>
      </c>
    </row>
    <row r="178" spans="1:10" x14ac:dyDescent="0.25">
      <c r="A178" t="str">
        <f>IFERROR(IF(0=LEN(ReferenceData!$A$178),"",ReferenceData!$A$178),"")</f>
        <v xml:space="preserve">                    Cia Cervecerias Unidas SA</v>
      </c>
      <c r="B178" t="str">
        <f>IFERROR(IF(0=LEN(ReferenceData!$B$178),"",ReferenceData!$B$178),"")</f>
        <v>CCU CI Equity</v>
      </c>
      <c r="C178" t="str">
        <f>IFERROR(IF(0=LEN(ReferenceData!$C$178),"",ReferenceData!$C$178),"")</f>
        <v>F0946</v>
      </c>
      <c r="D178" t="str">
        <f>IFERROR(IF(0=LEN(ReferenceData!$D$178),"",ReferenceData!$D$178),"")</f>
        <v>TOTAL_GHG_CO2_EMISSIONS</v>
      </c>
      <c r="E178" t="str">
        <f>IFERROR(IF(0=LEN(ReferenceData!$E$178),"",ReferenceData!$E$178),"")</f>
        <v>Dynamic</v>
      </c>
      <c r="F178" t="str">
        <f ca="1">IFERROR(IF(0=LEN(ReferenceData!$F$178),"",ReferenceData!$F$178),"")</f>
        <v/>
      </c>
      <c r="G178">
        <f ca="1">IFERROR(IF(0=LEN(ReferenceData!$G$178),"",ReferenceData!$G$178),"")</f>
        <v>0.19025799600000001</v>
      </c>
      <c r="H178">
        <f ca="1">IFERROR(IF(0=LEN(ReferenceData!$H$178),"",ReferenceData!$H$178),"")</f>
        <v>0.161074997</v>
      </c>
      <c r="I178">
        <f ca="1">IFERROR(IF(0=LEN(ReferenceData!$I$178),"",ReferenceData!$I$178),"")</f>
        <v>0.16026100200000001</v>
      </c>
      <c r="J178">
        <f ca="1">IFERROR(IF(0=LEN(ReferenceData!$J$178),"",ReferenceData!$J$178),"")</f>
        <v>0.17102499400000001</v>
      </c>
    </row>
    <row r="179" spans="1:10" x14ac:dyDescent="0.25">
      <c r="A179" t="str">
        <f>IFERROR(IF(0=LEN(ReferenceData!$A$179),"",ReferenceData!$A$179),"")</f>
        <v xml:space="preserve">                    Coca-Cola Bottlers Japan Holdi</v>
      </c>
      <c r="B179" t="str">
        <f>IFERROR(IF(0=LEN(ReferenceData!$B$179),"",ReferenceData!$B$179),"")</f>
        <v>2579 JP Equity</v>
      </c>
      <c r="C179" t="str">
        <f>IFERROR(IF(0=LEN(ReferenceData!$C$179),"",ReferenceData!$C$179),"")</f>
        <v>F0946</v>
      </c>
      <c r="D179" t="str">
        <f>IFERROR(IF(0=LEN(ReferenceData!$D$179),"",ReferenceData!$D$179),"")</f>
        <v>TOTAL_GHG_CO2_EMISSIONS</v>
      </c>
      <c r="E179" t="str">
        <f>IFERROR(IF(0=LEN(ReferenceData!$E$179),"",ReferenceData!$E$179),"")</f>
        <v>Dynamic</v>
      </c>
      <c r="F179" t="str">
        <f ca="1">IFERROR(IF(0=LEN(ReferenceData!$F$179),"",ReferenceData!$F$179),"")</f>
        <v/>
      </c>
      <c r="G179">
        <f ca="1">IFERROR(IF(0=LEN(ReferenceData!$G$179),"",ReferenceData!$G$179),"")</f>
        <v>0.35571398900000001</v>
      </c>
      <c r="H179">
        <f ca="1">IFERROR(IF(0=LEN(ReferenceData!$H$179),"",ReferenceData!$H$179),"")</f>
        <v>0.81699999999999995</v>
      </c>
      <c r="I179">
        <f ca="1">IFERROR(IF(0=LEN(ReferenceData!$I$179),"",ReferenceData!$I$179),"")</f>
        <v>0.79500000000000004</v>
      </c>
      <c r="J179">
        <f ca="1">IFERROR(IF(0=LEN(ReferenceData!$J$179),"",ReferenceData!$J$179),"")</f>
        <v>0.41594601399999998</v>
      </c>
    </row>
    <row r="180" spans="1:10" x14ac:dyDescent="0.25">
      <c r="A180" t="str">
        <f>IFERROR(IF(0=LEN(ReferenceData!$A$180),"",ReferenceData!$A$180),"")</f>
        <v xml:space="preserve">                    Coca-Cola Co/The</v>
      </c>
      <c r="B180" t="str">
        <f>IFERROR(IF(0=LEN(ReferenceData!$B$180),"",ReferenceData!$B$180),"")</f>
        <v>KO US Equity</v>
      </c>
      <c r="C180" t="str">
        <f>IFERROR(IF(0=LEN(ReferenceData!$C$180),"",ReferenceData!$C$180),"")</f>
        <v>F0946</v>
      </c>
      <c r="D180" t="str">
        <f>IFERROR(IF(0=LEN(ReferenceData!$D$180),"",ReferenceData!$D$180),"")</f>
        <v>TOTAL_GHG_CO2_EMISSIONS</v>
      </c>
      <c r="E180" t="str">
        <f>IFERROR(IF(0=LEN(ReferenceData!$E$180),"",ReferenceData!$E$180),"")</f>
        <v>Dynamic</v>
      </c>
      <c r="F180" t="str">
        <f ca="1">IFERROR(IF(0=LEN(ReferenceData!$F$180),"",ReferenceData!$F$180),"")</f>
        <v/>
      </c>
      <c r="G180">
        <f ca="1">IFERROR(IF(0=LEN(ReferenceData!$G$180),"",ReferenceData!$G$180),"")</f>
        <v>1.4253399659999999</v>
      </c>
      <c r="H180">
        <f ca="1">IFERROR(IF(0=LEN(ReferenceData!$H$180),"",ReferenceData!$H$180),"")</f>
        <v>1.596170044</v>
      </c>
      <c r="I180">
        <f ca="1">IFERROR(IF(0=LEN(ReferenceData!$I$180),"",ReferenceData!$I$180),"")</f>
        <v>1.5559399410000001</v>
      </c>
      <c r="J180">
        <f ca="1">IFERROR(IF(0=LEN(ReferenceData!$J$180),"",ReferenceData!$J$180),"")</f>
        <v>1.508069946</v>
      </c>
    </row>
    <row r="181" spans="1:10" x14ac:dyDescent="0.25">
      <c r="A181" t="str">
        <f>IFERROR(IF(0=LEN(ReferenceData!$A$181),"",ReferenceData!$A$181),"")</f>
        <v xml:space="preserve">                    Coca-Cola Consolidated Inc</v>
      </c>
      <c r="B181" t="str">
        <f>IFERROR(IF(0=LEN(ReferenceData!$B$181),"",ReferenceData!$B$181),"")</f>
        <v>COKE US Equity</v>
      </c>
      <c r="C181" t="str">
        <f>IFERROR(IF(0=LEN(ReferenceData!$C$181),"",ReferenceData!$C$181),"")</f>
        <v>F0946</v>
      </c>
      <c r="D181" t="str">
        <f>IFERROR(IF(0=LEN(ReferenceData!$D$181),"",ReferenceData!$D$181),"")</f>
        <v>TOTAL_GHG_CO2_EMISSIONS</v>
      </c>
      <c r="E181" t="str">
        <f>IFERROR(IF(0=LEN(ReferenceData!$E$181),"",ReferenceData!$E$181),"")</f>
        <v>Dynamic</v>
      </c>
      <c r="F181" t="str">
        <f ca="1">IFERROR(IF(0=LEN(ReferenceData!$F$181),"",ReferenceData!$F$181),"")</f>
        <v/>
      </c>
      <c r="G181" t="str">
        <f ca="1">IFERROR(IF(0=LEN(ReferenceData!$G$181),"",ReferenceData!$G$181),"")</f>
        <v/>
      </c>
      <c r="H181" t="str">
        <f ca="1">IFERROR(IF(0=LEN(ReferenceData!$H$181),"",ReferenceData!$H$181),"")</f>
        <v/>
      </c>
      <c r="I181" t="str">
        <f ca="1">IFERROR(IF(0=LEN(ReferenceData!$I$181),"",ReferenceData!$I$181),"")</f>
        <v/>
      </c>
      <c r="J181" t="str">
        <f ca="1">IFERROR(IF(0=LEN(ReferenceData!$J$181),"",ReferenceData!$J$181),"")</f>
        <v/>
      </c>
    </row>
    <row r="182" spans="1:10" x14ac:dyDescent="0.25">
      <c r="A182" t="str">
        <f>IFERROR(IF(0=LEN(ReferenceData!$A$182),"",ReferenceData!$A$182),"")</f>
        <v xml:space="preserve">                    Coca-Cola Icecek AS</v>
      </c>
      <c r="B182" t="str">
        <f>IFERROR(IF(0=LEN(ReferenceData!$B$182),"",ReferenceData!$B$182),"")</f>
        <v>CCOLA TI Equity</v>
      </c>
      <c r="C182" t="str">
        <f>IFERROR(IF(0=LEN(ReferenceData!$C$182),"",ReferenceData!$C$182),"")</f>
        <v>F0946</v>
      </c>
      <c r="D182" t="str">
        <f>IFERROR(IF(0=LEN(ReferenceData!$D$182),"",ReferenceData!$D$182),"")</f>
        <v>TOTAL_GHG_CO2_EMISSIONS</v>
      </c>
      <c r="E182" t="str">
        <f>IFERROR(IF(0=LEN(ReferenceData!$E$182),"",ReferenceData!$E$182),"")</f>
        <v>Dynamic</v>
      </c>
      <c r="F182" t="str">
        <f ca="1">IFERROR(IF(0=LEN(ReferenceData!$F$182),"",ReferenceData!$F$182),"")</f>
        <v/>
      </c>
      <c r="G182">
        <f ca="1">IFERROR(IF(0=LEN(ReferenceData!$G$182),"",ReferenceData!$G$182),"")</f>
        <v>0.34375799600000001</v>
      </c>
      <c r="H182">
        <f ca="1">IFERROR(IF(0=LEN(ReferenceData!$H$182),"",ReferenceData!$H$182),"")</f>
        <v>0.25967001299999998</v>
      </c>
      <c r="I182">
        <f ca="1">IFERROR(IF(0=LEN(ReferenceData!$I$182),"",ReferenceData!$I$182),"")</f>
        <v>0.25501400800000001</v>
      </c>
      <c r="J182">
        <f ca="1">IFERROR(IF(0=LEN(ReferenceData!$J$182),"",ReferenceData!$J$182),"")</f>
        <v>0.236014999</v>
      </c>
    </row>
    <row r="183" spans="1:10" x14ac:dyDescent="0.25">
      <c r="A183" t="str">
        <f>IFERROR(IF(0=LEN(ReferenceData!$A$183),"",ReferenceData!$A$183),"")</f>
        <v xml:space="preserve">                    Constellation Brands Inc</v>
      </c>
      <c r="B183" t="str">
        <f>IFERROR(IF(0=LEN(ReferenceData!$B$183),"",ReferenceData!$B$183),"")</f>
        <v>STZ US Equity</v>
      </c>
      <c r="C183" t="str">
        <f>IFERROR(IF(0=LEN(ReferenceData!$C$183),"",ReferenceData!$C$183),"")</f>
        <v>F0946</v>
      </c>
      <c r="D183" t="str">
        <f>IFERROR(IF(0=LEN(ReferenceData!$D$183),"",ReferenceData!$D$183),"")</f>
        <v>TOTAL_GHG_CO2_EMISSIONS</v>
      </c>
      <c r="E183" t="str">
        <f>IFERROR(IF(0=LEN(ReferenceData!$E$183),"",ReferenceData!$E$183),"")</f>
        <v>Dynamic</v>
      </c>
      <c r="F183" t="str">
        <f ca="1">IFERROR(IF(0=LEN(ReferenceData!$F$183),"",ReferenceData!$F$183),"")</f>
        <v/>
      </c>
      <c r="G183" t="str">
        <f ca="1">IFERROR(IF(0=LEN(ReferenceData!$G$183),"",ReferenceData!$G$183),"")</f>
        <v/>
      </c>
      <c r="H183">
        <f ca="1">IFERROR(IF(0=LEN(ReferenceData!$H$183),"",ReferenceData!$H$183),"")</f>
        <v>0.34747399899999998</v>
      </c>
      <c r="I183">
        <f ca="1">IFERROR(IF(0=LEN(ReferenceData!$I$183),"",ReferenceData!$I$183),"")</f>
        <v>0.374861999</v>
      </c>
      <c r="J183">
        <f ca="1">IFERROR(IF(0=LEN(ReferenceData!$J$183),"",ReferenceData!$J$183),"")</f>
        <v>0.34791198699999998</v>
      </c>
    </row>
    <row r="184" spans="1:10" x14ac:dyDescent="0.25">
      <c r="A184" t="str">
        <f>IFERROR(IF(0=LEN(ReferenceData!$A$184),"",ReferenceData!$A$184),"")</f>
        <v xml:space="preserve">                    Carlsberg AS</v>
      </c>
      <c r="B184" t="str">
        <f>IFERROR(IF(0=LEN(ReferenceData!$B$184),"",ReferenceData!$B$184),"")</f>
        <v>CARLB DC Equity</v>
      </c>
      <c r="C184" t="str">
        <f>IFERROR(IF(0=LEN(ReferenceData!$C$184),"",ReferenceData!$C$184),"")</f>
        <v>F0946</v>
      </c>
      <c r="D184" t="str">
        <f>IFERROR(IF(0=LEN(ReferenceData!$D$184),"",ReferenceData!$D$184),"")</f>
        <v>TOTAL_GHG_CO2_EMISSIONS</v>
      </c>
      <c r="E184" t="str">
        <f>IFERROR(IF(0=LEN(ReferenceData!$E$184),"",ReferenceData!$E$184),"")</f>
        <v>Dynamic</v>
      </c>
      <c r="F184" t="str">
        <f ca="1">IFERROR(IF(0=LEN(ReferenceData!$F$184),"",ReferenceData!$F$184),"")</f>
        <v/>
      </c>
      <c r="G184" t="str">
        <f ca="1">IFERROR(IF(0=LEN(ReferenceData!$G$184),"",ReferenceData!$G$184),"")</f>
        <v/>
      </c>
      <c r="H184">
        <f ca="1">IFERROR(IF(0=LEN(ReferenceData!$H$184),"",ReferenceData!$H$184),"")</f>
        <v>0.72699999999999998</v>
      </c>
      <c r="I184">
        <f ca="1">IFERROR(IF(0=LEN(ReferenceData!$I$184),"",ReferenceData!$I$184),"")</f>
        <v>0.76600000000000001</v>
      </c>
      <c r="J184">
        <f ca="1">IFERROR(IF(0=LEN(ReferenceData!$J$184),"",ReferenceData!$J$184),"")</f>
        <v>0.80100000000000005</v>
      </c>
    </row>
    <row r="185" spans="1:10" x14ac:dyDescent="0.25">
      <c r="A185" t="str">
        <f>IFERROR(IF(0=LEN(ReferenceData!$A$185),"",ReferenceData!$A$185),"")</f>
        <v xml:space="preserve">                    Coca-Cola Europacific Partners</v>
      </c>
      <c r="B185" t="str">
        <f>IFERROR(IF(0=LEN(ReferenceData!$B$185),"",ReferenceData!$B$185),"")</f>
        <v>CCEP US Equity</v>
      </c>
      <c r="C185" t="str">
        <f>IFERROR(IF(0=LEN(ReferenceData!$C$185),"",ReferenceData!$C$185),"")</f>
        <v>F0946</v>
      </c>
      <c r="D185" t="str">
        <f>IFERROR(IF(0=LEN(ReferenceData!$D$185),"",ReferenceData!$D$185),"")</f>
        <v>TOTAL_GHG_CO2_EMISSIONS</v>
      </c>
      <c r="E185" t="str">
        <f>IFERROR(IF(0=LEN(ReferenceData!$E$185),"",ReferenceData!$E$185),"")</f>
        <v>Dynamic</v>
      </c>
      <c r="F185">
        <f ca="1">IFERROR(IF(0=LEN(ReferenceData!$F$185),"",ReferenceData!$F$185),"")</f>
        <v>0.59950097700000005</v>
      </c>
      <c r="G185">
        <f ca="1">IFERROR(IF(0=LEN(ReferenceData!$G$185),"",ReferenceData!$G$185),"")</f>
        <v>0.51201599099999995</v>
      </c>
      <c r="H185">
        <f ca="1">IFERROR(IF(0=LEN(ReferenceData!$H$185),"",ReferenceData!$H$185),"")</f>
        <v>0.34092999299999999</v>
      </c>
      <c r="I185">
        <f ca="1">IFERROR(IF(0=LEN(ReferenceData!$I$185),"",ReferenceData!$I$185),"")</f>
        <v>0.40801699800000002</v>
      </c>
      <c r="J185">
        <f ca="1">IFERROR(IF(0=LEN(ReferenceData!$J$185),"",ReferenceData!$J$185),"")</f>
        <v>0.40603698700000002</v>
      </c>
    </row>
    <row r="186" spans="1:10" x14ac:dyDescent="0.25">
      <c r="A186" t="str">
        <f>IFERROR(IF(0=LEN(ReferenceData!$A$186),"",ReferenceData!$A$186),"")</f>
        <v xml:space="preserve">                    Coca-Cola Femsa SAB de CV</v>
      </c>
      <c r="B186" t="str">
        <f>IFERROR(IF(0=LEN(ReferenceData!$B$186),"",ReferenceData!$B$186),"")</f>
        <v>KOFUBL MM Equity</v>
      </c>
      <c r="C186" t="str">
        <f>IFERROR(IF(0=LEN(ReferenceData!$C$186),"",ReferenceData!$C$186),"")</f>
        <v>F0946</v>
      </c>
      <c r="D186" t="str">
        <f>IFERROR(IF(0=LEN(ReferenceData!$D$186),"",ReferenceData!$D$186),"")</f>
        <v>TOTAL_GHG_CO2_EMISSIONS</v>
      </c>
      <c r="E186" t="str">
        <f>IFERROR(IF(0=LEN(ReferenceData!$E$186),"",ReferenceData!$E$186),"")</f>
        <v>Dynamic</v>
      </c>
      <c r="F186" t="str">
        <f ca="1">IFERROR(IF(0=LEN(ReferenceData!$F$186),"",ReferenceData!$F$186),"")</f>
        <v/>
      </c>
      <c r="G186">
        <f ca="1">IFERROR(IF(0=LEN(ReferenceData!$G$186),"",ReferenceData!$G$186),"")</f>
        <v>0.12790100099999999</v>
      </c>
      <c r="H186">
        <f ca="1">IFERROR(IF(0=LEN(ReferenceData!$H$186),"",ReferenceData!$H$186),"")</f>
        <v>0.242119995</v>
      </c>
      <c r="I186">
        <f ca="1">IFERROR(IF(0=LEN(ReferenceData!$I$186),"",ReferenceData!$I$186),"")</f>
        <v>0.255300003</v>
      </c>
      <c r="J186">
        <f ca="1">IFERROR(IF(0=LEN(ReferenceData!$J$186),"",ReferenceData!$J$186),"")</f>
        <v>0.23250000000000001</v>
      </c>
    </row>
    <row r="187" spans="1:10" x14ac:dyDescent="0.25">
      <c r="A187" t="str">
        <f>IFERROR(IF(0=LEN(ReferenceData!$A$187),"",ReferenceData!$A$187),"")</f>
        <v xml:space="preserve">                    Coca-Cola HBC AG</v>
      </c>
      <c r="B187" t="str">
        <f>IFERROR(IF(0=LEN(ReferenceData!$B$187),"",ReferenceData!$B$187),"")</f>
        <v>CCH LN Equity</v>
      </c>
      <c r="C187" t="str">
        <f>IFERROR(IF(0=LEN(ReferenceData!$C$187),"",ReferenceData!$C$187),"")</f>
        <v>F0946</v>
      </c>
      <c r="D187" t="str">
        <f>IFERROR(IF(0=LEN(ReferenceData!$D$187),"",ReferenceData!$D$187),"")</f>
        <v>TOTAL_GHG_CO2_EMISSIONS</v>
      </c>
      <c r="E187" t="str">
        <f>IFERROR(IF(0=LEN(ReferenceData!$E$187),"",ReferenceData!$E$187),"")</f>
        <v>Dynamic</v>
      </c>
      <c r="F187" t="str">
        <f ca="1">IFERROR(IF(0=LEN(ReferenceData!$F$187),"",ReferenceData!$F$187),"")</f>
        <v/>
      </c>
      <c r="G187">
        <f ca="1">IFERROR(IF(0=LEN(ReferenceData!$G$187),"",ReferenceData!$G$187),"")</f>
        <v>0.62185101300000001</v>
      </c>
      <c r="H187">
        <f ca="1">IFERROR(IF(0=LEN(ReferenceData!$H$187),"",ReferenceData!$H$187),"")</f>
        <v>0.54789501900000004</v>
      </c>
      <c r="I187">
        <f ca="1">IFERROR(IF(0=LEN(ReferenceData!$I$187),"",ReferenceData!$I$187),"")</f>
        <v>0.58005297899999997</v>
      </c>
      <c r="J187">
        <f ca="1">IFERROR(IF(0=LEN(ReferenceData!$J$187),"",ReferenceData!$J$187),"")</f>
        <v>0.626049988</v>
      </c>
    </row>
    <row r="188" spans="1:10" x14ac:dyDescent="0.25">
      <c r="A188" t="str">
        <f>IFERROR(IF(0=LEN(ReferenceData!$A$188),"",ReferenceData!$A$188),"")</f>
        <v xml:space="preserve">                    Crimson Wine Group Ltd</v>
      </c>
      <c r="B188" t="str">
        <f>IFERROR(IF(0=LEN(ReferenceData!$B$188),"",ReferenceData!$B$188),"")</f>
        <v>CWGL US Equity</v>
      </c>
      <c r="C188" t="str">
        <f>IFERROR(IF(0=LEN(ReferenceData!$C$188),"",ReferenceData!$C$188),"")</f>
        <v>F0946</v>
      </c>
      <c r="D188" t="str">
        <f>IFERROR(IF(0=LEN(ReferenceData!$D$188),"",ReferenceData!$D$188),"")</f>
        <v>TOTAL_GHG_CO2_EMISSIONS</v>
      </c>
      <c r="E188" t="str">
        <f>IFERROR(IF(0=LEN(ReferenceData!$E$188),"",ReferenceData!$E$188),"")</f>
        <v>Dynamic</v>
      </c>
      <c r="F188" t="str">
        <f ca="1">IFERROR(IF(0=LEN(ReferenceData!$F$188),"",ReferenceData!$F$188),"")</f>
        <v/>
      </c>
      <c r="G188" t="str">
        <f ca="1">IFERROR(IF(0=LEN(ReferenceData!$G$188),"",ReferenceData!$G$188),"")</f>
        <v/>
      </c>
      <c r="H188" t="str">
        <f ca="1">IFERROR(IF(0=LEN(ReferenceData!$H$188),"",ReferenceData!$H$188),"")</f>
        <v/>
      </c>
      <c r="I188" t="str">
        <f ca="1">IFERROR(IF(0=LEN(ReferenceData!$I$188),"",ReferenceData!$I$188),"")</f>
        <v/>
      </c>
      <c r="J188" t="str">
        <f ca="1">IFERROR(IF(0=LEN(ReferenceData!$J$188),"",ReferenceData!$J$188),"")</f>
        <v/>
      </c>
    </row>
    <row r="189" spans="1:10" x14ac:dyDescent="0.25">
      <c r="A189" t="str">
        <f>IFERROR(IF(0=LEN(ReferenceData!$A$189),"",ReferenceData!$A$189),"")</f>
        <v xml:space="preserve">                    Davide Campari-Milano NV</v>
      </c>
      <c r="B189" t="str">
        <f>IFERROR(IF(0=LEN(ReferenceData!$B$189),"",ReferenceData!$B$189),"")</f>
        <v>CPR IM Equity</v>
      </c>
      <c r="C189" t="str">
        <f>IFERROR(IF(0=LEN(ReferenceData!$C$189),"",ReferenceData!$C$189),"")</f>
        <v>F0946</v>
      </c>
      <c r="D189" t="str">
        <f>IFERROR(IF(0=LEN(ReferenceData!$D$189),"",ReferenceData!$D$189),"")</f>
        <v>TOTAL_GHG_CO2_EMISSIONS</v>
      </c>
      <c r="E189" t="str">
        <f>IFERROR(IF(0=LEN(ReferenceData!$E$189),"",ReferenceData!$E$189),"")</f>
        <v>Dynamic</v>
      </c>
      <c r="F189">
        <f ca="1">IFERROR(IF(0=LEN(ReferenceData!$F$189),"",ReferenceData!$F$189),"")</f>
        <v>8.9803000999999993E-2</v>
      </c>
      <c r="G189">
        <f ca="1">IFERROR(IF(0=LEN(ReferenceData!$G$189),"",ReferenceData!$G$189),"")</f>
        <v>9.3539000999999997E-2</v>
      </c>
      <c r="H189">
        <f ca="1">IFERROR(IF(0=LEN(ReferenceData!$H$189),"",ReferenceData!$H$189),"")</f>
        <v>8.5267997999999998E-2</v>
      </c>
      <c r="I189">
        <f ca="1">IFERROR(IF(0=LEN(ReferenceData!$I$189),"",ReferenceData!$I$189),"")</f>
        <v>9.6665001E-2</v>
      </c>
      <c r="J189">
        <f ca="1">IFERROR(IF(0=LEN(ReferenceData!$J$189),"",ReferenceData!$J$189),"")</f>
        <v>0.101172997</v>
      </c>
    </row>
    <row r="190" spans="1:10" x14ac:dyDescent="0.25">
      <c r="A190" t="str">
        <f>IFERROR(IF(0=LEN(ReferenceData!$A$190),"",ReferenceData!$A$190),"")</f>
        <v xml:space="preserve">                    Diageo PLC</v>
      </c>
      <c r="B190" t="str">
        <f>IFERROR(IF(0=LEN(ReferenceData!$B$190),"",ReferenceData!$B$190),"")</f>
        <v>DGE LN Equity</v>
      </c>
      <c r="C190" t="str">
        <f>IFERROR(IF(0=LEN(ReferenceData!$C$190),"",ReferenceData!$C$190),"")</f>
        <v>F0946</v>
      </c>
      <c r="D190" t="str">
        <f>IFERROR(IF(0=LEN(ReferenceData!$D$190),"",ReferenceData!$D$190),"")</f>
        <v>TOTAL_GHG_CO2_EMISSIONS</v>
      </c>
      <c r="E190" t="str">
        <f>IFERROR(IF(0=LEN(ReferenceData!$E$190),"",ReferenceData!$E$190),"")</f>
        <v>Dynamic</v>
      </c>
      <c r="F190" t="str">
        <f ca="1">IFERROR(IF(0=LEN(ReferenceData!$F$190),"",ReferenceData!$F$190),"")</f>
        <v/>
      </c>
      <c r="G190">
        <f ca="1">IFERROR(IF(0=LEN(ReferenceData!$G$190),"",ReferenceData!$G$190),"")</f>
        <v>0.71226001000000005</v>
      </c>
      <c r="H190">
        <f ca="1">IFERROR(IF(0=LEN(ReferenceData!$H$190),"",ReferenceData!$H$190),"")</f>
        <v>0.58753002899999995</v>
      </c>
      <c r="I190">
        <f ca="1">IFERROR(IF(0=LEN(ReferenceData!$I$190),"",ReferenceData!$I$190),"")</f>
        <v>0.71098498499999996</v>
      </c>
      <c r="J190">
        <f ca="1">IFERROR(IF(0=LEN(ReferenceData!$J$190),"",ReferenceData!$J$190),"")</f>
        <v>0.67668798799999996</v>
      </c>
    </row>
    <row r="191" spans="1:10" x14ac:dyDescent="0.25">
      <c r="A191" t="str">
        <f>IFERROR(IF(0=LEN(ReferenceData!$A$191),"",ReferenceData!$A$191),"")</f>
        <v xml:space="preserve">                    Duckhorn Portfolio Inc/The</v>
      </c>
      <c r="B191" t="str">
        <f>IFERROR(IF(0=LEN(ReferenceData!$B$191),"",ReferenceData!$B$191),"")</f>
        <v>NAPA US Equity</v>
      </c>
      <c r="C191" t="str">
        <f>IFERROR(IF(0=LEN(ReferenceData!$C$191),"",ReferenceData!$C$191),"")</f>
        <v>F0946</v>
      </c>
      <c r="D191" t="str">
        <f>IFERROR(IF(0=LEN(ReferenceData!$D$191),"",ReferenceData!$D$191),"")</f>
        <v>TOTAL_GHG_CO2_EMISSIONS</v>
      </c>
      <c r="E191" t="str">
        <f>IFERROR(IF(0=LEN(ReferenceData!$E$191),"",ReferenceData!$E$191),"")</f>
        <v>Dynamic</v>
      </c>
      <c r="F191" t="str">
        <f ca="1">IFERROR(IF(0=LEN(ReferenceData!$F$191),"",ReferenceData!$F$191),"")</f>
        <v/>
      </c>
      <c r="G191" t="str">
        <f ca="1">IFERROR(IF(0=LEN(ReferenceData!$G$191),"",ReferenceData!$G$191),"")</f>
        <v/>
      </c>
      <c r="H191" t="str">
        <f ca="1">IFERROR(IF(0=LEN(ReferenceData!$H$191),"",ReferenceData!$H$191),"")</f>
        <v/>
      </c>
      <c r="I191" t="str">
        <f ca="1">IFERROR(IF(0=LEN(ReferenceData!$I$191),"",ReferenceData!$I$191),"")</f>
        <v/>
      </c>
      <c r="J191" t="str">
        <f ca="1">IFERROR(IF(0=LEN(ReferenceData!$J$191),"",ReferenceData!$J$191),"")</f>
        <v/>
      </c>
    </row>
    <row r="192" spans="1:10" x14ac:dyDescent="0.25">
      <c r="A192" t="str">
        <f>IFERROR(IF(0=LEN(ReferenceData!$A$192),"",ReferenceData!$A$192),"")</f>
        <v xml:space="preserve">                    DyDo Group Holdings Inc</v>
      </c>
      <c r="B192" t="str">
        <f>IFERROR(IF(0=LEN(ReferenceData!$B$192),"",ReferenceData!$B$192),"")</f>
        <v>2590 JP Equity</v>
      </c>
      <c r="C192" t="str">
        <f>IFERROR(IF(0=LEN(ReferenceData!$C$192),"",ReferenceData!$C$192),"")</f>
        <v>F0946</v>
      </c>
      <c r="D192" t="str">
        <f>IFERROR(IF(0=LEN(ReferenceData!$D$192),"",ReferenceData!$D$192),"")</f>
        <v>TOTAL_GHG_CO2_EMISSIONS</v>
      </c>
      <c r="E192" t="str">
        <f>IFERROR(IF(0=LEN(ReferenceData!$E$192),"",ReferenceData!$E$192),"")</f>
        <v>Dynamic</v>
      </c>
      <c r="F192" t="str">
        <f ca="1">IFERROR(IF(0=LEN(ReferenceData!$F$192),"",ReferenceData!$F$192),"")</f>
        <v/>
      </c>
      <c r="G192">
        <f ca="1">IFERROR(IF(0=LEN(ReferenceData!$G$192),"",ReferenceData!$G$192),"")</f>
        <v>2.5075001E-2</v>
      </c>
      <c r="H192" t="str">
        <f ca="1">IFERROR(IF(0=LEN(ReferenceData!$H$192),"",ReferenceData!$H$192),"")</f>
        <v/>
      </c>
      <c r="I192" t="str">
        <f ca="1">IFERROR(IF(0=LEN(ReferenceData!$I$192),"",ReferenceData!$I$192),"")</f>
        <v/>
      </c>
      <c r="J192" t="str">
        <f ca="1">IFERROR(IF(0=LEN(ReferenceData!$J$192),"",ReferenceData!$J$192),"")</f>
        <v/>
      </c>
    </row>
    <row r="193" spans="1:10" x14ac:dyDescent="0.25">
      <c r="A193" t="str">
        <f>IFERROR(IF(0=LEN(ReferenceData!$A$193),"",ReferenceData!$A$193),"")</f>
        <v xml:space="preserve">                    East African Breweries PLC</v>
      </c>
      <c r="B193" t="str">
        <f>IFERROR(IF(0=LEN(ReferenceData!$B$193),"",ReferenceData!$B$193),"")</f>
        <v>EABL KN Equity</v>
      </c>
      <c r="C193" t="str">
        <f>IFERROR(IF(0=LEN(ReferenceData!$C$193),"",ReferenceData!$C$193),"")</f>
        <v>F0946</v>
      </c>
      <c r="D193" t="str">
        <f>IFERROR(IF(0=LEN(ReferenceData!$D$193),"",ReferenceData!$D$193),"")</f>
        <v>TOTAL_GHG_CO2_EMISSIONS</v>
      </c>
      <c r="E193" t="str">
        <f>IFERROR(IF(0=LEN(ReferenceData!$E$193),"",ReferenceData!$E$193),"")</f>
        <v>Dynamic</v>
      </c>
      <c r="F193" t="str">
        <f ca="1">IFERROR(IF(0=LEN(ReferenceData!$F$193),"",ReferenceData!$F$193),"")</f>
        <v/>
      </c>
      <c r="G193">
        <f ca="1">IFERROR(IF(0=LEN(ReferenceData!$G$193),"",ReferenceData!$G$193),"")</f>
        <v>6.3400001999999997E-2</v>
      </c>
      <c r="H193" t="str">
        <f ca="1">IFERROR(IF(0=LEN(ReferenceData!$H$193),"",ReferenceData!$H$193),"")</f>
        <v/>
      </c>
      <c r="I193" t="str">
        <f ca="1">IFERROR(IF(0=LEN(ReferenceData!$I$193),"",ReferenceData!$I$193),"")</f>
        <v/>
      </c>
      <c r="J193" t="str">
        <f ca="1">IFERROR(IF(0=LEN(ReferenceData!$J$193),"",ReferenceData!$J$193),"")</f>
        <v/>
      </c>
    </row>
    <row r="194" spans="1:10" x14ac:dyDescent="0.25">
      <c r="A194" t="str">
        <f>IFERROR(IF(0=LEN(ReferenceData!$A$194),"",ReferenceData!$A$194),"")</f>
        <v xml:space="preserve">                    Embotelladora Andina SA</v>
      </c>
      <c r="B194" t="str">
        <f>IFERROR(IF(0=LEN(ReferenceData!$B$194),"",ReferenceData!$B$194),"")</f>
        <v>ANDINAA CI Equity</v>
      </c>
      <c r="C194" t="str">
        <f>IFERROR(IF(0=LEN(ReferenceData!$C$194),"",ReferenceData!$C$194),"")</f>
        <v>F0946</v>
      </c>
      <c r="D194" t="str">
        <f>IFERROR(IF(0=LEN(ReferenceData!$D$194),"",ReferenceData!$D$194),"")</f>
        <v>TOTAL_GHG_CO2_EMISSIONS</v>
      </c>
      <c r="E194" t="str">
        <f>IFERROR(IF(0=LEN(ReferenceData!$E$194),"",ReferenceData!$E$194),"")</f>
        <v>Dynamic</v>
      </c>
      <c r="F194">
        <f ca="1">IFERROR(IF(0=LEN(ReferenceData!$F$194),"",ReferenceData!$F$194),"")</f>
        <v>0.105170998</v>
      </c>
      <c r="G194">
        <f ca="1">IFERROR(IF(0=LEN(ReferenceData!$G$194),"",ReferenceData!$G$194),"")</f>
        <v>0.10961699699999999</v>
      </c>
      <c r="H194">
        <f ca="1">IFERROR(IF(0=LEN(ReferenceData!$H$194),"",ReferenceData!$H$194),"")</f>
        <v>0.30387500000000001</v>
      </c>
      <c r="I194">
        <f ca="1">IFERROR(IF(0=LEN(ReferenceData!$I$194),"",ReferenceData!$I$194),"")</f>
        <v>0.101391998</v>
      </c>
      <c r="J194">
        <f ca="1">IFERROR(IF(0=LEN(ReferenceData!$J$194),"",ReferenceData!$J$194),"")</f>
        <v>0.11125</v>
      </c>
    </row>
    <row r="195" spans="1:10" x14ac:dyDescent="0.25">
      <c r="A195" t="str">
        <f>IFERROR(IF(0=LEN(ReferenceData!$A$195),"",ReferenceData!$A$195),"")</f>
        <v xml:space="preserve">                    Florida Ice &amp; Farm Co SA</v>
      </c>
      <c r="B195" t="str">
        <f>IFERROR(IF(0=LEN(ReferenceData!$B$195),"",ReferenceData!$B$195),"")</f>
        <v>FIFCOCA CR Equity</v>
      </c>
      <c r="C195" t="str">
        <f>IFERROR(IF(0=LEN(ReferenceData!$C$195),"",ReferenceData!$C$195),"")</f>
        <v>F0946</v>
      </c>
      <c r="D195" t="str">
        <f>IFERROR(IF(0=LEN(ReferenceData!$D$195),"",ReferenceData!$D$195),"")</f>
        <v>TOTAL_GHG_CO2_EMISSIONS</v>
      </c>
      <c r="E195" t="str">
        <f>IFERROR(IF(0=LEN(ReferenceData!$E$195),"",ReferenceData!$E$195),"")</f>
        <v>Dynamic</v>
      </c>
      <c r="F195" t="str">
        <f ca="1">IFERROR(IF(0=LEN(ReferenceData!$F$195),"",ReferenceData!$F$195),"")</f>
        <v/>
      </c>
      <c r="G195" t="str">
        <f ca="1">IFERROR(IF(0=LEN(ReferenceData!$G$195),"",ReferenceData!$G$195),"")</f>
        <v/>
      </c>
      <c r="H195" t="str">
        <f ca="1">IFERROR(IF(0=LEN(ReferenceData!$H$195),"",ReferenceData!$H$195),"")</f>
        <v/>
      </c>
      <c r="I195" t="str">
        <f ca="1">IFERROR(IF(0=LEN(ReferenceData!$I$195),"",ReferenceData!$I$195),"")</f>
        <v/>
      </c>
      <c r="J195" t="str">
        <f ca="1">IFERROR(IF(0=LEN(ReferenceData!$J$195),"",ReferenceData!$J$195),"")</f>
        <v/>
      </c>
    </row>
    <row r="196" spans="1:10" x14ac:dyDescent="0.25">
      <c r="A196" t="str">
        <f>IFERROR(IF(0=LEN(ReferenceData!$A$196),"",ReferenceData!$A$196),"")</f>
        <v xml:space="preserve">                    Fomento Economico Mexicano SAB</v>
      </c>
      <c r="B196" t="str">
        <f>IFERROR(IF(0=LEN(ReferenceData!$B$196),"",ReferenceData!$B$196),"")</f>
        <v>FEMSAUBD MM Equity</v>
      </c>
      <c r="C196" t="str">
        <f>IFERROR(IF(0=LEN(ReferenceData!$C$196),"",ReferenceData!$C$196),"")</f>
        <v>F0946</v>
      </c>
      <c r="D196" t="str">
        <f>IFERROR(IF(0=LEN(ReferenceData!$D$196),"",ReferenceData!$D$196),"")</f>
        <v>TOTAL_GHG_CO2_EMISSIONS</v>
      </c>
      <c r="E196" t="str">
        <f>IFERROR(IF(0=LEN(ReferenceData!$E$196),"",ReferenceData!$E$196),"")</f>
        <v>Dynamic</v>
      </c>
      <c r="F196">
        <f ca="1">IFERROR(IF(0=LEN(ReferenceData!$F$196),"",ReferenceData!$F$196),"")</f>
        <v>1.7327099610000001</v>
      </c>
      <c r="G196">
        <f ca="1">IFERROR(IF(0=LEN(ReferenceData!$G$196),"",ReferenceData!$G$196),"")</f>
        <v>1.1780699459999999</v>
      </c>
      <c r="H196">
        <f ca="1">IFERROR(IF(0=LEN(ReferenceData!$H$196),"",ReferenceData!$H$196),"")</f>
        <v>0.94846398899999995</v>
      </c>
      <c r="I196">
        <f ca="1">IFERROR(IF(0=LEN(ReferenceData!$I$196),"",ReferenceData!$I$196),"")</f>
        <v>0.90109802299999997</v>
      </c>
      <c r="J196">
        <f ca="1">IFERROR(IF(0=LEN(ReferenceData!$J$196),"",ReferenceData!$J$196),"")</f>
        <v>1.0042399900000001</v>
      </c>
    </row>
    <row r="197" spans="1:10" x14ac:dyDescent="0.25">
      <c r="A197" t="str">
        <f>IFERROR(IF(0=LEN(ReferenceData!$A$197),"",ReferenceData!$A$197),"")</f>
        <v xml:space="preserve">                    Farmer Bros Co</v>
      </c>
      <c r="B197" t="str">
        <f>IFERROR(IF(0=LEN(ReferenceData!$B$197),"",ReferenceData!$B$197),"")</f>
        <v>FARM US Equity</v>
      </c>
      <c r="C197" t="str">
        <f>IFERROR(IF(0=LEN(ReferenceData!$C$197),"",ReferenceData!$C$197),"")</f>
        <v>F0946</v>
      </c>
      <c r="D197" t="str">
        <f>IFERROR(IF(0=LEN(ReferenceData!$D$197),"",ReferenceData!$D$197),"")</f>
        <v>TOTAL_GHG_CO2_EMISSIONS</v>
      </c>
      <c r="E197" t="str">
        <f>IFERROR(IF(0=LEN(ReferenceData!$E$197),"",ReferenceData!$E$197),"")</f>
        <v>Dynamic</v>
      </c>
      <c r="F197" t="str">
        <f ca="1">IFERROR(IF(0=LEN(ReferenceData!$F$197),"",ReferenceData!$F$197),"")</f>
        <v/>
      </c>
      <c r="G197" t="str">
        <f ca="1">IFERROR(IF(0=LEN(ReferenceData!$G$197),"",ReferenceData!$G$197),"")</f>
        <v/>
      </c>
      <c r="H197">
        <f ca="1">IFERROR(IF(0=LEN(ReferenceData!$H$197),"",ReferenceData!$H$197),"")</f>
        <v>2.9503999999999999E-2</v>
      </c>
      <c r="I197">
        <f ca="1">IFERROR(IF(0=LEN(ReferenceData!$I$197),"",ReferenceData!$I$197),"")</f>
        <v>2.4481800000000001E-2</v>
      </c>
      <c r="J197">
        <f ca="1">IFERROR(IF(0=LEN(ReferenceData!$J$197),"",ReferenceData!$J$197),"")</f>
        <v>2.8689301E-2</v>
      </c>
    </row>
    <row r="198" spans="1:10" x14ac:dyDescent="0.25">
      <c r="A198" t="str">
        <f>IFERROR(IF(0=LEN(ReferenceData!$A$198),"",ReferenceData!$A$198),"")</f>
        <v xml:space="preserve">                    Fevertree Drinks PLC</v>
      </c>
      <c r="B198" t="str">
        <f>IFERROR(IF(0=LEN(ReferenceData!$B$198),"",ReferenceData!$B$198),"")</f>
        <v>FEVR LN Equity</v>
      </c>
      <c r="C198" t="str">
        <f>IFERROR(IF(0=LEN(ReferenceData!$C$198),"",ReferenceData!$C$198),"")</f>
        <v>F0946</v>
      </c>
      <c r="D198" t="str">
        <f>IFERROR(IF(0=LEN(ReferenceData!$D$198),"",ReferenceData!$D$198),"")</f>
        <v>TOTAL_GHG_CO2_EMISSIONS</v>
      </c>
      <c r="E198" t="str">
        <f>IFERROR(IF(0=LEN(ReferenceData!$E$198),"",ReferenceData!$E$198),"")</f>
        <v>Dynamic</v>
      </c>
      <c r="F198">
        <f ca="1">IFERROR(IF(0=LEN(ReferenceData!$F$198),"",ReferenceData!$F$198),"")</f>
        <v>1.4922000000000001E-4</v>
      </c>
      <c r="G198" t="str">
        <f ca="1">IFERROR(IF(0=LEN(ReferenceData!$G$198),"",ReferenceData!$G$198),"")</f>
        <v/>
      </c>
      <c r="H198" t="str">
        <f ca="1">IFERROR(IF(0=LEN(ReferenceData!$H$198),"",ReferenceData!$H$198),"")</f>
        <v/>
      </c>
      <c r="I198" t="str">
        <f ca="1">IFERROR(IF(0=LEN(ReferenceData!$I$198),"",ReferenceData!$I$198),"")</f>
        <v/>
      </c>
      <c r="J198" t="str">
        <f ca="1">IFERROR(IF(0=LEN(ReferenceData!$J$198),"",ReferenceData!$J$198),"")</f>
        <v/>
      </c>
    </row>
    <row r="199" spans="1:10" x14ac:dyDescent="0.25">
      <c r="A199" t="str">
        <f>IFERROR(IF(0=LEN(ReferenceData!$A$199),"",ReferenceData!$A$199),"")</f>
        <v xml:space="preserve">                    Guangzhou Zhujiang Brewery Co</v>
      </c>
      <c r="B199" t="str">
        <f>IFERROR(IF(0=LEN(ReferenceData!$B$199),"",ReferenceData!$B$199),"")</f>
        <v>002461 CH Equity</v>
      </c>
      <c r="C199" t="str">
        <f>IFERROR(IF(0=LEN(ReferenceData!$C$199),"",ReferenceData!$C$199),"")</f>
        <v>F0946</v>
      </c>
      <c r="D199" t="str">
        <f>IFERROR(IF(0=LEN(ReferenceData!$D$199),"",ReferenceData!$D$199),"")</f>
        <v>TOTAL_GHG_CO2_EMISSIONS</v>
      </c>
      <c r="E199" t="str">
        <f>IFERROR(IF(0=LEN(ReferenceData!$E$199),"",ReferenceData!$E$199),"")</f>
        <v>Dynamic</v>
      </c>
      <c r="F199" t="str">
        <f ca="1">IFERROR(IF(0=LEN(ReferenceData!$F$199),"",ReferenceData!$F$199),"")</f>
        <v/>
      </c>
      <c r="G199" t="str">
        <f ca="1">IFERROR(IF(0=LEN(ReferenceData!$G$199),"",ReferenceData!$G$199),"")</f>
        <v/>
      </c>
      <c r="H199" t="str">
        <f ca="1">IFERROR(IF(0=LEN(ReferenceData!$H$199),"",ReferenceData!$H$199),"")</f>
        <v/>
      </c>
      <c r="I199" t="str">
        <f ca="1">IFERROR(IF(0=LEN(ReferenceData!$I$199),"",ReferenceData!$I$199),"")</f>
        <v/>
      </c>
      <c r="J199" t="str">
        <f ca="1">IFERROR(IF(0=LEN(ReferenceData!$J$199),"",ReferenceData!$J$199),"")</f>
        <v/>
      </c>
    </row>
    <row r="200" spans="1:10" x14ac:dyDescent="0.25">
      <c r="A200" t="str">
        <f>IFERROR(IF(0=LEN(ReferenceData!$A$200),"",ReferenceData!$A$200),"")</f>
        <v xml:space="preserve">                    Heineken Holding NV</v>
      </c>
      <c r="B200" t="str">
        <f>IFERROR(IF(0=LEN(ReferenceData!$B$200),"",ReferenceData!$B$200),"")</f>
        <v>HEIO NA Equity</v>
      </c>
      <c r="C200" t="str">
        <f>IFERROR(IF(0=LEN(ReferenceData!$C$200),"",ReferenceData!$C$200),"")</f>
        <v>F0946</v>
      </c>
      <c r="D200" t="str">
        <f>IFERROR(IF(0=LEN(ReferenceData!$D$200),"",ReferenceData!$D$200),"")</f>
        <v>TOTAL_GHG_CO2_EMISSIONS</v>
      </c>
      <c r="E200" t="str">
        <f>IFERROR(IF(0=LEN(ReferenceData!$E$200),"",ReferenceData!$E$200),"")</f>
        <v>Dynamic</v>
      </c>
      <c r="F200" t="str">
        <f ca="1">IFERROR(IF(0=LEN(ReferenceData!$F$200),"",ReferenceData!$F$200),"")</f>
        <v/>
      </c>
      <c r="G200" t="str">
        <f ca="1">IFERROR(IF(0=LEN(ReferenceData!$G$200),"",ReferenceData!$G$200),"")</f>
        <v/>
      </c>
      <c r="H200" t="str">
        <f ca="1">IFERROR(IF(0=LEN(ReferenceData!$H$200),"",ReferenceData!$H$200),"")</f>
        <v/>
      </c>
      <c r="I200" t="str">
        <f ca="1">IFERROR(IF(0=LEN(ReferenceData!$I$200),"",ReferenceData!$I$200),"")</f>
        <v/>
      </c>
      <c r="J200" t="str">
        <f ca="1">IFERROR(IF(0=LEN(ReferenceData!$J$200),"",ReferenceData!$J$200),"")</f>
        <v/>
      </c>
    </row>
    <row r="201" spans="1:10" x14ac:dyDescent="0.25">
      <c r="A201" t="str">
        <f>IFERROR(IF(0=LEN(ReferenceData!$A$201),"",ReferenceData!$A$201),"")</f>
        <v xml:space="preserve">                    Hite Jinro Co Ltd</v>
      </c>
      <c r="B201" t="str">
        <f>IFERROR(IF(0=LEN(ReferenceData!$B$201),"",ReferenceData!$B$201),"")</f>
        <v>000080 KS Equity</v>
      </c>
      <c r="C201" t="str">
        <f>IFERROR(IF(0=LEN(ReferenceData!$C$201),"",ReferenceData!$C$201),"")</f>
        <v>F0946</v>
      </c>
      <c r="D201" t="str">
        <f>IFERROR(IF(0=LEN(ReferenceData!$D$201),"",ReferenceData!$D$201),"")</f>
        <v>TOTAL_GHG_CO2_EMISSIONS</v>
      </c>
      <c r="E201" t="str">
        <f>IFERROR(IF(0=LEN(ReferenceData!$E$201),"",ReferenceData!$E$201),"")</f>
        <v>Dynamic</v>
      </c>
      <c r="F201" t="str">
        <f ca="1">IFERROR(IF(0=LEN(ReferenceData!$F$201),"",ReferenceData!$F$201),"")</f>
        <v/>
      </c>
      <c r="G201">
        <f ca="1">IFERROR(IF(0=LEN(ReferenceData!$G$201),"",ReferenceData!$G$201),"")</f>
        <v>0.13122700500000001</v>
      </c>
      <c r="H201">
        <f ca="1">IFERROR(IF(0=LEN(ReferenceData!$H$201),"",ReferenceData!$H$201),"")</f>
        <v>0.14369700599999999</v>
      </c>
      <c r="I201">
        <f ca="1">IFERROR(IF(0=LEN(ReferenceData!$I$201),"",ReferenceData!$I$201),"")</f>
        <v>0.149843002</v>
      </c>
      <c r="J201">
        <f ca="1">IFERROR(IF(0=LEN(ReferenceData!$J$201),"",ReferenceData!$J$201),"")</f>
        <v>0.156576996</v>
      </c>
    </row>
    <row r="202" spans="1:10" x14ac:dyDescent="0.25">
      <c r="A202" t="str">
        <f>IFERROR(IF(0=LEN(ReferenceData!$A$202),"",ReferenceData!$A$202),"")</f>
        <v xml:space="preserve">                    Heineken NV</v>
      </c>
      <c r="B202" t="str">
        <f>IFERROR(IF(0=LEN(ReferenceData!$B$202),"",ReferenceData!$B$202),"")</f>
        <v>HEIA NA Equity</v>
      </c>
      <c r="C202" t="str">
        <f>IFERROR(IF(0=LEN(ReferenceData!$C$202),"",ReferenceData!$C$202),"")</f>
        <v>F0946</v>
      </c>
      <c r="D202" t="str">
        <f>IFERROR(IF(0=LEN(ReferenceData!$D$202),"",ReferenceData!$D$202),"")</f>
        <v>TOTAL_GHG_CO2_EMISSIONS</v>
      </c>
      <c r="E202" t="str">
        <f>IFERROR(IF(0=LEN(ReferenceData!$E$202),"",ReferenceData!$E$202),"")</f>
        <v>Dynamic</v>
      </c>
      <c r="F202">
        <f ca="1">IFERROR(IF(0=LEN(ReferenceData!$F$202),"",ReferenceData!$F$202),"")</f>
        <v>1.478</v>
      </c>
      <c r="G202">
        <f ca="1">IFERROR(IF(0=LEN(ReferenceData!$G$202),"",ReferenceData!$G$202),"")</f>
        <v>1.7418299559999999</v>
      </c>
      <c r="H202">
        <f ca="1">IFERROR(IF(0=LEN(ReferenceData!$H$202),"",ReferenceData!$H$202),"")</f>
        <v>1.72551001</v>
      </c>
      <c r="I202">
        <f ca="1">IFERROR(IF(0=LEN(ReferenceData!$I$202),"",ReferenceData!$I$202),"")</f>
        <v>1.7783100590000001</v>
      </c>
      <c r="J202">
        <f ca="1">IFERROR(IF(0=LEN(ReferenceData!$J$202),"",ReferenceData!$J$202),"")</f>
        <v>1.7420500489999999</v>
      </c>
    </row>
    <row r="203" spans="1:10" x14ac:dyDescent="0.25">
      <c r="A203" t="str">
        <f>IFERROR(IF(0=LEN(ReferenceData!$A$203),"",ReferenceData!$A$203),"")</f>
        <v xml:space="preserve">                    Ito En Ltd</v>
      </c>
      <c r="B203" t="str">
        <f>IFERROR(IF(0=LEN(ReferenceData!$B$203),"",ReferenceData!$B$203),"")</f>
        <v>2593 JP Equity</v>
      </c>
      <c r="C203" t="str">
        <f>IFERROR(IF(0=LEN(ReferenceData!$C$203),"",ReferenceData!$C$203),"")</f>
        <v>F0946</v>
      </c>
      <c r="D203" t="str">
        <f>IFERROR(IF(0=LEN(ReferenceData!$D$203),"",ReferenceData!$D$203),"")</f>
        <v>TOTAL_GHG_CO2_EMISSIONS</v>
      </c>
      <c r="E203" t="str">
        <f>IFERROR(IF(0=LEN(ReferenceData!$E$203),"",ReferenceData!$E$203),"")</f>
        <v>Dynamic</v>
      </c>
      <c r="F203" t="str">
        <f ca="1">IFERROR(IF(0=LEN(ReferenceData!$F$203),"",ReferenceData!$F$203),"")</f>
        <v/>
      </c>
      <c r="G203">
        <f ca="1">IFERROR(IF(0=LEN(ReferenceData!$G$203),"",ReferenceData!$G$203),"")</f>
        <v>3.3863997999999999E-2</v>
      </c>
      <c r="H203">
        <f ca="1">IFERROR(IF(0=LEN(ReferenceData!$H$203),"",ReferenceData!$H$203),"")</f>
        <v>3.4853001000000002E-2</v>
      </c>
      <c r="I203">
        <f ca="1">IFERROR(IF(0=LEN(ReferenceData!$I$203),"",ReferenceData!$I$203),"")</f>
        <v>3.5484001000000001E-2</v>
      </c>
      <c r="J203">
        <f ca="1">IFERROR(IF(0=LEN(ReferenceData!$J$203),"",ReferenceData!$J$203),"")</f>
        <v>3.8492000999999998E-2</v>
      </c>
    </row>
    <row r="204" spans="1:10" x14ac:dyDescent="0.25">
      <c r="A204" t="str">
        <f>IFERROR(IF(0=LEN(ReferenceData!$A$204),"",ReferenceData!$A$204),"")</f>
        <v xml:space="preserve">                    JDE Peet's NV</v>
      </c>
      <c r="B204" t="str">
        <f>IFERROR(IF(0=LEN(ReferenceData!$B$204),"",ReferenceData!$B$204),"")</f>
        <v>JDEP NA Equity</v>
      </c>
      <c r="C204" t="str">
        <f>IFERROR(IF(0=LEN(ReferenceData!$C$204),"",ReferenceData!$C$204),"")</f>
        <v>F0946</v>
      </c>
      <c r="D204" t="str">
        <f>IFERROR(IF(0=LEN(ReferenceData!$D$204),"",ReferenceData!$D$204),"")</f>
        <v>TOTAL_GHG_CO2_EMISSIONS</v>
      </c>
      <c r="E204" t="str">
        <f>IFERROR(IF(0=LEN(ReferenceData!$E$204),"",ReferenceData!$E$204),"")</f>
        <v>Dynamic</v>
      </c>
      <c r="F204" t="str">
        <f ca="1">IFERROR(IF(0=LEN(ReferenceData!$F$204),"",ReferenceData!$F$204),"")</f>
        <v/>
      </c>
      <c r="G204">
        <f ca="1">IFERROR(IF(0=LEN(ReferenceData!$G$204),"",ReferenceData!$G$204),"")</f>
        <v>0.54825598099999995</v>
      </c>
      <c r="H204">
        <f ca="1">IFERROR(IF(0=LEN(ReferenceData!$H$204),"",ReferenceData!$H$204),"")</f>
        <v>0.560341003</v>
      </c>
      <c r="I204" t="str">
        <f ca="1">IFERROR(IF(0=LEN(ReferenceData!$I$204),"",ReferenceData!$I$204),"")</f>
        <v/>
      </c>
      <c r="J204" t="str">
        <f ca="1">IFERROR(IF(0=LEN(ReferenceData!$J$204),"",ReferenceData!$J$204),"")</f>
        <v/>
      </c>
    </row>
    <row r="205" spans="1:10" x14ac:dyDescent="0.25">
      <c r="A205" t="str">
        <f>IFERROR(IF(0=LEN(ReferenceData!$A$205),"",ReferenceData!$A$205),"")</f>
        <v xml:space="preserve">                    Jiangsu Yanghe Brewery Joint-S</v>
      </c>
      <c r="B205" t="str">
        <f>IFERROR(IF(0=LEN(ReferenceData!$B$205),"",ReferenceData!$B$205),"")</f>
        <v>002304 CH Equity</v>
      </c>
      <c r="C205" t="str">
        <f>IFERROR(IF(0=LEN(ReferenceData!$C$205),"",ReferenceData!$C$205),"")</f>
        <v>F0946</v>
      </c>
      <c r="D205" t="str">
        <f>IFERROR(IF(0=LEN(ReferenceData!$D$205),"",ReferenceData!$D$205),"")</f>
        <v>TOTAL_GHG_CO2_EMISSIONS</v>
      </c>
      <c r="E205" t="str">
        <f>IFERROR(IF(0=LEN(ReferenceData!$E$205),"",ReferenceData!$E$205),"")</f>
        <v>Dynamic</v>
      </c>
      <c r="F205" t="str">
        <f ca="1">IFERROR(IF(0=LEN(ReferenceData!$F$205),"",ReferenceData!$F$205),"")</f>
        <v/>
      </c>
      <c r="G205">
        <f ca="1">IFERROR(IF(0=LEN(ReferenceData!$G$205),"",ReferenceData!$G$205),"")</f>
        <v>0.382520996</v>
      </c>
      <c r="H205">
        <f ca="1">IFERROR(IF(0=LEN(ReferenceData!$H$205),"",ReferenceData!$H$205),"")</f>
        <v>0.35799499499999998</v>
      </c>
      <c r="I205">
        <f ca="1">IFERROR(IF(0=LEN(ReferenceData!$I$205),"",ReferenceData!$I$205),"")</f>
        <v>0.49011498999999997</v>
      </c>
      <c r="J205" t="str">
        <f ca="1">IFERROR(IF(0=LEN(ReferenceData!$J$205),"",ReferenceData!$J$205),"")</f>
        <v/>
      </c>
    </row>
    <row r="206" spans="1:10" x14ac:dyDescent="0.25">
      <c r="A206" t="str">
        <f>IFERROR(IF(0=LEN(ReferenceData!$A$206),"",ReferenceData!$A$206),"")</f>
        <v xml:space="preserve">                    Keurig Dr Pepper Inc</v>
      </c>
      <c r="B206" t="str">
        <f>IFERROR(IF(0=LEN(ReferenceData!$B$206),"",ReferenceData!$B$206),"")</f>
        <v>KDP US Equity</v>
      </c>
      <c r="C206" t="str">
        <f>IFERROR(IF(0=LEN(ReferenceData!$C$206),"",ReferenceData!$C$206),"")</f>
        <v>F0946</v>
      </c>
      <c r="D206" t="str">
        <f>IFERROR(IF(0=LEN(ReferenceData!$D$206),"",ReferenceData!$D$206),"")</f>
        <v>TOTAL_GHG_CO2_EMISSIONS</v>
      </c>
      <c r="E206" t="str">
        <f>IFERROR(IF(0=LEN(ReferenceData!$E$206),"",ReferenceData!$E$206),"")</f>
        <v>Dynamic</v>
      </c>
      <c r="F206" t="str">
        <f ca="1">IFERROR(IF(0=LEN(ReferenceData!$F$206),"",ReferenceData!$F$206),"")</f>
        <v/>
      </c>
      <c r="G206">
        <f ca="1">IFERROR(IF(0=LEN(ReferenceData!$G$206),"",ReferenceData!$G$206),"")</f>
        <v>0.46194799800000003</v>
      </c>
      <c r="H206">
        <f ca="1">IFERROR(IF(0=LEN(ReferenceData!$H$206),"",ReferenceData!$H$206),"")</f>
        <v>0.45483099399999999</v>
      </c>
      <c r="I206">
        <f ca="1">IFERROR(IF(0=LEN(ReferenceData!$I$206),"",ReferenceData!$I$206),"")</f>
        <v>0.431458008</v>
      </c>
      <c r="J206">
        <f ca="1">IFERROR(IF(0=LEN(ReferenceData!$J$206),"",ReferenceData!$J$206),"")</f>
        <v>0.44005899100000001</v>
      </c>
    </row>
    <row r="207" spans="1:10" x14ac:dyDescent="0.25">
      <c r="A207" t="str">
        <f>IFERROR(IF(0=LEN(ReferenceData!$A$207),"",ReferenceData!$A$207),"")</f>
        <v xml:space="preserve">                    Kirin Holdings Co Ltd</v>
      </c>
      <c r="B207" t="str">
        <f>IFERROR(IF(0=LEN(ReferenceData!$B$207),"",ReferenceData!$B$207),"")</f>
        <v>2503 JP Equity</v>
      </c>
      <c r="C207" t="str">
        <f>IFERROR(IF(0=LEN(ReferenceData!$C$207),"",ReferenceData!$C$207),"")</f>
        <v>F0946</v>
      </c>
      <c r="D207" t="str">
        <f>IFERROR(IF(0=LEN(ReferenceData!$D$207),"",ReferenceData!$D$207),"")</f>
        <v>TOTAL_GHG_CO2_EMISSIONS</v>
      </c>
      <c r="E207" t="str">
        <f>IFERROR(IF(0=LEN(ReferenceData!$E$207),"",ReferenceData!$E$207),"")</f>
        <v>Dynamic</v>
      </c>
      <c r="F207" t="str">
        <f ca="1">IFERROR(IF(0=LEN(ReferenceData!$F$207),"",ReferenceData!$F$207),"")</f>
        <v/>
      </c>
      <c r="G207">
        <f ca="1">IFERROR(IF(0=LEN(ReferenceData!$G$207),"",ReferenceData!$G$207),"")</f>
        <v>0.72199999999999998</v>
      </c>
      <c r="H207">
        <f ca="1">IFERROR(IF(0=LEN(ReferenceData!$H$207),"",ReferenceData!$H$207),"")</f>
        <v>0.875005005</v>
      </c>
      <c r="I207">
        <f ca="1">IFERROR(IF(0=LEN(ReferenceData!$I$207),"",ReferenceData!$I$207),"")</f>
        <v>0.94899999999999995</v>
      </c>
      <c r="J207">
        <f ca="1">IFERROR(IF(0=LEN(ReferenceData!$J$207),"",ReferenceData!$J$207),"")</f>
        <v>0.98599999999999999</v>
      </c>
    </row>
    <row r="208" spans="1:10" x14ac:dyDescent="0.25">
      <c r="A208" t="str">
        <f>IFERROR(IF(0=LEN(ReferenceData!$A$208),"",ReferenceData!$A$208),"")</f>
        <v xml:space="preserve">                    Kweichow Moutai Co Ltd</v>
      </c>
      <c r="B208" t="str">
        <f>IFERROR(IF(0=LEN(ReferenceData!$B$208),"",ReferenceData!$B$208),"")</f>
        <v>600519 CH Equity</v>
      </c>
      <c r="C208" t="str">
        <f>IFERROR(IF(0=LEN(ReferenceData!$C$208),"",ReferenceData!$C$208),"")</f>
        <v>F0946</v>
      </c>
      <c r="D208" t="str">
        <f>IFERROR(IF(0=LEN(ReferenceData!$D$208),"",ReferenceData!$D$208),"")</f>
        <v>TOTAL_GHG_CO2_EMISSIONS</v>
      </c>
      <c r="E208" t="str">
        <f>IFERROR(IF(0=LEN(ReferenceData!$E$208),"",ReferenceData!$E$208),"")</f>
        <v>Dynamic</v>
      </c>
      <c r="F208" t="str">
        <f ca="1">IFERROR(IF(0=LEN(ReferenceData!$F$208),"",ReferenceData!$F$208),"")</f>
        <v/>
      </c>
      <c r="G208" t="str">
        <f ca="1">IFERROR(IF(0=LEN(ReferenceData!$G$208),"",ReferenceData!$G$208),"")</f>
        <v/>
      </c>
      <c r="H208" t="str">
        <f ca="1">IFERROR(IF(0=LEN(ReferenceData!$H$208),"",ReferenceData!$H$208),"")</f>
        <v/>
      </c>
      <c r="I208" t="str">
        <f ca="1">IFERROR(IF(0=LEN(ReferenceData!$I$208),"",ReferenceData!$I$208),"")</f>
        <v/>
      </c>
      <c r="J208" t="str">
        <f ca="1">IFERROR(IF(0=LEN(ReferenceData!$J$208),"",ReferenceData!$J$208),"")</f>
        <v/>
      </c>
    </row>
    <row r="209" spans="1:10" x14ac:dyDescent="0.25">
      <c r="A209" t="str">
        <f>IFERROR(IF(0=LEN(ReferenceData!$A$209),"",ReferenceData!$A$209),"")</f>
        <v xml:space="preserve">                    Lotte Chilsung Beverage Co Ltd</v>
      </c>
      <c r="B209" t="str">
        <f>IFERROR(IF(0=LEN(ReferenceData!$B$209),"",ReferenceData!$B$209),"")</f>
        <v>005300 KS Equity</v>
      </c>
      <c r="C209" t="str">
        <f>IFERROR(IF(0=LEN(ReferenceData!$C$209),"",ReferenceData!$C$209),"")</f>
        <v>F0946</v>
      </c>
      <c r="D209" t="str">
        <f>IFERROR(IF(0=LEN(ReferenceData!$D$209),"",ReferenceData!$D$209),"")</f>
        <v>TOTAL_GHG_CO2_EMISSIONS</v>
      </c>
      <c r="E209" t="str">
        <f>IFERROR(IF(0=LEN(ReferenceData!$E$209),"",ReferenceData!$E$209),"")</f>
        <v>Dynamic</v>
      </c>
      <c r="F209" t="str">
        <f ca="1">IFERROR(IF(0=LEN(ReferenceData!$F$209),"",ReferenceData!$F$209),"")</f>
        <v/>
      </c>
      <c r="G209">
        <f ca="1">IFERROR(IF(0=LEN(ReferenceData!$G$209),"",ReferenceData!$G$209),"")</f>
        <v>0.162802002</v>
      </c>
      <c r="H209">
        <f ca="1">IFERROR(IF(0=LEN(ReferenceData!$H$209),"",ReferenceData!$H$209),"")</f>
        <v>0.14978999300000001</v>
      </c>
      <c r="I209">
        <f ca="1">IFERROR(IF(0=LEN(ReferenceData!$I$209),"",ReferenceData!$I$209),"")</f>
        <v>0.152113998</v>
      </c>
      <c r="J209">
        <f ca="1">IFERROR(IF(0=LEN(ReferenceData!$J$209),"",ReferenceData!$J$209),"")</f>
        <v>0.15648599199999999</v>
      </c>
    </row>
    <row r="210" spans="1:10" x14ac:dyDescent="0.25">
      <c r="A210" t="str">
        <f>IFERROR(IF(0=LEN(ReferenceData!$A$210),"",ReferenceData!$A$210),"")</f>
        <v xml:space="preserve">                    Lassonde Industries Inc</v>
      </c>
      <c r="B210" t="str">
        <f>IFERROR(IF(0=LEN(ReferenceData!$B$210),"",ReferenceData!$B$210),"")</f>
        <v>LAS/A CN Equity</v>
      </c>
      <c r="C210" t="str">
        <f>IFERROR(IF(0=LEN(ReferenceData!$C$210),"",ReferenceData!$C$210),"")</f>
        <v>F0946</v>
      </c>
      <c r="D210" t="str">
        <f>IFERROR(IF(0=LEN(ReferenceData!$D$210),"",ReferenceData!$D$210),"")</f>
        <v>TOTAL_GHG_CO2_EMISSIONS</v>
      </c>
      <c r="E210" t="str">
        <f>IFERROR(IF(0=LEN(ReferenceData!$E$210),"",ReferenceData!$E$210),"")</f>
        <v>Dynamic</v>
      </c>
      <c r="F210" t="str">
        <f ca="1">IFERROR(IF(0=LEN(ReferenceData!$F$210),"",ReferenceData!$F$210),"")</f>
        <v/>
      </c>
      <c r="G210" t="str">
        <f ca="1">IFERROR(IF(0=LEN(ReferenceData!$G$210),"",ReferenceData!$G$210),"")</f>
        <v/>
      </c>
      <c r="H210" t="str">
        <f ca="1">IFERROR(IF(0=LEN(ReferenceData!$H$210),"",ReferenceData!$H$210),"")</f>
        <v/>
      </c>
      <c r="I210" t="str">
        <f ca="1">IFERROR(IF(0=LEN(ReferenceData!$I$210),"",ReferenceData!$I$210),"")</f>
        <v/>
      </c>
      <c r="J210" t="str">
        <f ca="1">IFERROR(IF(0=LEN(ReferenceData!$J$210),"",ReferenceData!$J$210),"")</f>
        <v/>
      </c>
    </row>
    <row r="211" spans="1:10" x14ac:dyDescent="0.25">
      <c r="A211" t="str">
        <f>IFERROR(IF(0=LEN(ReferenceData!$A$211),"",ReferenceData!$A$211),"")</f>
        <v xml:space="preserve">                    Luzhou Laojiao Co Ltd</v>
      </c>
      <c r="B211" t="str">
        <f>IFERROR(IF(0=LEN(ReferenceData!$B$211),"",ReferenceData!$B$211),"")</f>
        <v>000568 CH Equity</v>
      </c>
      <c r="C211" t="str">
        <f>IFERROR(IF(0=LEN(ReferenceData!$C$211),"",ReferenceData!$C$211),"")</f>
        <v>F0946</v>
      </c>
      <c r="D211" t="str">
        <f>IFERROR(IF(0=LEN(ReferenceData!$D$211),"",ReferenceData!$D$211),"")</f>
        <v>TOTAL_GHG_CO2_EMISSIONS</v>
      </c>
      <c r="E211" t="str">
        <f>IFERROR(IF(0=LEN(ReferenceData!$E$211),"",ReferenceData!$E$211),"")</f>
        <v>Dynamic</v>
      </c>
      <c r="F211" t="str">
        <f ca="1">IFERROR(IF(0=LEN(ReferenceData!$F$211),"",ReferenceData!$F$211),"")</f>
        <v/>
      </c>
      <c r="G211" t="str">
        <f ca="1">IFERROR(IF(0=LEN(ReferenceData!$G$211),"",ReferenceData!$G$211),"")</f>
        <v/>
      </c>
      <c r="H211" t="str">
        <f ca="1">IFERROR(IF(0=LEN(ReferenceData!$H$211),"",ReferenceData!$H$211),"")</f>
        <v/>
      </c>
      <c r="I211" t="str">
        <f ca="1">IFERROR(IF(0=LEN(ReferenceData!$I$211),"",ReferenceData!$I$211),"")</f>
        <v/>
      </c>
      <c r="J211" t="str">
        <f ca="1">IFERROR(IF(0=LEN(ReferenceData!$J$211),"",ReferenceData!$J$211),"")</f>
        <v/>
      </c>
    </row>
    <row r="212" spans="1:10" x14ac:dyDescent="0.25">
      <c r="A212" t="str">
        <f>IFERROR(IF(0=LEN(ReferenceData!$A$212),"",ReferenceData!$A$212),"")</f>
        <v xml:space="preserve">                    Marie Brizard Wine &amp; Spirits S</v>
      </c>
      <c r="B212" t="str">
        <f>IFERROR(IF(0=LEN(ReferenceData!$B$212),"",ReferenceData!$B$212),"")</f>
        <v>MBWS FP Equity</v>
      </c>
      <c r="C212" t="str">
        <f>IFERROR(IF(0=LEN(ReferenceData!$C$212),"",ReferenceData!$C$212),"")</f>
        <v>F0946</v>
      </c>
      <c r="D212" t="str">
        <f>IFERROR(IF(0=LEN(ReferenceData!$D$212),"",ReferenceData!$D$212),"")</f>
        <v>TOTAL_GHG_CO2_EMISSIONS</v>
      </c>
      <c r="E212" t="str">
        <f>IFERROR(IF(0=LEN(ReferenceData!$E$212),"",ReferenceData!$E$212),"")</f>
        <v>Dynamic</v>
      </c>
      <c r="F212">
        <f ca="1">IFERROR(IF(0=LEN(ReferenceData!$F$212),"",ReferenceData!$F$212),"")</f>
        <v>4.0949999999999997E-3</v>
      </c>
      <c r="G212">
        <f ca="1">IFERROR(IF(0=LEN(ReferenceData!$G$212),"",ReferenceData!$G$212),"")</f>
        <v>5.3940000000000004E-3</v>
      </c>
      <c r="H212">
        <f ca="1">IFERROR(IF(0=LEN(ReferenceData!$H$212),"",ReferenceData!$H$212),"")</f>
        <v>4.4279999999999996E-3</v>
      </c>
      <c r="I212">
        <f ca="1">IFERROR(IF(0=LEN(ReferenceData!$I$212),"",ReferenceData!$I$212),"")</f>
        <v>1.9961E-2</v>
      </c>
      <c r="J212">
        <f ca="1">IFERROR(IF(0=LEN(ReferenceData!$J$212),"",ReferenceData!$J$212),"")</f>
        <v>1.7621000000000001E-2</v>
      </c>
    </row>
    <row r="213" spans="1:10" x14ac:dyDescent="0.25">
      <c r="A213" t="str">
        <f>IFERROR(IF(0=LEN(ReferenceData!$A$213),"",ReferenceData!$A$213),"")</f>
        <v xml:space="preserve">                    Molson Coors Beverage Co</v>
      </c>
      <c r="B213" t="str">
        <f>IFERROR(IF(0=LEN(ReferenceData!$B$213),"",ReferenceData!$B$213),"")</f>
        <v>TAP US Equity</v>
      </c>
      <c r="C213" t="str">
        <f>IFERROR(IF(0=LEN(ReferenceData!$C$213),"",ReferenceData!$C$213),"")</f>
        <v>F0946</v>
      </c>
      <c r="D213" t="str">
        <f>IFERROR(IF(0=LEN(ReferenceData!$D$213),"",ReferenceData!$D$213),"")</f>
        <v>TOTAL_GHG_CO2_EMISSIONS</v>
      </c>
      <c r="E213" t="str">
        <f>IFERROR(IF(0=LEN(ReferenceData!$E$213),"",ReferenceData!$E$213),"")</f>
        <v>Dynamic</v>
      </c>
      <c r="F213" t="str">
        <f ca="1">IFERROR(IF(0=LEN(ReferenceData!$F$213),"",ReferenceData!$F$213),"")</f>
        <v/>
      </c>
      <c r="G213">
        <f ca="1">IFERROR(IF(0=LEN(ReferenceData!$G$213),"",ReferenceData!$G$213),"")</f>
        <v>0.94838800099999998</v>
      </c>
      <c r="H213">
        <f ca="1">IFERROR(IF(0=LEN(ReferenceData!$H$213),"",ReferenceData!$H$213),"")</f>
        <v>1.0024500119999999</v>
      </c>
      <c r="I213">
        <f ca="1">IFERROR(IF(0=LEN(ReferenceData!$I$213),"",ReferenceData!$I$213),"")</f>
        <v>1.04051001</v>
      </c>
      <c r="J213">
        <f ca="1">IFERROR(IF(0=LEN(ReferenceData!$J$213),"",ReferenceData!$J$213),"")</f>
        <v>1.1036300050000001</v>
      </c>
    </row>
    <row r="214" spans="1:10" x14ac:dyDescent="0.25">
      <c r="A214" t="str">
        <f>IFERROR(IF(0=LEN(ReferenceData!$A$214),"",ReferenceData!$A$214),"")</f>
        <v xml:space="preserve">                    Monster Beverage Corp</v>
      </c>
      <c r="B214" t="str">
        <f>IFERROR(IF(0=LEN(ReferenceData!$B$214),"",ReferenceData!$B$214),"")</f>
        <v>MNST US Equity</v>
      </c>
      <c r="C214" t="str">
        <f>IFERROR(IF(0=LEN(ReferenceData!$C$214),"",ReferenceData!$C$214),"")</f>
        <v>F0946</v>
      </c>
      <c r="D214" t="str">
        <f>IFERROR(IF(0=LEN(ReferenceData!$D$214),"",ReferenceData!$D$214),"")</f>
        <v>TOTAL_GHG_CO2_EMISSIONS</v>
      </c>
      <c r="E214" t="str">
        <f>IFERROR(IF(0=LEN(ReferenceData!$E$214),"",ReferenceData!$E$214),"")</f>
        <v>Dynamic</v>
      </c>
      <c r="F214" t="str">
        <f ca="1">IFERROR(IF(0=LEN(ReferenceData!$F$214),"",ReferenceData!$F$214),"")</f>
        <v/>
      </c>
      <c r="G214">
        <f ca="1">IFERROR(IF(0=LEN(ReferenceData!$G$214),"",ReferenceData!$G$214),"")</f>
        <v>9.3480000000000004E-3</v>
      </c>
      <c r="H214">
        <f ca="1">IFERROR(IF(0=LEN(ReferenceData!$H$214),"",ReferenceData!$H$214),"")</f>
        <v>8.5996900000000001E-3</v>
      </c>
      <c r="I214" t="str">
        <f ca="1">IFERROR(IF(0=LEN(ReferenceData!$I$214),"",ReferenceData!$I$214),"")</f>
        <v/>
      </c>
      <c r="J214" t="str">
        <f ca="1">IFERROR(IF(0=LEN(ReferenceData!$J$214),"",ReferenceData!$J$214),"")</f>
        <v/>
      </c>
    </row>
    <row r="215" spans="1:10" x14ac:dyDescent="0.25">
      <c r="A215" t="str">
        <f>IFERROR(IF(0=LEN(ReferenceData!$A$215),"",ReferenceData!$A$215),"")</f>
        <v xml:space="preserve">                    Nigerian Breweries PLC</v>
      </c>
      <c r="B215" t="str">
        <f>IFERROR(IF(0=LEN(ReferenceData!$B$215),"",ReferenceData!$B$215),"")</f>
        <v>NB NL Equity</v>
      </c>
      <c r="C215" t="str">
        <f>IFERROR(IF(0=LEN(ReferenceData!$C$215),"",ReferenceData!$C$215),"")</f>
        <v>F0946</v>
      </c>
      <c r="D215" t="str">
        <f>IFERROR(IF(0=LEN(ReferenceData!$D$215),"",ReferenceData!$D$215),"")</f>
        <v>TOTAL_GHG_CO2_EMISSIONS</v>
      </c>
      <c r="E215" t="str">
        <f>IFERROR(IF(0=LEN(ReferenceData!$E$215),"",ReferenceData!$E$215),"")</f>
        <v>Dynamic</v>
      </c>
      <c r="F215" t="str">
        <f ca="1">IFERROR(IF(0=LEN(ReferenceData!$F$215),"",ReferenceData!$F$215),"")</f>
        <v/>
      </c>
      <c r="G215" t="str">
        <f ca="1">IFERROR(IF(0=LEN(ReferenceData!$G$215),"",ReferenceData!$G$215),"")</f>
        <v/>
      </c>
      <c r="H215" t="str">
        <f ca="1">IFERROR(IF(0=LEN(ReferenceData!$H$215),"",ReferenceData!$H$215),"")</f>
        <v/>
      </c>
      <c r="I215" t="str">
        <f ca="1">IFERROR(IF(0=LEN(ReferenceData!$I$215),"",ReferenceData!$I$215),"")</f>
        <v/>
      </c>
      <c r="J215" t="str">
        <f ca="1">IFERROR(IF(0=LEN(ReferenceData!$J$215),"",ReferenceData!$J$215),"")</f>
        <v/>
      </c>
    </row>
    <row r="216" spans="1:10" x14ac:dyDescent="0.25">
      <c r="A216" t="str">
        <f>IFERROR(IF(0=LEN(ReferenceData!$A$216),"",ReferenceData!$A$216),"")</f>
        <v xml:space="preserve">                    National Beverage Corp</v>
      </c>
      <c r="B216" t="str">
        <f>IFERROR(IF(0=LEN(ReferenceData!$B$216),"",ReferenceData!$B$216),"")</f>
        <v>FIZZ US Equity</v>
      </c>
      <c r="C216" t="str">
        <f>IFERROR(IF(0=LEN(ReferenceData!$C$216),"",ReferenceData!$C$216),"")</f>
        <v>F0946</v>
      </c>
      <c r="D216" t="str">
        <f>IFERROR(IF(0=LEN(ReferenceData!$D$216),"",ReferenceData!$D$216),"")</f>
        <v>TOTAL_GHG_CO2_EMISSIONS</v>
      </c>
      <c r="E216" t="str">
        <f>IFERROR(IF(0=LEN(ReferenceData!$E$216),"",ReferenceData!$E$216),"")</f>
        <v>Dynamic</v>
      </c>
      <c r="F216" t="str">
        <f ca="1">IFERROR(IF(0=LEN(ReferenceData!$F$216),"",ReferenceData!$F$216),"")</f>
        <v/>
      </c>
      <c r="G216" t="str">
        <f ca="1">IFERROR(IF(0=LEN(ReferenceData!$G$216),"",ReferenceData!$G$216),"")</f>
        <v/>
      </c>
      <c r="H216" t="str">
        <f ca="1">IFERROR(IF(0=LEN(ReferenceData!$H$216),"",ReferenceData!$H$216),"")</f>
        <v/>
      </c>
      <c r="I216" t="str">
        <f ca="1">IFERROR(IF(0=LEN(ReferenceData!$I$216),"",ReferenceData!$I$216),"")</f>
        <v/>
      </c>
      <c r="J216" t="str">
        <f ca="1">IFERROR(IF(0=LEN(ReferenceData!$J$216),"",ReferenceData!$J$216),"")</f>
        <v/>
      </c>
    </row>
    <row r="217" spans="1:10" x14ac:dyDescent="0.25">
      <c r="A217" t="str">
        <f>IFERROR(IF(0=LEN(ReferenceData!$A$217),"",ReferenceData!$A$217),"")</f>
        <v xml:space="preserve">                    Organizacion Cultiba SAB de CV</v>
      </c>
      <c r="B217" t="str">
        <f>IFERROR(IF(0=LEN(ReferenceData!$B$217),"",ReferenceData!$B$217),"")</f>
        <v>CULTIBAB MM Equity</v>
      </c>
      <c r="C217" t="str">
        <f>IFERROR(IF(0=LEN(ReferenceData!$C$217),"",ReferenceData!$C$217),"")</f>
        <v>F0946</v>
      </c>
      <c r="D217" t="str">
        <f>IFERROR(IF(0=LEN(ReferenceData!$D$217),"",ReferenceData!$D$217),"")</f>
        <v>TOTAL_GHG_CO2_EMISSIONS</v>
      </c>
      <c r="E217" t="str">
        <f>IFERROR(IF(0=LEN(ReferenceData!$E$217),"",ReferenceData!$E$217),"")</f>
        <v>Dynamic</v>
      </c>
      <c r="F217" t="str">
        <f ca="1">IFERROR(IF(0=LEN(ReferenceData!$F$217),"",ReferenceData!$F$217),"")</f>
        <v/>
      </c>
      <c r="G217" t="str">
        <f ca="1">IFERROR(IF(0=LEN(ReferenceData!$G$217),"",ReferenceData!$G$217),"")</f>
        <v/>
      </c>
      <c r="H217" t="str">
        <f ca="1">IFERROR(IF(0=LEN(ReferenceData!$H$217),"",ReferenceData!$H$217),"")</f>
        <v/>
      </c>
      <c r="I217" t="str">
        <f ca="1">IFERROR(IF(0=LEN(ReferenceData!$I$217),"",ReferenceData!$I$217),"")</f>
        <v/>
      </c>
      <c r="J217" t="str">
        <f ca="1">IFERROR(IF(0=LEN(ReferenceData!$J$217),"",ReferenceData!$J$217),"")</f>
        <v/>
      </c>
    </row>
    <row r="218" spans="1:10" x14ac:dyDescent="0.25">
      <c r="A218" t="str">
        <f>IFERROR(IF(0=LEN(ReferenceData!$A$218),"",ReferenceData!$A$218),"")</f>
        <v xml:space="preserve">                    PepsiCo Inc</v>
      </c>
      <c r="B218" t="str">
        <f>IFERROR(IF(0=LEN(ReferenceData!$B$218),"",ReferenceData!$B$218),"")</f>
        <v>PEP US Equity</v>
      </c>
      <c r="C218" t="str">
        <f>IFERROR(IF(0=LEN(ReferenceData!$C$218),"",ReferenceData!$C$218),"")</f>
        <v>F0946</v>
      </c>
      <c r="D218" t="str">
        <f>IFERROR(IF(0=LEN(ReferenceData!$D$218),"",ReferenceData!$D$218),"")</f>
        <v>TOTAL_GHG_CO2_EMISSIONS</v>
      </c>
      <c r="E218" t="str">
        <f>IFERROR(IF(0=LEN(ReferenceData!$E$218),"",ReferenceData!$E$218),"")</f>
        <v>Dynamic</v>
      </c>
      <c r="F218" t="str">
        <f ca="1">IFERROR(IF(0=LEN(ReferenceData!$F$218),"",ReferenceData!$F$218),"")</f>
        <v/>
      </c>
      <c r="G218">
        <f ca="1">IFERROR(IF(0=LEN(ReferenceData!$G$218),"",ReferenceData!$G$218),"")</f>
        <v>5.4078300779999999</v>
      </c>
      <c r="H218">
        <f ca="1">IFERROR(IF(0=LEN(ReferenceData!$H$218),"",ReferenceData!$H$218),"")</f>
        <v>5.2723198240000002</v>
      </c>
      <c r="I218">
        <f ca="1">IFERROR(IF(0=LEN(ReferenceData!$I$218),"",ReferenceData!$I$218),"")</f>
        <v>5.108939941</v>
      </c>
      <c r="J218">
        <f ca="1">IFERROR(IF(0=LEN(ReferenceData!$J$218),"",ReferenceData!$J$218),"")</f>
        <v>5.2072402340000004</v>
      </c>
    </row>
    <row r="219" spans="1:10" x14ac:dyDescent="0.25">
      <c r="A219" t="str">
        <f>IFERROR(IF(0=LEN(ReferenceData!$A$219),"",ReferenceData!$A$219),"")</f>
        <v xml:space="preserve">                    Pernod Ricard SA</v>
      </c>
      <c r="B219" t="str">
        <f>IFERROR(IF(0=LEN(ReferenceData!$B$219),"",ReferenceData!$B$219),"")</f>
        <v>RI FP Equity</v>
      </c>
      <c r="C219" t="str">
        <f>IFERROR(IF(0=LEN(ReferenceData!$C$219),"",ReferenceData!$C$219),"")</f>
        <v>F0946</v>
      </c>
      <c r="D219" t="str">
        <f>IFERROR(IF(0=LEN(ReferenceData!$D$219),"",ReferenceData!$D$219),"")</f>
        <v>TOTAL_GHG_CO2_EMISSIONS</v>
      </c>
      <c r="E219" t="str">
        <f>IFERROR(IF(0=LEN(ReferenceData!$E$219),"",ReferenceData!$E$219),"")</f>
        <v>Dynamic</v>
      </c>
      <c r="F219" t="str">
        <f ca="1">IFERROR(IF(0=LEN(ReferenceData!$F$219),"",ReferenceData!$F$219),"")</f>
        <v/>
      </c>
      <c r="G219">
        <f ca="1">IFERROR(IF(0=LEN(ReferenceData!$G$219),"",ReferenceData!$G$219),"")</f>
        <v>0.34213501000000002</v>
      </c>
      <c r="H219">
        <f ca="1">IFERROR(IF(0=LEN(ReferenceData!$H$219),"",ReferenceData!$H$219),"")</f>
        <v>0.29499700899999998</v>
      </c>
      <c r="I219">
        <f ca="1">IFERROR(IF(0=LEN(ReferenceData!$I$219),"",ReferenceData!$I$219),"")</f>
        <v>0.28497399899999998</v>
      </c>
      <c r="J219">
        <f ca="1">IFERROR(IF(0=LEN(ReferenceData!$J$219),"",ReferenceData!$J$219),"")</f>
        <v>0.29752899199999999</v>
      </c>
    </row>
    <row r="220" spans="1:10" x14ac:dyDescent="0.25">
      <c r="A220" t="str">
        <f>IFERROR(IF(0=LEN(ReferenceData!$A$220),"",ReferenceData!$A$220),"")</f>
        <v xml:space="preserve">                    Primo Water Corp</v>
      </c>
      <c r="B220" t="str">
        <f>IFERROR(IF(0=LEN(ReferenceData!$B$220),"",ReferenceData!$B$220),"")</f>
        <v>PRMW US Equity</v>
      </c>
      <c r="C220" t="str">
        <f>IFERROR(IF(0=LEN(ReferenceData!$C$220),"",ReferenceData!$C$220),"")</f>
        <v>F0946</v>
      </c>
      <c r="D220" t="str">
        <f>IFERROR(IF(0=LEN(ReferenceData!$D$220),"",ReferenceData!$D$220),"")</f>
        <v>TOTAL_GHG_CO2_EMISSIONS</v>
      </c>
      <c r="E220" t="str">
        <f>IFERROR(IF(0=LEN(ReferenceData!$E$220),"",ReferenceData!$E$220),"")</f>
        <v>Dynamic</v>
      </c>
      <c r="F220" t="str">
        <f ca="1">IFERROR(IF(0=LEN(ReferenceData!$F$220),"",ReferenceData!$F$220),"")</f>
        <v/>
      </c>
      <c r="G220" t="str">
        <f ca="1">IFERROR(IF(0=LEN(ReferenceData!$G$220),"",ReferenceData!$G$220),"")</f>
        <v/>
      </c>
      <c r="H220" t="str">
        <f ca="1">IFERROR(IF(0=LEN(ReferenceData!$H$220),"",ReferenceData!$H$220),"")</f>
        <v/>
      </c>
      <c r="I220" t="str">
        <f ca="1">IFERROR(IF(0=LEN(ReferenceData!$I$220),"",ReferenceData!$I$220),"")</f>
        <v/>
      </c>
      <c r="J220" t="str">
        <f ca="1">IFERROR(IF(0=LEN(ReferenceData!$J$220),"",ReferenceData!$J$220),"")</f>
        <v/>
      </c>
    </row>
    <row r="221" spans="1:10" x14ac:dyDescent="0.25">
      <c r="A221" t="str">
        <f>IFERROR(IF(0=LEN(ReferenceData!$A$221),"",ReferenceData!$A$221),"")</f>
        <v xml:space="preserve">                    Royal Unibrew A/S</v>
      </c>
      <c r="B221" t="str">
        <f>IFERROR(IF(0=LEN(ReferenceData!$B$221),"",ReferenceData!$B$221),"")</f>
        <v>RBREW DC Equity</v>
      </c>
      <c r="C221" t="str">
        <f>IFERROR(IF(0=LEN(ReferenceData!$C$221),"",ReferenceData!$C$221),"")</f>
        <v>F0946</v>
      </c>
      <c r="D221" t="str">
        <f>IFERROR(IF(0=LEN(ReferenceData!$D$221),"",ReferenceData!$D$221),"")</f>
        <v>TOTAL_GHG_CO2_EMISSIONS</v>
      </c>
      <c r="E221" t="str">
        <f>IFERROR(IF(0=LEN(ReferenceData!$E$221),"",ReferenceData!$E$221),"")</f>
        <v>Dynamic</v>
      </c>
      <c r="F221" t="str">
        <f ca="1">IFERROR(IF(0=LEN(ReferenceData!$F$221),"",ReferenceData!$F$221),"")</f>
        <v/>
      </c>
      <c r="G221">
        <f ca="1">IFERROR(IF(0=LEN(ReferenceData!$G$221),"",ReferenceData!$G$221),"")</f>
        <v>3.5831001000000001E-2</v>
      </c>
      <c r="H221" t="str">
        <f ca="1">IFERROR(IF(0=LEN(ReferenceData!$H$221),"",ReferenceData!$H$221),"")</f>
        <v/>
      </c>
      <c r="I221" t="str">
        <f ca="1">IFERROR(IF(0=LEN(ReferenceData!$I$221),"",ReferenceData!$I$221),"")</f>
        <v/>
      </c>
      <c r="J221" t="str">
        <f ca="1">IFERROR(IF(0=LEN(ReferenceData!$J$221),"",ReferenceData!$J$221),"")</f>
        <v/>
      </c>
    </row>
    <row r="222" spans="1:10" x14ac:dyDescent="0.25">
      <c r="A222" t="str">
        <f>IFERROR(IF(0=LEN(ReferenceData!$A$222),"",ReferenceData!$A$222),"")</f>
        <v xml:space="preserve">                    Remy Cointreau SA</v>
      </c>
      <c r="B222" t="str">
        <f>IFERROR(IF(0=LEN(ReferenceData!$B$222),"",ReferenceData!$B$222),"")</f>
        <v>RCO FP Equity</v>
      </c>
      <c r="C222" t="str">
        <f>IFERROR(IF(0=LEN(ReferenceData!$C$222),"",ReferenceData!$C$222),"")</f>
        <v>F0946</v>
      </c>
      <c r="D222" t="str">
        <f>IFERROR(IF(0=LEN(ReferenceData!$D$222),"",ReferenceData!$D$222),"")</f>
        <v>TOTAL_GHG_CO2_EMISSIONS</v>
      </c>
      <c r="E222" t="str">
        <f>IFERROR(IF(0=LEN(ReferenceData!$E$222),"",ReferenceData!$E$222),"")</f>
        <v>Dynamic</v>
      </c>
      <c r="F222" t="str">
        <f ca="1">IFERROR(IF(0=LEN(ReferenceData!$F$222),"",ReferenceData!$F$222),"")</f>
        <v/>
      </c>
      <c r="G222">
        <f ca="1">IFERROR(IF(0=LEN(ReferenceData!$G$222),"",ReferenceData!$G$222),"")</f>
        <v>7.1390000000000004E-3</v>
      </c>
      <c r="H222">
        <f ca="1">IFERROR(IF(0=LEN(ReferenceData!$H$222),"",ReferenceData!$H$222),"")</f>
        <v>7.8580000000000004E-3</v>
      </c>
      <c r="I222">
        <f ca="1">IFERROR(IF(0=LEN(ReferenceData!$I$222),"",ReferenceData!$I$222),"")</f>
        <v>8.2539999999999992E-3</v>
      </c>
      <c r="J222">
        <f ca="1">IFERROR(IF(0=LEN(ReferenceData!$J$222),"",ReferenceData!$J$222),"")</f>
        <v>1.1332999999999999E-2</v>
      </c>
    </row>
    <row r="223" spans="1:10" x14ac:dyDescent="0.25">
      <c r="A223" t="str">
        <f>IFERROR(IF(0=LEN(ReferenceData!$A$223),"",ReferenceData!$A$223),"")</f>
        <v xml:space="preserve">                    Sapporo Holdings Ltd</v>
      </c>
      <c r="B223" t="str">
        <f>IFERROR(IF(0=LEN(ReferenceData!$B$223),"",ReferenceData!$B$223),"")</f>
        <v>2501 JP Equity</v>
      </c>
      <c r="C223" t="str">
        <f>IFERROR(IF(0=LEN(ReferenceData!$C$223),"",ReferenceData!$C$223),"")</f>
        <v>F0946</v>
      </c>
      <c r="D223" t="str">
        <f>IFERROR(IF(0=LEN(ReferenceData!$D$223),"",ReferenceData!$D$223),"")</f>
        <v>TOTAL_GHG_CO2_EMISSIONS</v>
      </c>
      <c r="E223" t="str">
        <f>IFERROR(IF(0=LEN(ReferenceData!$E$223),"",ReferenceData!$E$223),"")</f>
        <v>Dynamic</v>
      </c>
      <c r="F223" t="str">
        <f ca="1">IFERROR(IF(0=LEN(ReferenceData!$F$223),"",ReferenceData!$F$223),"")</f>
        <v/>
      </c>
      <c r="G223">
        <f ca="1">IFERROR(IF(0=LEN(ReferenceData!$G$223),"",ReferenceData!$G$223),"")</f>
        <v>0.18410000600000001</v>
      </c>
      <c r="H223">
        <f ca="1">IFERROR(IF(0=LEN(ReferenceData!$H$223),"",ReferenceData!$H$223),"")</f>
        <v>0.18049999999999999</v>
      </c>
      <c r="I223">
        <f ca="1">IFERROR(IF(0=LEN(ReferenceData!$I$223),"",ReferenceData!$I$223),"")</f>
        <v>0.206899994</v>
      </c>
      <c r="J223">
        <f ca="1">IFERROR(IF(0=LEN(ReferenceData!$J$223),"",ReferenceData!$J$223),"")</f>
        <v>0.25539999400000002</v>
      </c>
    </row>
    <row r="224" spans="1:10" x14ac:dyDescent="0.25">
      <c r="A224" t="str">
        <f>IFERROR(IF(0=LEN(ReferenceData!$A$224),"",ReferenceData!$A$224),"")</f>
        <v xml:space="preserve">                    Suntory Beverage &amp; Food Ltd</v>
      </c>
      <c r="B224" t="str">
        <f>IFERROR(IF(0=LEN(ReferenceData!$B$224),"",ReferenceData!$B$224),"")</f>
        <v>2587 JP Equity</v>
      </c>
      <c r="C224" t="str">
        <f>IFERROR(IF(0=LEN(ReferenceData!$C$224),"",ReferenceData!$C$224),"")</f>
        <v>F0946</v>
      </c>
      <c r="D224" t="str">
        <f>IFERROR(IF(0=LEN(ReferenceData!$D$224),"",ReferenceData!$D$224),"")</f>
        <v>TOTAL_GHG_CO2_EMISSIONS</v>
      </c>
      <c r="E224" t="str">
        <f>IFERROR(IF(0=LEN(ReferenceData!$E$224),"",ReferenceData!$E$224),"")</f>
        <v>Dynamic</v>
      </c>
      <c r="F224" t="str">
        <f ca="1">IFERROR(IF(0=LEN(ReferenceData!$F$224),"",ReferenceData!$F$224),"")</f>
        <v/>
      </c>
      <c r="G224">
        <f ca="1">IFERROR(IF(0=LEN(ReferenceData!$G$224),"",ReferenceData!$G$224),"")</f>
        <v>0.51500000000000001</v>
      </c>
      <c r="H224">
        <f ca="1">IFERROR(IF(0=LEN(ReferenceData!$H$224),"",ReferenceData!$H$224),"")</f>
        <v>0.48599999999999999</v>
      </c>
      <c r="I224">
        <f ca="1">IFERROR(IF(0=LEN(ReferenceData!$I$224),"",ReferenceData!$I$224),"")</f>
        <v>0.501</v>
      </c>
      <c r="J224">
        <f ca="1">IFERROR(IF(0=LEN(ReferenceData!$J$224),"",ReferenceData!$J$224),"")</f>
        <v>0.46200000000000002</v>
      </c>
    </row>
    <row r="225" spans="1:10" x14ac:dyDescent="0.25">
      <c r="A225" t="str">
        <f>IFERROR(IF(0=LEN(ReferenceData!$A$225),"",ReferenceData!$A$225),"")</f>
        <v xml:space="preserve">                    Takara Holdings Inc</v>
      </c>
      <c r="B225" t="str">
        <f>IFERROR(IF(0=LEN(ReferenceData!$B$225),"",ReferenceData!$B$225),"")</f>
        <v>2531 JP Equity</v>
      </c>
      <c r="C225" t="str">
        <f>IFERROR(IF(0=LEN(ReferenceData!$C$225),"",ReferenceData!$C$225),"")</f>
        <v>F0946</v>
      </c>
      <c r="D225" t="str">
        <f>IFERROR(IF(0=LEN(ReferenceData!$D$225),"",ReferenceData!$D$225),"")</f>
        <v>TOTAL_GHG_CO2_EMISSIONS</v>
      </c>
      <c r="E225" t="str">
        <f>IFERROR(IF(0=LEN(ReferenceData!$E$225),"",ReferenceData!$E$225),"")</f>
        <v>Dynamic</v>
      </c>
      <c r="F225" t="str">
        <f ca="1">IFERROR(IF(0=LEN(ReferenceData!$F$225),"",ReferenceData!$F$225),"")</f>
        <v/>
      </c>
      <c r="G225">
        <f ca="1">IFERROR(IF(0=LEN(ReferenceData!$G$225),"",ReferenceData!$G$225),"")</f>
        <v>0.112800003</v>
      </c>
      <c r="H225">
        <f ca="1">IFERROR(IF(0=LEN(ReferenceData!$H$225),"",ReferenceData!$H$225),"")</f>
        <v>0.112800003</v>
      </c>
      <c r="I225">
        <f ca="1">IFERROR(IF(0=LEN(ReferenceData!$I$225),"",ReferenceData!$I$225),"")</f>
        <v>0.11019999699999999</v>
      </c>
      <c r="J225">
        <f ca="1">IFERROR(IF(0=LEN(ReferenceData!$J$225),"",ReferenceData!$J$225),"")</f>
        <v>0.113300003</v>
      </c>
    </row>
    <row r="226" spans="1:10" x14ac:dyDescent="0.25">
      <c r="A226" t="str">
        <f>IFERROR(IF(0=LEN(ReferenceData!$A$226),"",ReferenceData!$A$226),"")</f>
        <v xml:space="preserve">                    Tata Consumer Products Ltd</v>
      </c>
      <c r="B226" t="str">
        <f>IFERROR(IF(0=LEN(ReferenceData!$B$226),"",ReferenceData!$B$226),"")</f>
        <v>TATACONS IN Equity</v>
      </c>
      <c r="C226" t="str">
        <f>IFERROR(IF(0=LEN(ReferenceData!$C$226),"",ReferenceData!$C$226),"")</f>
        <v>F0946</v>
      </c>
      <c r="D226" t="str">
        <f>IFERROR(IF(0=LEN(ReferenceData!$D$226),"",ReferenceData!$D$226),"")</f>
        <v>TOTAL_GHG_CO2_EMISSIONS</v>
      </c>
      <c r="E226" t="str">
        <f>IFERROR(IF(0=LEN(ReferenceData!$E$226),"",ReferenceData!$E$226),"")</f>
        <v>Dynamic</v>
      </c>
      <c r="F226">
        <f ca="1">IFERROR(IF(0=LEN(ReferenceData!$F$226),"",ReferenceData!$F$226),"")</f>
        <v>2.6681E-2</v>
      </c>
      <c r="G226">
        <f ca="1">IFERROR(IF(0=LEN(ReferenceData!$G$226),"",ReferenceData!$G$226),"")</f>
        <v>3.1454000000000003E-2</v>
      </c>
      <c r="H226">
        <f ca="1">IFERROR(IF(0=LEN(ReferenceData!$H$226),"",ReferenceData!$H$226),"")</f>
        <v>3.2341999000000003E-2</v>
      </c>
      <c r="I226">
        <f ca="1">IFERROR(IF(0=LEN(ReferenceData!$I$226),"",ReferenceData!$I$226),"")</f>
        <v>2.8767999999999998E-2</v>
      </c>
      <c r="J226">
        <f ca="1">IFERROR(IF(0=LEN(ReferenceData!$J$226),"",ReferenceData!$J$226),"")</f>
        <v>2.6915001000000001E-2</v>
      </c>
    </row>
    <row r="227" spans="1:10" x14ac:dyDescent="0.25">
      <c r="A227" t="str">
        <f>IFERROR(IF(0=LEN(ReferenceData!$A$227),"",ReferenceData!$A$227),"")</f>
        <v xml:space="preserve">                    Thai Beverage PCL</v>
      </c>
      <c r="B227" t="str">
        <f>IFERROR(IF(0=LEN(ReferenceData!$B$227),"",ReferenceData!$B$227),"")</f>
        <v>THBEV SP Equity</v>
      </c>
      <c r="C227" t="str">
        <f>IFERROR(IF(0=LEN(ReferenceData!$C$227),"",ReferenceData!$C$227),"")</f>
        <v>F0946</v>
      </c>
      <c r="D227" t="str">
        <f>IFERROR(IF(0=LEN(ReferenceData!$D$227),"",ReferenceData!$D$227),"")</f>
        <v>TOTAL_GHG_CO2_EMISSIONS</v>
      </c>
      <c r="E227" t="str">
        <f>IFERROR(IF(0=LEN(ReferenceData!$E$227),"",ReferenceData!$E$227),"")</f>
        <v>Dynamic</v>
      </c>
      <c r="F227">
        <f ca="1">IFERROR(IF(0=LEN(ReferenceData!$F$227),"",ReferenceData!$F$227),"")</f>
        <v>0.93472699000000004</v>
      </c>
      <c r="G227">
        <f ca="1">IFERROR(IF(0=LEN(ReferenceData!$G$227),"",ReferenceData!$G$227),"")</f>
        <v>1.0086799930000001</v>
      </c>
      <c r="H227">
        <f ca="1">IFERROR(IF(0=LEN(ReferenceData!$H$227),"",ReferenceData!$H$227),"")</f>
        <v>1.062859985</v>
      </c>
      <c r="I227">
        <f ca="1">IFERROR(IF(0=LEN(ReferenceData!$I$227),"",ReferenceData!$I$227),"")</f>
        <v>1.114339966</v>
      </c>
      <c r="J227">
        <f ca="1">IFERROR(IF(0=LEN(ReferenceData!$J$227),"",ReferenceData!$J$227),"")</f>
        <v>0.76000897199999995</v>
      </c>
    </row>
    <row r="228" spans="1:10" x14ac:dyDescent="0.25">
      <c r="A228" t="str">
        <f>IFERROR(IF(0=LEN(ReferenceData!$A$228),"",ReferenceData!$A$228),"")</f>
        <v xml:space="preserve">                    Tsingtao Brewery Co Ltd</v>
      </c>
      <c r="B228" t="str">
        <f>IFERROR(IF(0=LEN(ReferenceData!$B$228),"",ReferenceData!$B$228),"")</f>
        <v>600600 CH Equity</v>
      </c>
      <c r="C228" t="str">
        <f>IFERROR(IF(0=LEN(ReferenceData!$C$228),"",ReferenceData!$C$228),"")</f>
        <v>F0946</v>
      </c>
      <c r="D228" t="str">
        <f>IFERROR(IF(0=LEN(ReferenceData!$D$228),"",ReferenceData!$D$228),"")</f>
        <v>TOTAL_GHG_CO2_EMISSIONS</v>
      </c>
      <c r="E228" t="str">
        <f>IFERROR(IF(0=LEN(ReferenceData!$E$228),"",ReferenceData!$E$228),"")</f>
        <v>Dynamic</v>
      </c>
      <c r="F228">
        <f ca="1">IFERROR(IF(0=LEN(ReferenceData!$F$228),"",ReferenceData!$F$228),"")</f>
        <v>0.74409600799999998</v>
      </c>
      <c r="G228">
        <f ca="1">IFERROR(IF(0=LEN(ReferenceData!$G$228),"",ReferenceData!$G$228),"")</f>
        <v>0.77864599599999995</v>
      </c>
      <c r="H228">
        <f ca="1">IFERROR(IF(0=LEN(ReferenceData!$H$228),"",ReferenceData!$H$228),"")</f>
        <v>0.85140698199999998</v>
      </c>
      <c r="I228">
        <f ca="1">IFERROR(IF(0=LEN(ReferenceData!$I$228),"",ReferenceData!$I$228),"")</f>
        <v>0.92779699699999996</v>
      </c>
      <c r="J228" t="str">
        <f ca="1">IFERROR(IF(0=LEN(ReferenceData!$J$228),"",ReferenceData!$J$228),"")</f>
        <v/>
      </c>
    </row>
    <row r="229" spans="1:10" x14ac:dyDescent="0.25">
      <c r="A229" t="str">
        <f>IFERROR(IF(0=LEN(ReferenceData!$A$229),"",ReferenceData!$A$229),"")</f>
        <v xml:space="preserve">                    Tingyi Cayman Islands Holding</v>
      </c>
      <c r="B229" t="str">
        <f>IFERROR(IF(0=LEN(ReferenceData!$B$229),"",ReferenceData!$B$229),"")</f>
        <v>322 HK Equity</v>
      </c>
      <c r="C229" t="str">
        <f>IFERROR(IF(0=LEN(ReferenceData!$C$229),"",ReferenceData!$C$229),"")</f>
        <v>F0946</v>
      </c>
      <c r="D229" t="str">
        <f>IFERROR(IF(0=LEN(ReferenceData!$D$229),"",ReferenceData!$D$229),"")</f>
        <v>TOTAL_GHG_CO2_EMISSIONS</v>
      </c>
      <c r="E229" t="str">
        <f>IFERROR(IF(0=LEN(ReferenceData!$E$229),"",ReferenceData!$E$229),"")</f>
        <v>Dynamic</v>
      </c>
      <c r="F229" t="str">
        <f ca="1">IFERROR(IF(0=LEN(ReferenceData!$F$229),"",ReferenceData!$F$229),"")</f>
        <v/>
      </c>
      <c r="G229">
        <f ca="1">IFERROR(IF(0=LEN(ReferenceData!$G$229),"",ReferenceData!$G$229),"")</f>
        <v>2.2823000489999998</v>
      </c>
      <c r="H229">
        <f ca="1">IFERROR(IF(0=LEN(ReferenceData!$H$229),"",ReferenceData!$H$229),"")</f>
        <v>1.022</v>
      </c>
      <c r="I229">
        <f ca="1">IFERROR(IF(0=LEN(ReferenceData!$I$229),"",ReferenceData!$I$229),"")</f>
        <v>0.995</v>
      </c>
      <c r="J229">
        <f ca="1">IFERROR(IF(0=LEN(ReferenceData!$J$229),"",ReferenceData!$J$229),"")</f>
        <v>1.071</v>
      </c>
    </row>
    <row r="230" spans="1:10" x14ac:dyDescent="0.25">
      <c r="A230" t="str">
        <f>IFERROR(IF(0=LEN(ReferenceData!$A$230),"",ReferenceData!$A$230),"")</f>
        <v xml:space="preserve">                    Treasury Wine Estates Ltd</v>
      </c>
      <c r="B230" t="str">
        <f>IFERROR(IF(0=LEN(ReferenceData!$B$230),"",ReferenceData!$B$230),"")</f>
        <v>TWE AU Equity</v>
      </c>
      <c r="C230" t="str">
        <f>IFERROR(IF(0=LEN(ReferenceData!$C$230),"",ReferenceData!$C$230),"")</f>
        <v>F0946</v>
      </c>
      <c r="D230" t="str">
        <f>IFERROR(IF(0=LEN(ReferenceData!$D$230),"",ReferenceData!$D$230),"")</f>
        <v>TOTAL_GHG_CO2_EMISSIONS</v>
      </c>
      <c r="E230" t="str">
        <f>IFERROR(IF(0=LEN(ReferenceData!$E$230),"",ReferenceData!$E$230),"")</f>
        <v>Dynamic</v>
      </c>
      <c r="F230" t="str">
        <f ca="1">IFERROR(IF(0=LEN(ReferenceData!$F$230),"",ReferenceData!$F$230),"")</f>
        <v/>
      </c>
      <c r="G230">
        <f ca="1">IFERROR(IF(0=LEN(ReferenceData!$G$230),"",ReferenceData!$G$230),"")</f>
        <v>4.0700001E-2</v>
      </c>
      <c r="H230">
        <f ca="1">IFERROR(IF(0=LEN(ReferenceData!$H$230),"",ReferenceData!$H$230),"")</f>
        <v>4.7299999000000002E-2</v>
      </c>
      <c r="I230">
        <f ca="1">IFERROR(IF(0=LEN(ReferenceData!$I$230),"",ReferenceData!$I$230),"")</f>
        <v>4.5700000999999997E-2</v>
      </c>
      <c r="J230">
        <f ca="1">IFERROR(IF(0=LEN(ReferenceData!$J$230),"",ReferenceData!$J$230),"")</f>
        <v>4.7599997999999998E-2</v>
      </c>
    </row>
    <row r="231" spans="1:10" x14ac:dyDescent="0.25">
      <c r="A231" t="str">
        <f>IFERROR(IF(0=LEN(ReferenceData!$A$231),"",ReferenceData!$A$231),"")</f>
        <v xml:space="preserve">                    Union de Cervecerias Peruanas</v>
      </c>
      <c r="B231" t="str">
        <f>IFERROR(IF(0=LEN(ReferenceData!$B$231),"",ReferenceData!$B$231),"")</f>
        <v>BACKUSI1 PE Equity</v>
      </c>
      <c r="C231" t="str">
        <f>IFERROR(IF(0=LEN(ReferenceData!$C$231),"",ReferenceData!$C$231),"")</f>
        <v>F0946</v>
      </c>
      <c r="D231" t="str">
        <f>IFERROR(IF(0=LEN(ReferenceData!$D$231),"",ReferenceData!$D$231),"")</f>
        <v>TOTAL_GHG_CO2_EMISSIONS</v>
      </c>
      <c r="E231" t="str">
        <f>IFERROR(IF(0=LEN(ReferenceData!$E$231),"",ReferenceData!$E$231),"")</f>
        <v>Dynamic</v>
      </c>
      <c r="F231" t="str">
        <f ca="1">IFERROR(IF(0=LEN(ReferenceData!$F$231),"",ReferenceData!$F$231),"")</f>
        <v/>
      </c>
      <c r="G231" t="str">
        <f ca="1">IFERROR(IF(0=LEN(ReferenceData!$G$231),"",ReferenceData!$G$231),"")</f>
        <v/>
      </c>
      <c r="H231" t="str">
        <f ca="1">IFERROR(IF(0=LEN(ReferenceData!$H$231),"",ReferenceData!$H$231),"")</f>
        <v/>
      </c>
      <c r="I231" t="str">
        <f ca="1">IFERROR(IF(0=LEN(ReferenceData!$I$231),"",ReferenceData!$I$231),"")</f>
        <v/>
      </c>
      <c r="J231" t="str">
        <f ca="1">IFERROR(IF(0=LEN(ReferenceData!$J$231),"",ReferenceData!$J$231),"")</f>
        <v/>
      </c>
    </row>
    <row r="232" spans="1:10" x14ac:dyDescent="0.25">
      <c r="A232" t="str">
        <f>IFERROR(IF(0=LEN(ReferenceData!$A$232),"",ReferenceData!$A$232),"")</f>
        <v xml:space="preserve">                    United Spirits Ltd</v>
      </c>
      <c r="B232" t="str">
        <f>IFERROR(IF(0=LEN(ReferenceData!$B$232),"",ReferenceData!$B$232),"")</f>
        <v>UNSP IN Equity</v>
      </c>
      <c r="C232" t="str">
        <f>IFERROR(IF(0=LEN(ReferenceData!$C$232),"",ReferenceData!$C$232),"")</f>
        <v>F0946</v>
      </c>
      <c r="D232" t="str">
        <f>IFERROR(IF(0=LEN(ReferenceData!$D$232),"",ReferenceData!$D$232),"")</f>
        <v>TOTAL_GHG_CO2_EMISSIONS</v>
      </c>
      <c r="E232" t="str">
        <f>IFERROR(IF(0=LEN(ReferenceData!$E$232),"",ReferenceData!$E$232),"")</f>
        <v>Dynamic</v>
      </c>
      <c r="F232" t="str">
        <f ca="1">IFERROR(IF(0=LEN(ReferenceData!$F$232),"",ReferenceData!$F$232),"")</f>
        <v/>
      </c>
      <c r="G232" t="str">
        <f ca="1">IFERROR(IF(0=LEN(ReferenceData!$G$232),"",ReferenceData!$G$232),"")</f>
        <v/>
      </c>
      <c r="H232" t="str">
        <f ca="1">IFERROR(IF(0=LEN(ReferenceData!$H$232),"",ReferenceData!$H$232),"")</f>
        <v/>
      </c>
      <c r="I232" t="str">
        <f ca="1">IFERROR(IF(0=LEN(ReferenceData!$I$232),"",ReferenceData!$I$232),"")</f>
        <v/>
      </c>
      <c r="J232" t="str">
        <f ca="1">IFERROR(IF(0=LEN(ReferenceData!$J$232),"",ReferenceData!$J$232),"")</f>
        <v/>
      </c>
    </row>
    <row r="233" spans="1:10" x14ac:dyDescent="0.25">
      <c r="A233" t="str">
        <f>IFERROR(IF(0=LEN(ReferenceData!$A$233),"",ReferenceData!$A$233),"")</f>
        <v xml:space="preserve">                    Uni-President China Holdings L</v>
      </c>
      <c r="B233" t="str">
        <f>IFERROR(IF(0=LEN(ReferenceData!$B$233),"",ReferenceData!$B$233),"")</f>
        <v>220 HK Equity</v>
      </c>
      <c r="C233" t="str">
        <f>IFERROR(IF(0=LEN(ReferenceData!$C$233),"",ReferenceData!$C$233),"")</f>
        <v>F0946</v>
      </c>
      <c r="D233" t="str">
        <f>IFERROR(IF(0=LEN(ReferenceData!$D$233),"",ReferenceData!$D$233),"")</f>
        <v>TOTAL_GHG_CO2_EMISSIONS</v>
      </c>
      <c r="E233" t="str">
        <f>IFERROR(IF(0=LEN(ReferenceData!$E$233),"",ReferenceData!$E$233),"")</f>
        <v>Dynamic</v>
      </c>
      <c r="F233">
        <f ca="1">IFERROR(IF(0=LEN(ReferenceData!$F$233),"",ReferenceData!$F$233),"")</f>
        <v>0.64701001000000002</v>
      </c>
      <c r="G233">
        <f ca="1">IFERROR(IF(0=LEN(ReferenceData!$G$233),"",ReferenceData!$G$233),"")</f>
        <v>0.59196997100000004</v>
      </c>
      <c r="H233">
        <f ca="1">IFERROR(IF(0=LEN(ReferenceData!$H$233),"",ReferenceData!$H$233),"")</f>
        <v>0.52821899400000005</v>
      </c>
      <c r="I233">
        <f ca="1">IFERROR(IF(0=LEN(ReferenceData!$I$233),"",ReferenceData!$I$233),"")</f>
        <v>0.45863699299999999</v>
      </c>
      <c r="J233">
        <f ca="1">IFERROR(IF(0=LEN(ReferenceData!$J$233),"",ReferenceData!$J$233),"")</f>
        <v>0.45472399899999999</v>
      </c>
    </row>
    <row r="234" spans="1:10" x14ac:dyDescent="0.25">
      <c r="A234" t="str">
        <f>IFERROR(IF(0=LEN(ReferenceData!$A$234),"",ReferenceData!$A$234),"")</f>
        <v xml:space="preserve">                    Vina Concha y Toro SA</v>
      </c>
      <c r="B234" t="str">
        <f>IFERROR(IF(0=LEN(ReferenceData!$B$234),"",ReferenceData!$B$234),"")</f>
        <v>CONCHA CI Equity</v>
      </c>
      <c r="C234" t="str">
        <f>IFERROR(IF(0=LEN(ReferenceData!$C$234),"",ReferenceData!$C$234),"")</f>
        <v>F0946</v>
      </c>
      <c r="D234" t="str">
        <f>IFERROR(IF(0=LEN(ReferenceData!$D$234),"",ReferenceData!$D$234),"")</f>
        <v>TOTAL_GHG_CO2_EMISSIONS</v>
      </c>
      <c r="E234" t="str">
        <f>IFERROR(IF(0=LEN(ReferenceData!$E$234),"",ReferenceData!$E$234),"")</f>
        <v>Dynamic</v>
      </c>
      <c r="F234" t="str">
        <f ca="1">IFERROR(IF(0=LEN(ReferenceData!$F$234),"",ReferenceData!$F$234),"")</f>
        <v/>
      </c>
      <c r="G234">
        <f ca="1">IFERROR(IF(0=LEN(ReferenceData!$G$234),"",ReferenceData!$G$234),"")</f>
        <v>6.2415000999999998E-2</v>
      </c>
      <c r="H234">
        <f ca="1">IFERROR(IF(0=LEN(ReferenceData!$H$234),"",ReferenceData!$H$234),"")</f>
        <v>6.1886200000000002E-2</v>
      </c>
      <c r="I234">
        <f ca="1">IFERROR(IF(0=LEN(ReferenceData!$I$234),"",ReferenceData!$I$234),"")</f>
        <v>5.5321998999999997E-2</v>
      </c>
      <c r="J234">
        <f ca="1">IFERROR(IF(0=LEN(ReferenceData!$J$234),"",ReferenceData!$J$234),"")</f>
        <v>5.8389000000000003E-2</v>
      </c>
    </row>
    <row r="235" spans="1:10" x14ac:dyDescent="0.25">
      <c r="A235" t="str">
        <f>IFERROR(IF(0=LEN(ReferenceData!$A$235),"",ReferenceData!$A$235),"")</f>
        <v xml:space="preserve">                    Vita Coco Co Inc/The</v>
      </c>
      <c r="B235" t="str">
        <f>IFERROR(IF(0=LEN(ReferenceData!$B$235),"",ReferenceData!$B$235),"")</f>
        <v>COCO US Equity</v>
      </c>
      <c r="C235" t="str">
        <f>IFERROR(IF(0=LEN(ReferenceData!$C$235),"",ReferenceData!$C$235),"")</f>
        <v>F0946</v>
      </c>
      <c r="D235" t="str">
        <f>IFERROR(IF(0=LEN(ReferenceData!$D$235),"",ReferenceData!$D$235),"")</f>
        <v>TOTAL_GHG_CO2_EMISSIONS</v>
      </c>
      <c r="E235" t="str">
        <f>IFERROR(IF(0=LEN(ReferenceData!$E$235),"",ReferenceData!$E$235),"")</f>
        <v>Dynamic</v>
      </c>
      <c r="F235" t="str">
        <f ca="1">IFERROR(IF(0=LEN(ReferenceData!$F$235),"",ReferenceData!$F$235),"")</f>
        <v/>
      </c>
      <c r="G235" t="str">
        <f ca="1">IFERROR(IF(0=LEN(ReferenceData!$G$235),"",ReferenceData!$G$235),"")</f>
        <v/>
      </c>
      <c r="H235" t="str">
        <f ca="1">IFERROR(IF(0=LEN(ReferenceData!$H$235),"",ReferenceData!$H$235),"")</f>
        <v/>
      </c>
      <c r="I235" t="str">
        <f ca="1">IFERROR(IF(0=LEN(ReferenceData!$I$235),"",ReferenceData!$I$235),"")</f>
        <v/>
      </c>
      <c r="J235" t="str">
        <f ca="1">IFERROR(IF(0=LEN(ReferenceData!$J$235),"",ReferenceData!$J$235),"")</f>
        <v/>
      </c>
    </row>
    <row r="236" spans="1:10" x14ac:dyDescent="0.25">
      <c r="A236" t="str">
        <f>IFERROR(IF(0=LEN(ReferenceData!$A$236),"",ReferenceData!$A$236),"")</f>
        <v xml:space="preserve">                    Wuliangye Yibin Co Ltd</v>
      </c>
      <c r="B236" t="str">
        <f>IFERROR(IF(0=LEN(ReferenceData!$B$236),"",ReferenceData!$B$236),"")</f>
        <v>000858 CH Equity</v>
      </c>
      <c r="C236" t="str">
        <f>IFERROR(IF(0=LEN(ReferenceData!$C$236),"",ReferenceData!$C$236),"")</f>
        <v>F0946</v>
      </c>
      <c r="D236" t="str">
        <f>IFERROR(IF(0=LEN(ReferenceData!$D$236),"",ReferenceData!$D$236),"")</f>
        <v>TOTAL_GHG_CO2_EMISSIONS</v>
      </c>
      <c r="E236" t="str">
        <f>IFERROR(IF(0=LEN(ReferenceData!$E$236),"",ReferenceData!$E$236),"")</f>
        <v>Dynamic</v>
      </c>
      <c r="F236">
        <f ca="1">IFERROR(IF(0=LEN(ReferenceData!$F$236),"",ReferenceData!$F$236),"")</f>
        <v>0.48410000600000003</v>
      </c>
      <c r="G236">
        <f ca="1">IFERROR(IF(0=LEN(ReferenceData!$G$236),"",ReferenceData!$G$236),"")</f>
        <v>0.51959997599999996</v>
      </c>
      <c r="H236" t="str">
        <f ca="1">IFERROR(IF(0=LEN(ReferenceData!$H$236),"",ReferenceData!$H$236),"")</f>
        <v/>
      </c>
      <c r="I236" t="str">
        <f ca="1">IFERROR(IF(0=LEN(ReferenceData!$I$236),"",ReferenceData!$I$236),"")</f>
        <v/>
      </c>
      <c r="J236" t="str">
        <f ca="1">IFERROR(IF(0=LEN(ReferenceData!$J$236),"",ReferenceData!$J$236),"")</f>
        <v/>
      </c>
    </row>
    <row r="237" spans="1:10" x14ac:dyDescent="0.25">
      <c r="A237" t="str">
        <f>IFERROR(IF(0=LEN(ReferenceData!$A$237),"",ReferenceData!$A$237),"")</f>
        <v xml:space="preserve">                    Yakult Honsha Co Ltd</v>
      </c>
      <c r="B237" t="str">
        <f>IFERROR(IF(0=LEN(ReferenceData!$B$237),"",ReferenceData!$B$237),"")</f>
        <v>2267 JP Equity</v>
      </c>
      <c r="C237" t="str">
        <f>IFERROR(IF(0=LEN(ReferenceData!$C$237),"",ReferenceData!$C$237),"")</f>
        <v>F0946</v>
      </c>
      <c r="D237" t="str">
        <f>IFERROR(IF(0=LEN(ReferenceData!$D$237),"",ReferenceData!$D$237),"")</f>
        <v>TOTAL_GHG_CO2_EMISSIONS</v>
      </c>
      <c r="E237" t="str">
        <f>IFERROR(IF(0=LEN(ReferenceData!$E$237),"",ReferenceData!$E$237),"")</f>
        <v>Dynamic</v>
      </c>
      <c r="F237" t="str">
        <f ca="1">IFERROR(IF(0=LEN(ReferenceData!$F$237),"",ReferenceData!$F$237),"")</f>
        <v/>
      </c>
      <c r="G237">
        <f ca="1">IFERROR(IF(0=LEN(ReferenceData!$G$237),"",ReferenceData!$G$237),"")</f>
        <v>8.2903999000000006E-2</v>
      </c>
      <c r="H237">
        <f ca="1">IFERROR(IF(0=LEN(ReferenceData!$H$237),"",ReferenceData!$H$237),"")</f>
        <v>8.3730002999999997E-2</v>
      </c>
      <c r="I237">
        <f ca="1">IFERROR(IF(0=LEN(ReferenceData!$I$237),"",ReferenceData!$I$237),"")</f>
        <v>7.8918999000000004E-2</v>
      </c>
      <c r="J237">
        <f ca="1">IFERROR(IF(0=LEN(ReferenceData!$J$237),"",ReferenceData!$J$237),"")</f>
        <v>7.9303000999999998E-2</v>
      </c>
    </row>
    <row r="238" spans="1:10" x14ac:dyDescent="0.25">
      <c r="A238" t="str">
        <f>IFERROR(IF(0=LEN(ReferenceData!$A$238),"",ReferenceData!$A$238),"")</f>
        <v xml:space="preserve">                Food</v>
      </c>
      <c r="B238" t="str">
        <f>IFERROR(IF(0=LEN(ReferenceData!$B$238),"",ReferenceData!$B$238),"")</f>
        <v/>
      </c>
      <c r="C238" t="str">
        <f>IFERROR(IF(0=LEN(ReferenceData!$C$238),"",ReferenceData!$C$238),"")</f>
        <v/>
      </c>
      <c r="D238" t="str">
        <f>IFERROR(IF(0=LEN(ReferenceData!$D$238),"",ReferenceData!$D$238),"")</f>
        <v/>
      </c>
      <c r="E238" t="str">
        <f>IFERROR(IF(0=LEN(ReferenceData!$E$238),"",ReferenceData!$E$238),"")</f>
        <v>Sum</v>
      </c>
      <c r="F238">
        <f ca="1">IFERROR(IF(0=LEN(ReferenceData!$F$238),"",ReferenceData!$F$238),"")</f>
        <v>34.304678038000006</v>
      </c>
      <c r="G238">
        <f ca="1">IFERROR(IF(0=LEN(ReferenceData!$G$238),"",ReferenceData!$G$238),"")</f>
        <v>88.37408669700001</v>
      </c>
      <c r="H238">
        <f ca="1">IFERROR(IF(0=LEN(ReferenceData!$H$238),"",ReferenceData!$H$238),"")</f>
        <v>81.785049923999992</v>
      </c>
      <c r="I238">
        <f ca="1">IFERROR(IF(0=LEN(ReferenceData!$I$238),"",ReferenceData!$I$238),"")</f>
        <v>75.956587439999993</v>
      </c>
      <c r="J238">
        <f ca="1">IFERROR(IF(0=LEN(ReferenceData!$J$238),"",ReferenceData!$J$238),"")</f>
        <v>73.922043706000011</v>
      </c>
    </row>
    <row r="239" spans="1:10" x14ac:dyDescent="0.25">
      <c r="A239" t="str">
        <f>IFERROR(IF(0=LEN(ReferenceData!$A$239),"",ReferenceData!$A$239),"")</f>
        <v xml:space="preserve">                    AAK AB</v>
      </c>
      <c r="B239" t="str">
        <f>IFERROR(IF(0=LEN(ReferenceData!$B$239),"",ReferenceData!$B$239),"")</f>
        <v>AAK SS Equity</v>
      </c>
      <c r="C239" t="str">
        <f>IFERROR(IF(0=LEN(ReferenceData!$C$239),"",ReferenceData!$C$239),"")</f>
        <v>F0946</v>
      </c>
      <c r="D239" t="str">
        <f>IFERROR(IF(0=LEN(ReferenceData!$D$239),"",ReferenceData!$D$239),"")</f>
        <v>TOTAL_GHG_CO2_EMISSIONS</v>
      </c>
      <c r="E239" t="str">
        <f>IFERROR(IF(0=LEN(ReferenceData!$E$239),"",ReferenceData!$E$239),"")</f>
        <v>Dynamic</v>
      </c>
      <c r="F239">
        <f ca="1">IFERROR(IF(0=LEN(ReferenceData!$F$239),"",ReferenceData!$F$239),"")</f>
        <v>0.34392999299999999</v>
      </c>
      <c r="G239">
        <f ca="1">IFERROR(IF(0=LEN(ReferenceData!$G$239),"",ReferenceData!$G$239),"")</f>
        <v>0.28801199300000002</v>
      </c>
      <c r="H239">
        <f ca="1">IFERROR(IF(0=LEN(ReferenceData!$H$239),"",ReferenceData!$H$239),"")</f>
        <v>0.33768200700000001</v>
      </c>
      <c r="I239">
        <f ca="1">IFERROR(IF(0=LEN(ReferenceData!$I$239),"",ReferenceData!$I$239),"")</f>
        <v>0.36373800699999997</v>
      </c>
      <c r="J239">
        <f ca="1">IFERROR(IF(0=LEN(ReferenceData!$J$239),"",ReferenceData!$J$239),"")</f>
        <v>0.33900000000000002</v>
      </c>
    </row>
    <row r="240" spans="1:10" x14ac:dyDescent="0.25">
      <c r="A240" t="str">
        <f>IFERROR(IF(0=LEN(ReferenceData!$A$240),"",ReferenceData!$A$240),"")</f>
        <v xml:space="preserve">                    Ajinomoto Co Inc</v>
      </c>
      <c r="B240" t="str">
        <f>IFERROR(IF(0=LEN(ReferenceData!$B$240),"",ReferenceData!$B$240),"")</f>
        <v>2802 JP Equity</v>
      </c>
      <c r="C240" t="str">
        <f>IFERROR(IF(0=LEN(ReferenceData!$C$240),"",ReferenceData!$C$240),"")</f>
        <v>F0946</v>
      </c>
      <c r="D240" t="str">
        <f>IFERROR(IF(0=LEN(ReferenceData!$D$240),"",ReferenceData!$D$240),"")</f>
        <v>TOTAL_GHG_CO2_EMISSIONS</v>
      </c>
      <c r="E240" t="str">
        <f>IFERROR(IF(0=LEN(ReferenceData!$E$240),"",ReferenceData!$E$240),"")</f>
        <v>Dynamic</v>
      </c>
      <c r="F240" t="str">
        <f ca="1">IFERROR(IF(0=LEN(ReferenceData!$F$240),"",ReferenceData!$F$240),"")</f>
        <v/>
      </c>
      <c r="G240">
        <f ca="1">IFERROR(IF(0=LEN(ReferenceData!$G$240),"",ReferenceData!$G$240),"")</f>
        <v>1.6119599609999999</v>
      </c>
      <c r="H240">
        <f ca="1">IFERROR(IF(0=LEN(ReferenceData!$H$240),"",ReferenceData!$H$240),"")</f>
        <v>1.919599976</v>
      </c>
      <c r="I240">
        <f ca="1">IFERROR(IF(0=LEN(ReferenceData!$I$240),"",ReferenceData!$I$240),"")</f>
        <v>1.9913800049999999</v>
      </c>
      <c r="J240">
        <f ca="1">IFERROR(IF(0=LEN(ReferenceData!$J$240),"",ReferenceData!$J$240),"")</f>
        <v>2.2237299799999999</v>
      </c>
    </row>
    <row r="241" spans="1:10" x14ac:dyDescent="0.25">
      <c r="A241" t="str">
        <f>IFERROR(IF(0=LEN(ReferenceData!$A$241),"",ReferenceData!$A$241),"")</f>
        <v xml:space="preserve">                    Almarai Co JSC</v>
      </c>
      <c r="B241" t="str">
        <f>IFERROR(IF(0=LEN(ReferenceData!$B$241),"",ReferenceData!$B$241),"")</f>
        <v>ALMARAI AB Equity</v>
      </c>
      <c r="C241" t="str">
        <f>IFERROR(IF(0=LEN(ReferenceData!$C$241),"",ReferenceData!$C$241),"")</f>
        <v>F0946</v>
      </c>
      <c r="D241" t="str">
        <f>IFERROR(IF(0=LEN(ReferenceData!$D$241),"",ReferenceData!$D$241),"")</f>
        <v>TOTAL_GHG_CO2_EMISSIONS</v>
      </c>
      <c r="E241" t="str">
        <f>IFERROR(IF(0=LEN(ReferenceData!$E$241),"",ReferenceData!$E$241),"")</f>
        <v>Dynamic</v>
      </c>
      <c r="F241">
        <f ca="1">IFERROR(IF(0=LEN(ReferenceData!$F$241),"",ReferenceData!$F$241),"")</f>
        <v>1.7741500240000001</v>
      </c>
      <c r="G241">
        <f ca="1">IFERROR(IF(0=LEN(ReferenceData!$G$241),"",ReferenceData!$G$241),"")</f>
        <v>1.7786500240000001</v>
      </c>
      <c r="H241">
        <f ca="1">IFERROR(IF(0=LEN(ReferenceData!$H$241),"",ReferenceData!$H$241),"")</f>
        <v>1.7141300049999999</v>
      </c>
      <c r="I241">
        <f ca="1">IFERROR(IF(0=LEN(ReferenceData!$I$241),"",ReferenceData!$I$241),"")</f>
        <v>1.897599976</v>
      </c>
      <c r="J241">
        <f ca="1">IFERROR(IF(0=LEN(ReferenceData!$J$241),"",ReferenceData!$J$241),"")</f>
        <v>1.69202002</v>
      </c>
    </row>
    <row r="242" spans="1:10" x14ac:dyDescent="0.25">
      <c r="A242" t="str">
        <f>IFERROR(IF(0=LEN(ReferenceData!$A$242),"",ReferenceData!$A$242),"")</f>
        <v xml:space="preserve">                    Aryzta AG</v>
      </c>
      <c r="B242" t="str">
        <f>IFERROR(IF(0=LEN(ReferenceData!$B$242),"",ReferenceData!$B$242),"")</f>
        <v>ARYN SW Equity</v>
      </c>
      <c r="C242" t="str">
        <f>IFERROR(IF(0=LEN(ReferenceData!$C$242),"",ReferenceData!$C$242),"")</f>
        <v>F0946</v>
      </c>
      <c r="D242" t="str">
        <f>IFERROR(IF(0=LEN(ReferenceData!$D$242),"",ReferenceData!$D$242),"")</f>
        <v>TOTAL_GHG_CO2_EMISSIONS</v>
      </c>
      <c r="E242" t="str">
        <f>IFERROR(IF(0=LEN(ReferenceData!$E$242),"",ReferenceData!$E$242),"")</f>
        <v>Dynamic</v>
      </c>
      <c r="F242" t="str">
        <f ca="1">IFERROR(IF(0=LEN(ReferenceData!$F$242),"",ReferenceData!$F$242),"")</f>
        <v/>
      </c>
      <c r="G242">
        <f ca="1">IFERROR(IF(0=LEN(ReferenceData!$G$242),"",ReferenceData!$G$242),"")</f>
        <v>0.20202200300000001</v>
      </c>
      <c r="H242" t="str">
        <f ca="1">IFERROR(IF(0=LEN(ReferenceData!$H$242),"",ReferenceData!$H$242),"")</f>
        <v/>
      </c>
      <c r="I242" t="str">
        <f ca="1">IFERROR(IF(0=LEN(ReferenceData!$I$242),"",ReferenceData!$I$242),"")</f>
        <v/>
      </c>
      <c r="J242" t="str">
        <f ca="1">IFERROR(IF(0=LEN(ReferenceData!$J$242),"",ReferenceData!$J$242),"")</f>
        <v/>
      </c>
    </row>
    <row r="243" spans="1:10" x14ac:dyDescent="0.25">
      <c r="A243" t="str">
        <f>IFERROR(IF(0=LEN(ReferenceData!$A$243),"",ReferenceData!$A$243),"")</f>
        <v xml:space="preserve">                    Atria Oyj</v>
      </c>
      <c r="B243" t="str">
        <f>IFERROR(IF(0=LEN(ReferenceData!$B$243),"",ReferenceData!$B$243),"")</f>
        <v>ATRAV FH Equity</v>
      </c>
      <c r="C243" t="str">
        <f>IFERROR(IF(0=LEN(ReferenceData!$C$243),"",ReferenceData!$C$243),"")</f>
        <v>F0946</v>
      </c>
      <c r="D243" t="str">
        <f>IFERROR(IF(0=LEN(ReferenceData!$D$243),"",ReferenceData!$D$243),"")</f>
        <v>TOTAL_GHG_CO2_EMISSIONS</v>
      </c>
      <c r="E243" t="str">
        <f>IFERROR(IF(0=LEN(ReferenceData!$E$243),"",ReferenceData!$E$243),"")</f>
        <v>Dynamic</v>
      </c>
      <c r="F243">
        <f ca="1">IFERROR(IF(0=LEN(ReferenceData!$F$243),"",ReferenceData!$F$243),"")</f>
        <v>0.82899999999999996</v>
      </c>
      <c r="G243">
        <f ca="1">IFERROR(IF(0=LEN(ReferenceData!$G$243),"",ReferenceData!$G$243),"")</f>
        <v>0.80700000000000005</v>
      </c>
      <c r="H243">
        <f ca="1">IFERROR(IF(0=LEN(ReferenceData!$H$243),"",ReferenceData!$H$243),"")</f>
        <v>1.014</v>
      </c>
      <c r="I243">
        <f ca="1">IFERROR(IF(0=LEN(ReferenceData!$I$243),"",ReferenceData!$I$243),"")</f>
        <v>1.1879999999999999</v>
      </c>
      <c r="J243">
        <f ca="1">IFERROR(IF(0=LEN(ReferenceData!$J$243),"",ReferenceData!$J$243),"")</f>
        <v>1.2190000000000001</v>
      </c>
    </row>
    <row r="244" spans="1:10" x14ac:dyDescent="0.25">
      <c r="A244" t="str">
        <f>IFERROR(IF(0=LEN(ReferenceData!$A$244),"",ReferenceData!$A$244),"")</f>
        <v xml:space="preserve">                    Associated British Foods PLC</v>
      </c>
      <c r="B244" t="str">
        <f>IFERROR(IF(0=LEN(ReferenceData!$B$244),"",ReferenceData!$B$244),"")</f>
        <v>ABF LN Equity</v>
      </c>
      <c r="C244" t="str">
        <f>IFERROR(IF(0=LEN(ReferenceData!$C$244),"",ReferenceData!$C$244),"")</f>
        <v>F0946</v>
      </c>
      <c r="D244" t="str">
        <f>IFERROR(IF(0=LEN(ReferenceData!$D$244),"",ReferenceData!$D$244),"")</f>
        <v>TOTAL_GHG_CO2_EMISSIONS</v>
      </c>
      <c r="E244" t="str">
        <f>IFERROR(IF(0=LEN(ReferenceData!$E$244),"",ReferenceData!$E$244),"")</f>
        <v>Dynamic</v>
      </c>
      <c r="F244" t="str">
        <f ca="1">IFERROR(IF(0=LEN(ReferenceData!$F$244),"",ReferenceData!$F$244),"")</f>
        <v/>
      </c>
      <c r="G244">
        <f ca="1">IFERROR(IF(0=LEN(ReferenceData!$G$244),"",ReferenceData!$G$244),"")</f>
        <v>3.1609399410000001</v>
      </c>
      <c r="H244">
        <f ca="1">IFERROR(IF(0=LEN(ReferenceData!$H$244),"",ReferenceData!$H$244),"")</f>
        <v>3.5551899410000001</v>
      </c>
      <c r="I244">
        <f ca="1">IFERROR(IF(0=LEN(ReferenceData!$I$244),"",ReferenceData!$I$244),"")</f>
        <v>3.9929999999999999</v>
      </c>
      <c r="J244">
        <f ca="1">IFERROR(IF(0=LEN(ReferenceData!$J$244),"",ReferenceData!$J$244),"")</f>
        <v>4.1529999999999996</v>
      </c>
    </row>
    <row r="245" spans="1:10" x14ac:dyDescent="0.25">
      <c r="A245" t="str">
        <f>IFERROR(IF(0=LEN(ReferenceData!$A$245),"",ReferenceData!$A$245),"")</f>
        <v xml:space="preserve">                    Bega Cheese Ltd</v>
      </c>
      <c r="B245" t="str">
        <f>IFERROR(IF(0=LEN(ReferenceData!$B$245),"",ReferenceData!$B$245),"")</f>
        <v>BGA AU Equity</v>
      </c>
      <c r="C245" t="str">
        <f>IFERROR(IF(0=LEN(ReferenceData!$C$245),"",ReferenceData!$C$245),"")</f>
        <v>F0946</v>
      </c>
      <c r="D245" t="str">
        <f>IFERROR(IF(0=LEN(ReferenceData!$D$245),"",ReferenceData!$D$245),"")</f>
        <v>TOTAL_GHG_CO2_EMISSIONS</v>
      </c>
      <c r="E245" t="str">
        <f>IFERROR(IF(0=LEN(ReferenceData!$E$245),"",ReferenceData!$E$245),"")</f>
        <v>Dynamic</v>
      </c>
      <c r="F245" t="str">
        <f ca="1">IFERROR(IF(0=LEN(ReferenceData!$F$245),"",ReferenceData!$F$245),"")</f>
        <v/>
      </c>
      <c r="G245">
        <f ca="1">IFERROR(IF(0=LEN(ReferenceData!$G$245),"",ReferenceData!$G$245),"")</f>
        <v>0.288817993</v>
      </c>
      <c r="H245">
        <f ca="1">IFERROR(IF(0=LEN(ReferenceData!$H$245),"",ReferenceData!$H$245),"")</f>
        <v>0.29883801300000001</v>
      </c>
      <c r="I245">
        <f ca="1">IFERROR(IF(0=LEN(ReferenceData!$I$245),"",ReferenceData!$I$245),"")</f>
        <v>0.184393997</v>
      </c>
      <c r="J245">
        <f ca="1">IFERROR(IF(0=LEN(ReferenceData!$J$245),"",ReferenceData!$J$245),"")</f>
        <v>0.194744003</v>
      </c>
    </row>
    <row r="246" spans="1:10" x14ac:dyDescent="0.25">
      <c r="A246" t="str">
        <f>IFERROR(IF(0=LEN(ReferenceData!$A$246),"",ReferenceData!$A$246),"")</f>
        <v xml:space="preserve">                    Binggrae Co Ltd</v>
      </c>
      <c r="B246" t="str">
        <f>IFERROR(IF(0=LEN(ReferenceData!$B$246),"",ReferenceData!$B$246),"")</f>
        <v>005180 KS Equity</v>
      </c>
      <c r="C246" t="str">
        <f>IFERROR(IF(0=LEN(ReferenceData!$C$246),"",ReferenceData!$C$246),"")</f>
        <v>F0946</v>
      </c>
      <c r="D246" t="str">
        <f>IFERROR(IF(0=LEN(ReferenceData!$D$246),"",ReferenceData!$D$246),"")</f>
        <v>TOTAL_GHG_CO2_EMISSIONS</v>
      </c>
      <c r="E246" t="str">
        <f>IFERROR(IF(0=LEN(ReferenceData!$E$246),"",ReferenceData!$E$246),"")</f>
        <v>Dynamic</v>
      </c>
      <c r="F246" t="str">
        <f ca="1">IFERROR(IF(0=LEN(ReferenceData!$F$246),"",ReferenceData!$F$246),"")</f>
        <v/>
      </c>
      <c r="G246">
        <f ca="1">IFERROR(IF(0=LEN(ReferenceData!$G$246),"",ReferenceData!$G$246),"")</f>
        <v>6.1000999E-2</v>
      </c>
      <c r="H246">
        <f ca="1">IFERROR(IF(0=LEN(ReferenceData!$H$246),"",ReferenceData!$H$246),"")</f>
        <v>5.9762999999999997E-2</v>
      </c>
      <c r="I246">
        <f ca="1">IFERROR(IF(0=LEN(ReferenceData!$I$246),"",ReferenceData!$I$246),"")</f>
        <v>5.8208999999999997E-2</v>
      </c>
      <c r="J246">
        <f ca="1">IFERROR(IF(0=LEN(ReferenceData!$J$246),"",ReferenceData!$J$246),"")</f>
        <v>5.6972000000000002E-2</v>
      </c>
    </row>
    <row r="247" spans="1:10" x14ac:dyDescent="0.25">
      <c r="A247" t="str">
        <f>IFERROR(IF(0=LEN(ReferenceData!$A$247),"",ReferenceData!$A$247),"")</f>
        <v xml:space="preserve">                    Bonduelle SCA</v>
      </c>
      <c r="B247" t="str">
        <f>IFERROR(IF(0=LEN(ReferenceData!$B$247),"",ReferenceData!$B$247),"")</f>
        <v>BON FP Equity</v>
      </c>
      <c r="C247" t="str">
        <f>IFERROR(IF(0=LEN(ReferenceData!$C$247),"",ReferenceData!$C$247),"")</f>
        <v>F0946</v>
      </c>
      <c r="D247" t="str">
        <f>IFERROR(IF(0=LEN(ReferenceData!$D$247),"",ReferenceData!$D$247),"")</f>
        <v>TOTAL_GHG_CO2_EMISSIONS</v>
      </c>
      <c r="E247" t="str">
        <f>IFERROR(IF(0=LEN(ReferenceData!$E$247),"",ReferenceData!$E$247),"")</f>
        <v>Dynamic</v>
      </c>
      <c r="F247" t="str">
        <f ca="1">IFERROR(IF(0=LEN(ReferenceData!$F$247),"",ReferenceData!$F$247),"")</f>
        <v/>
      </c>
      <c r="G247">
        <f ca="1">IFERROR(IF(0=LEN(ReferenceData!$G$247),"",ReferenceData!$G$247),"")</f>
        <v>0.227108002</v>
      </c>
      <c r="H247">
        <f ca="1">IFERROR(IF(0=LEN(ReferenceData!$H$247),"",ReferenceData!$H$247),"")</f>
        <v>0.213949997</v>
      </c>
      <c r="I247">
        <f ca="1">IFERROR(IF(0=LEN(ReferenceData!$I$247),"",ReferenceData!$I$247),"")</f>
        <v>0.208395996</v>
      </c>
      <c r="J247">
        <f ca="1">IFERROR(IF(0=LEN(ReferenceData!$J$247),"",ReferenceData!$J$247),"")</f>
        <v>0.21284800700000001</v>
      </c>
    </row>
    <row r="248" spans="1:10" x14ac:dyDescent="0.25">
      <c r="A248" t="str">
        <f>IFERROR(IF(0=LEN(ReferenceData!$A$248),"",ReferenceData!$A$248),"")</f>
        <v xml:space="preserve">                    BRF SA</v>
      </c>
      <c r="B248" t="str">
        <f>IFERROR(IF(0=LEN(ReferenceData!$B$248),"",ReferenceData!$B$248),"")</f>
        <v>BRFS3 BZ Equity</v>
      </c>
      <c r="C248" t="str">
        <f>IFERROR(IF(0=LEN(ReferenceData!$C$248),"",ReferenceData!$C$248),"")</f>
        <v>F0946</v>
      </c>
      <c r="D248" t="str">
        <f>IFERROR(IF(0=LEN(ReferenceData!$D$248),"",ReferenceData!$D$248),"")</f>
        <v>TOTAL_GHG_CO2_EMISSIONS</v>
      </c>
      <c r="E248" t="str">
        <f>IFERROR(IF(0=LEN(ReferenceData!$E$248),"",ReferenceData!$E$248),"")</f>
        <v>Dynamic</v>
      </c>
      <c r="F248">
        <f ca="1">IFERROR(IF(0=LEN(ReferenceData!$F$248),"",ReferenceData!$F$248),"")</f>
        <v>0.45934100300000003</v>
      </c>
      <c r="G248">
        <f ca="1">IFERROR(IF(0=LEN(ReferenceData!$G$248),"",ReferenceData!$G$248),"")</f>
        <v>0.51827197300000005</v>
      </c>
      <c r="H248">
        <f ca="1">IFERROR(IF(0=LEN(ReferenceData!$H$248),"",ReferenceData!$H$248),"")</f>
        <v>0.35552801499999998</v>
      </c>
      <c r="I248">
        <f ca="1">IFERROR(IF(0=LEN(ReferenceData!$I$248),"",ReferenceData!$I$248),"")</f>
        <v>0.41109600800000001</v>
      </c>
      <c r="J248">
        <f ca="1">IFERROR(IF(0=LEN(ReferenceData!$J$248),"",ReferenceData!$J$248),"")</f>
        <v>0.38588299599999998</v>
      </c>
    </row>
    <row r="249" spans="1:10" x14ac:dyDescent="0.25">
      <c r="A249" t="str">
        <f>IFERROR(IF(0=LEN(ReferenceData!$A$249),"",ReferenceData!$A$249),"")</f>
        <v xml:space="preserve">                    Bright Dairy &amp; Food Co Ltd</v>
      </c>
      <c r="B249" t="str">
        <f>IFERROR(IF(0=LEN(ReferenceData!$B$249),"",ReferenceData!$B$249),"")</f>
        <v>600597 CH Equity</v>
      </c>
      <c r="C249" t="str">
        <f>IFERROR(IF(0=LEN(ReferenceData!$C$249),"",ReferenceData!$C$249),"")</f>
        <v>F0946</v>
      </c>
      <c r="D249" t="str">
        <f>IFERROR(IF(0=LEN(ReferenceData!$D$249),"",ReferenceData!$D$249),"")</f>
        <v>TOTAL_GHG_CO2_EMISSIONS</v>
      </c>
      <c r="E249" t="str">
        <f>IFERROR(IF(0=LEN(ReferenceData!$E$249),"",ReferenceData!$E$249),"")</f>
        <v>Dynamic</v>
      </c>
      <c r="F249">
        <f ca="1">IFERROR(IF(0=LEN(ReferenceData!$F$249),"",ReferenceData!$F$249),"")</f>
        <v>0.283700012</v>
      </c>
      <c r="G249">
        <f ca="1">IFERROR(IF(0=LEN(ReferenceData!$G$249),"",ReferenceData!$G$249),"")</f>
        <v>0.293899994</v>
      </c>
      <c r="H249">
        <f ca="1">IFERROR(IF(0=LEN(ReferenceData!$H$249),"",ReferenceData!$H$249),"")</f>
        <v>0.27029998799999999</v>
      </c>
      <c r="I249">
        <f ca="1">IFERROR(IF(0=LEN(ReferenceData!$I$249),"",ReferenceData!$I$249),"")</f>
        <v>0.24539999400000001</v>
      </c>
      <c r="J249" t="str">
        <f ca="1">IFERROR(IF(0=LEN(ReferenceData!$J$249),"",ReferenceData!$J$249),"")</f>
        <v/>
      </c>
    </row>
    <row r="250" spans="1:10" x14ac:dyDescent="0.25">
      <c r="A250" t="str">
        <f>IFERROR(IF(0=LEN(ReferenceData!$A$250),"",ReferenceData!$A$250),"")</f>
        <v xml:space="preserve">                    Barry Callebaut AG</v>
      </c>
      <c r="B250" t="str">
        <f>IFERROR(IF(0=LEN(ReferenceData!$B$250),"",ReferenceData!$B$250),"")</f>
        <v>BARN SW Equity</v>
      </c>
      <c r="C250" t="str">
        <f>IFERROR(IF(0=LEN(ReferenceData!$C$250),"",ReferenceData!$C$250),"")</f>
        <v>F0946</v>
      </c>
      <c r="D250" t="str">
        <f>IFERROR(IF(0=LEN(ReferenceData!$D$250),"",ReferenceData!$D$250),"")</f>
        <v>TOTAL_GHG_CO2_EMISSIONS</v>
      </c>
      <c r="E250" t="str">
        <f>IFERROR(IF(0=LEN(ReferenceData!$E$250),"",ReferenceData!$E$250),"")</f>
        <v>Dynamic</v>
      </c>
      <c r="F250" t="str">
        <f ca="1">IFERROR(IF(0=LEN(ReferenceData!$F$250),"",ReferenceData!$F$250),"")</f>
        <v/>
      </c>
      <c r="G250">
        <f ca="1">IFERROR(IF(0=LEN(ReferenceData!$G$250),"",ReferenceData!$G$250),"")</f>
        <v>0.37368899500000002</v>
      </c>
      <c r="H250" t="str">
        <f ca="1">IFERROR(IF(0=LEN(ReferenceData!$H$250),"",ReferenceData!$H$250),"")</f>
        <v/>
      </c>
      <c r="I250" t="str">
        <f ca="1">IFERROR(IF(0=LEN(ReferenceData!$I$250),"",ReferenceData!$I$250),"")</f>
        <v/>
      </c>
      <c r="J250" t="str">
        <f ca="1">IFERROR(IF(0=LEN(ReferenceData!$J$250),"",ReferenceData!$J$250),"")</f>
        <v/>
      </c>
    </row>
    <row r="251" spans="1:10" x14ac:dyDescent="0.25">
      <c r="A251" t="str">
        <f>IFERROR(IF(0=LEN(ReferenceData!$A$251),"",ReferenceData!$A$251),"")</f>
        <v xml:space="preserve">                    Britannia Industries Ltd</v>
      </c>
      <c r="B251" t="str">
        <f>IFERROR(IF(0=LEN(ReferenceData!$B$251),"",ReferenceData!$B$251),"")</f>
        <v>BRIT IN Equity</v>
      </c>
      <c r="C251" t="str">
        <f>IFERROR(IF(0=LEN(ReferenceData!$C$251),"",ReferenceData!$C$251),"")</f>
        <v>F0946</v>
      </c>
      <c r="D251" t="str">
        <f>IFERROR(IF(0=LEN(ReferenceData!$D$251),"",ReferenceData!$D$251),"")</f>
        <v>TOTAL_GHG_CO2_EMISSIONS</v>
      </c>
      <c r="E251" t="str">
        <f>IFERROR(IF(0=LEN(ReferenceData!$E$251),"",ReferenceData!$E$251),"")</f>
        <v>Dynamic</v>
      </c>
      <c r="F251" t="str">
        <f ca="1">IFERROR(IF(0=LEN(ReferenceData!$F$251),"",ReferenceData!$F$251),"")</f>
        <v/>
      </c>
      <c r="G251">
        <f ca="1">IFERROR(IF(0=LEN(ReferenceData!$G$251),"",ReferenceData!$G$251),"")</f>
        <v>0.124404999</v>
      </c>
      <c r="H251">
        <f ca="1">IFERROR(IF(0=LEN(ReferenceData!$H$251),"",ReferenceData!$H$251),"")</f>
        <v>0.12489800299999999</v>
      </c>
      <c r="I251">
        <f ca="1">IFERROR(IF(0=LEN(ReferenceData!$I$251),"",ReferenceData!$I$251),"")</f>
        <v>0.117962997</v>
      </c>
      <c r="J251">
        <f ca="1">IFERROR(IF(0=LEN(ReferenceData!$J$251),"",ReferenceData!$J$251),"")</f>
        <v>0.116052002</v>
      </c>
    </row>
    <row r="252" spans="1:10" x14ac:dyDescent="0.25">
      <c r="A252" t="str">
        <f>IFERROR(IF(0=LEN(ReferenceData!$A$252),"",ReferenceData!$A$252),"")</f>
        <v xml:space="preserve">                    Calbee Inc</v>
      </c>
      <c r="B252" t="str">
        <f>IFERROR(IF(0=LEN(ReferenceData!$B$252),"",ReferenceData!$B$252),"")</f>
        <v>2229 JP Equity</v>
      </c>
      <c r="C252" t="str">
        <f>IFERROR(IF(0=LEN(ReferenceData!$C$252),"",ReferenceData!$C$252),"")</f>
        <v>F0946</v>
      </c>
      <c r="D252" t="str">
        <f>IFERROR(IF(0=LEN(ReferenceData!$D$252),"",ReferenceData!$D$252),"")</f>
        <v>TOTAL_GHG_CO2_EMISSIONS</v>
      </c>
      <c r="E252" t="str">
        <f>IFERROR(IF(0=LEN(ReferenceData!$E$252),"",ReferenceData!$E$252),"")</f>
        <v>Dynamic</v>
      </c>
      <c r="F252" t="str">
        <f ca="1">IFERROR(IF(0=LEN(ReferenceData!$F$252),"",ReferenceData!$F$252),"")</f>
        <v/>
      </c>
      <c r="G252">
        <f ca="1">IFERROR(IF(0=LEN(ReferenceData!$G$252),"",ReferenceData!$G$252),"")</f>
        <v>0.163238998</v>
      </c>
      <c r="H252">
        <f ca="1">IFERROR(IF(0=LEN(ReferenceData!$H$252),"",ReferenceData!$H$252),"")</f>
        <v>0.15665299999999999</v>
      </c>
      <c r="I252">
        <f ca="1">IFERROR(IF(0=LEN(ReferenceData!$I$252),"",ReferenceData!$I$252),"")</f>
        <v>0.167903</v>
      </c>
      <c r="J252">
        <f ca="1">IFERROR(IF(0=LEN(ReferenceData!$J$252),"",ReferenceData!$J$252),"")</f>
        <v>0.17039500399999999</v>
      </c>
    </row>
    <row r="253" spans="1:10" x14ac:dyDescent="0.25">
      <c r="A253" t="str">
        <f>IFERROR(IF(0=LEN(ReferenceData!$A$253),"",ReferenceData!$A$253),"")</f>
        <v xml:space="preserve">                    Charoen Pokphand Foods PCL</v>
      </c>
      <c r="B253" t="str">
        <f>IFERROR(IF(0=LEN(ReferenceData!$B$253),"",ReferenceData!$B$253),"")</f>
        <v>CPF TB Equity</v>
      </c>
      <c r="C253" t="str">
        <f>IFERROR(IF(0=LEN(ReferenceData!$C$253),"",ReferenceData!$C$253),"")</f>
        <v>F0946</v>
      </c>
      <c r="D253" t="str">
        <f>IFERROR(IF(0=LEN(ReferenceData!$D$253),"",ReferenceData!$D$253),"")</f>
        <v>TOTAL_GHG_CO2_EMISSIONS</v>
      </c>
      <c r="E253" t="str">
        <f>IFERROR(IF(0=LEN(ReferenceData!$E$253),"",ReferenceData!$E$253),"")</f>
        <v>Dynamic</v>
      </c>
      <c r="F253">
        <f ca="1">IFERROR(IF(0=LEN(ReferenceData!$F$253),"",ReferenceData!$F$253),"")</f>
        <v>0.8</v>
      </c>
      <c r="G253">
        <f ca="1">IFERROR(IF(0=LEN(ReferenceData!$G$253),"",ReferenceData!$G$253),"")</f>
        <v>0.86299999999999999</v>
      </c>
      <c r="H253" t="str">
        <f ca="1">IFERROR(IF(0=LEN(ReferenceData!$H$253),"",ReferenceData!$H$253),"")</f>
        <v/>
      </c>
      <c r="I253">
        <f ca="1">IFERROR(IF(0=LEN(ReferenceData!$I$253),"",ReferenceData!$I$253),"")</f>
        <v>0.84</v>
      </c>
      <c r="J253" t="str">
        <f ca="1">IFERROR(IF(0=LEN(ReferenceData!$J$253),"",ReferenceData!$J$253),"")</f>
        <v/>
      </c>
    </row>
    <row r="254" spans="1:10" x14ac:dyDescent="0.25">
      <c r="A254" t="str">
        <f>IFERROR(IF(0=LEN(ReferenceData!$A$254),"",ReferenceData!$A$254),"")</f>
        <v xml:space="preserve">                    China Mengniu Dairy Co Ltd</v>
      </c>
      <c r="B254" t="str">
        <f>IFERROR(IF(0=LEN(ReferenceData!$B$254),"",ReferenceData!$B$254),"")</f>
        <v>2319 HK Equity</v>
      </c>
      <c r="C254" t="str">
        <f>IFERROR(IF(0=LEN(ReferenceData!$C$254),"",ReferenceData!$C$254),"")</f>
        <v>F0946</v>
      </c>
      <c r="D254" t="str">
        <f>IFERROR(IF(0=LEN(ReferenceData!$D$254),"",ReferenceData!$D$254),"")</f>
        <v>TOTAL_GHG_CO2_EMISSIONS</v>
      </c>
      <c r="E254" t="str">
        <f>IFERROR(IF(0=LEN(ReferenceData!$E$254),"",ReferenceData!$E$254),"")</f>
        <v>Dynamic</v>
      </c>
      <c r="F254">
        <f ca="1">IFERROR(IF(0=LEN(ReferenceData!$F$254),"",ReferenceData!$F$254),"")</f>
        <v>1.4256999509999999</v>
      </c>
      <c r="G254">
        <f ca="1">IFERROR(IF(0=LEN(ReferenceData!$G$254),"",ReferenceData!$G$254),"")</f>
        <v>1.36</v>
      </c>
      <c r="H254">
        <f ca="1">IFERROR(IF(0=LEN(ReferenceData!$H$254),"",ReferenceData!$H$254),"")</f>
        <v>0.92440002399999999</v>
      </c>
      <c r="I254">
        <f ca="1">IFERROR(IF(0=LEN(ReferenceData!$I$254),"",ReferenceData!$I$254),"")</f>
        <v>1.169599976</v>
      </c>
      <c r="J254">
        <f ca="1">IFERROR(IF(0=LEN(ReferenceData!$J$254),"",ReferenceData!$J$254),"")</f>
        <v>1.052199951</v>
      </c>
    </row>
    <row r="255" spans="1:10" x14ac:dyDescent="0.25">
      <c r="A255" t="str">
        <f>IFERROR(IF(0=LEN(ReferenceData!$A$255),"",ReferenceData!$A$255),"")</f>
        <v xml:space="preserve">                    Cloetta AB</v>
      </c>
      <c r="B255" t="str">
        <f>IFERROR(IF(0=LEN(ReferenceData!$B$255),"",ReferenceData!$B$255),"")</f>
        <v>CLAB SS Equity</v>
      </c>
      <c r="C255" t="str">
        <f>IFERROR(IF(0=LEN(ReferenceData!$C$255),"",ReferenceData!$C$255),"")</f>
        <v>F0946</v>
      </c>
      <c r="D255" t="str">
        <f>IFERROR(IF(0=LEN(ReferenceData!$D$255),"",ReferenceData!$D$255),"")</f>
        <v>TOTAL_GHG_CO2_EMISSIONS</v>
      </c>
      <c r="E255" t="str">
        <f>IFERROR(IF(0=LEN(ReferenceData!$E$255),"",ReferenceData!$E$255),"")</f>
        <v>Dynamic</v>
      </c>
      <c r="F255">
        <f ca="1">IFERROR(IF(0=LEN(ReferenceData!$F$255),"",ReferenceData!$F$255),"")</f>
        <v>3.4476001999999999E-2</v>
      </c>
      <c r="G255">
        <f ca="1">IFERROR(IF(0=LEN(ReferenceData!$G$255),"",ReferenceData!$G$255),"")</f>
        <v>3.2469397999999997E-2</v>
      </c>
      <c r="H255">
        <f ca="1">IFERROR(IF(0=LEN(ReferenceData!$H$255),"",ReferenceData!$H$255),"")</f>
        <v>1.9698998999999998E-2</v>
      </c>
      <c r="I255">
        <f ca="1">IFERROR(IF(0=LEN(ReferenceData!$I$255),"",ReferenceData!$I$255),"")</f>
        <v>2.7546000000000001E-2</v>
      </c>
      <c r="J255">
        <f ca="1">IFERROR(IF(0=LEN(ReferenceData!$J$255),"",ReferenceData!$J$255),"")</f>
        <v>3.1285E-2</v>
      </c>
    </row>
    <row r="256" spans="1:10" x14ac:dyDescent="0.25">
      <c r="A256" t="str">
        <f>IFERROR(IF(0=LEN(ReferenceData!$A$256),"",ReferenceData!$A$256),"")</f>
        <v xml:space="preserve">                    Conagra Brands Inc</v>
      </c>
      <c r="B256" t="str">
        <f>IFERROR(IF(0=LEN(ReferenceData!$B$256),"",ReferenceData!$B$256),"")</f>
        <v>CAG US Equity</v>
      </c>
      <c r="C256" t="str">
        <f>IFERROR(IF(0=LEN(ReferenceData!$C$256),"",ReferenceData!$C$256),"")</f>
        <v>F0946</v>
      </c>
      <c r="D256" t="str">
        <f>IFERROR(IF(0=LEN(ReferenceData!$D$256),"",ReferenceData!$D$256),"")</f>
        <v>TOTAL_GHG_CO2_EMISSIONS</v>
      </c>
      <c r="E256" t="str">
        <f>IFERROR(IF(0=LEN(ReferenceData!$E$256),"",ReferenceData!$E$256),"")</f>
        <v>Dynamic</v>
      </c>
      <c r="F256" t="str">
        <f ca="1">IFERROR(IF(0=LEN(ReferenceData!$F$256),"",ReferenceData!$F$256),"")</f>
        <v/>
      </c>
      <c r="G256">
        <f ca="1">IFERROR(IF(0=LEN(ReferenceData!$G$256),"",ReferenceData!$G$256),"")</f>
        <v>0.79778302000000001</v>
      </c>
      <c r="H256">
        <f ca="1">IFERROR(IF(0=LEN(ReferenceData!$H$256),"",ReferenceData!$H$256),"")</f>
        <v>0.854270996</v>
      </c>
      <c r="I256">
        <f ca="1">IFERROR(IF(0=LEN(ReferenceData!$I$256),"",ReferenceData!$I$256),"")</f>
        <v>0.86451300099999995</v>
      </c>
      <c r="J256">
        <f ca="1">IFERROR(IF(0=LEN(ReferenceData!$J$256),"",ReferenceData!$J$256),"")</f>
        <v>0.84877002000000001</v>
      </c>
    </row>
    <row r="257" spans="1:10" x14ac:dyDescent="0.25">
      <c r="A257" t="str">
        <f>IFERROR(IF(0=LEN(ReferenceData!$A$257),"",ReferenceData!$A$257),"")</f>
        <v xml:space="preserve">                    Cal-Maine Foods Inc</v>
      </c>
      <c r="B257" t="str">
        <f>IFERROR(IF(0=LEN(ReferenceData!$B$257),"",ReferenceData!$B$257),"")</f>
        <v>CALM US Equity</v>
      </c>
      <c r="C257" t="str">
        <f>IFERROR(IF(0=LEN(ReferenceData!$C$257),"",ReferenceData!$C$257),"")</f>
        <v>F0946</v>
      </c>
      <c r="D257" t="str">
        <f>IFERROR(IF(0=LEN(ReferenceData!$D$257),"",ReferenceData!$D$257),"")</f>
        <v>TOTAL_GHG_CO2_EMISSIONS</v>
      </c>
      <c r="E257" t="str">
        <f>IFERROR(IF(0=LEN(ReferenceData!$E$257),"",ReferenceData!$E$257),"")</f>
        <v>Dynamic</v>
      </c>
      <c r="F257" t="str">
        <f ca="1">IFERROR(IF(0=LEN(ReferenceData!$F$257),"",ReferenceData!$F$257),"")</f>
        <v/>
      </c>
      <c r="G257" t="str">
        <f ca="1">IFERROR(IF(0=LEN(ReferenceData!$G$257),"",ReferenceData!$G$257),"")</f>
        <v/>
      </c>
      <c r="H257" t="str">
        <f ca="1">IFERROR(IF(0=LEN(ReferenceData!$H$257),"",ReferenceData!$H$257),"")</f>
        <v/>
      </c>
      <c r="I257" t="str">
        <f ca="1">IFERROR(IF(0=LEN(ReferenceData!$I$257),"",ReferenceData!$I$257),"")</f>
        <v/>
      </c>
      <c r="J257" t="str">
        <f ca="1">IFERROR(IF(0=LEN(ReferenceData!$J$257),"",ReferenceData!$J$257),"")</f>
        <v/>
      </c>
    </row>
    <row r="258" spans="1:10" x14ac:dyDescent="0.25">
      <c r="A258" t="str">
        <f>IFERROR(IF(0=LEN(ReferenceData!$A$258),"",ReferenceData!$A$258),"")</f>
        <v xml:space="preserve">                    Campbell Soup Co</v>
      </c>
      <c r="B258" t="str">
        <f>IFERROR(IF(0=LEN(ReferenceData!$B$258),"",ReferenceData!$B$258),"")</f>
        <v>CPB US Equity</v>
      </c>
      <c r="C258" t="str">
        <f>IFERROR(IF(0=LEN(ReferenceData!$C$258),"",ReferenceData!$C$258),"")</f>
        <v>F0946</v>
      </c>
      <c r="D258" t="str">
        <f>IFERROR(IF(0=LEN(ReferenceData!$D$258),"",ReferenceData!$D$258),"")</f>
        <v>TOTAL_GHG_CO2_EMISSIONS</v>
      </c>
      <c r="E258" t="str">
        <f>IFERROR(IF(0=LEN(ReferenceData!$E$258),"",ReferenceData!$E$258),"")</f>
        <v>Dynamic</v>
      </c>
      <c r="F258">
        <f ca="1">IFERROR(IF(0=LEN(ReferenceData!$F$258),"",ReferenceData!$F$258),"")</f>
        <v>0.676981995</v>
      </c>
      <c r="G258">
        <f ca="1">IFERROR(IF(0=LEN(ReferenceData!$G$258),"",ReferenceData!$G$258),"")</f>
        <v>0.68752301000000005</v>
      </c>
      <c r="H258">
        <f ca="1">IFERROR(IF(0=LEN(ReferenceData!$H$258),"",ReferenceData!$H$258),"")</f>
        <v>0.72220001199999995</v>
      </c>
      <c r="I258">
        <f ca="1">IFERROR(IF(0=LEN(ReferenceData!$I$258),"",ReferenceData!$I$258),"")</f>
        <v>0.67469097899999997</v>
      </c>
      <c r="J258">
        <f ca="1">IFERROR(IF(0=LEN(ReferenceData!$J$258),"",ReferenceData!$J$258),"")</f>
        <v>0.69387597700000003</v>
      </c>
    </row>
    <row r="259" spans="1:10" x14ac:dyDescent="0.25">
      <c r="A259" t="str">
        <f>IFERROR(IF(0=LEN(ReferenceData!$A$259),"",ReferenceData!$A$259),"")</f>
        <v xml:space="preserve">                    Daesang Corp</v>
      </c>
      <c r="B259" t="str">
        <f>IFERROR(IF(0=LEN(ReferenceData!$B$259),"",ReferenceData!$B$259),"")</f>
        <v>001680 KS Equity</v>
      </c>
      <c r="C259" t="str">
        <f>IFERROR(IF(0=LEN(ReferenceData!$C$259),"",ReferenceData!$C$259),"")</f>
        <v>F0946</v>
      </c>
      <c r="D259" t="str">
        <f>IFERROR(IF(0=LEN(ReferenceData!$D$259),"",ReferenceData!$D$259),"")</f>
        <v>TOTAL_GHG_CO2_EMISSIONS</v>
      </c>
      <c r="E259" t="str">
        <f>IFERROR(IF(0=LEN(ReferenceData!$E$259),"",ReferenceData!$E$259),"")</f>
        <v>Dynamic</v>
      </c>
      <c r="F259" t="str">
        <f ca="1">IFERROR(IF(0=LEN(ReferenceData!$F$259),"",ReferenceData!$F$259),"")</f>
        <v/>
      </c>
      <c r="G259">
        <f ca="1">IFERROR(IF(0=LEN(ReferenceData!$G$259),"",ReferenceData!$G$259),"")</f>
        <v>0.50874099699999997</v>
      </c>
      <c r="H259">
        <f ca="1">IFERROR(IF(0=LEN(ReferenceData!$H$259),"",ReferenceData!$H$259),"")</f>
        <v>0.50870700099999999</v>
      </c>
      <c r="I259">
        <f ca="1">IFERROR(IF(0=LEN(ReferenceData!$I$259),"",ReferenceData!$I$259),"")</f>
        <v>0.53607299799999997</v>
      </c>
      <c r="J259">
        <f ca="1">IFERROR(IF(0=LEN(ReferenceData!$J$259),"",ReferenceData!$J$259),"")</f>
        <v>0.54324298100000001</v>
      </c>
    </row>
    <row r="260" spans="1:10" x14ac:dyDescent="0.25">
      <c r="A260" t="str">
        <f>IFERROR(IF(0=LEN(ReferenceData!$A$260),"",ReferenceData!$A$260),"")</f>
        <v xml:space="preserve">                    Danone SA</v>
      </c>
      <c r="B260" t="str">
        <f>IFERROR(IF(0=LEN(ReferenceData!$B$260),"",ReferenceData!$B$260),"")</f>
        <v>BN FP Equity</v>
      </c>
      <c r="C260" t="str">
        <f>IFERROR(IF(0=LEN(ReferenceData!$C$260),"",ReferenceData!$C$260),"")</f>
        <v>F0946</v>
      </c>
      <c r="D260" t="str">
        <f>IFERROR(IF(0=LEN(ReferenceData!$D$260),"",ReferenceData!$D$260),"")</f>
        <v>TOTAL_GHG_CO2_EMISSIONS</v>
      </c>
      <c r="E260" t="str">
        <f>IFERROR(IF(0=LEN(ReferenceData!$E$260),"",ReferenceData!$E$260),"")</f>
        <v>Dynamic</v>
      </c>
      <c r="F260" t="str">
        <f ca="1">IFERROR(IF(0=LEN(ReferenceData!$F$260),"",ReferenceData!$F$260),"")</f>
        <v/>
      </c>
      <c r="G260">
        <f ca="1">IFERROR(IF(0=LEN(ReferenceData!$G$260),"",ReferenceData!$G$260),"")</f>
        <v>1.495619995</v>
      </c>
      <c r="H260">
        <f ca="1">IFERROR(IF(0=LEN(ReferenceData!$H$260),"",ReferenceData!$H$260),"")</f>
        <v>1.5330600590000001</v>
      </c>
      <c r="I260">
        <f ca="1">IFERROR(IF(0=LEN(ReferenceData!$I$260),"",ReferenceData!$I$260),"")</f>
        <v>1.66697998</v>
      </c>
      <c r="J260">
        <f ca="1">IFERROR(IF(0=LEN(ReferenceData!$J$260),"",ReferenceData!$J$260),"")</f>
        <v>1.7130200200000001</v>
      </c>
    </row>
    <row r="261" spans="1:10" x14ac:dyDescent="0.25">
      <c r="A261" t="str">
        <f>IFERROR(IF(0=LEN(ReferenceData!$A$261),"",ReferenceData!$A$261),"")</f>
        <v xml:space="preserve">                    Delfi Ltd</v>
      </c>
      <c r="B261" t="str">
        <f>IFERROR(IF(0=LEN(ReferenceData!$B$261),"",ReferenceData!$B$261),"")</f>
        <v>DELFI SP Equity</v>
      </c>
      <c r="C261" t="str">
        <f>IFERROR(IF(0=LEN(ReferenceData!$C$261),"",ReferenceData!$C$261),"")</f>
        <v>F0946</v>
      </c>
      <c r="D261" t="str">
        <f>IFERROR(IF(0=LEN(ReferenceData!$D$261),"",ReferenceData!$D$261),"")</f>
        <v>TOTAL_GHG_CO2_EMISSIONS</v>
      </c>
      <c r="E261" t="str">
        <f>IFERROR(IF(0=LEN(ReferenceData!$E$261),"",ReferenceData!$E$261),"")</f>
        <v>Dynamic</v>
      </c>
      <c r="F261">
        <f ca="1">IFERROR(IF(0=LEN(ReferenceData!$F$261),"",ReferenceData!$F$261),"")</f>
        <v>5.0168998999999999E-2</v>
      </c>
      <c r="G261">
        <f ca="1">IFERROR(IF(0=LEN(ReferenceData!$G$261),"",ReferenceData!$G$261),"")</f>
        <v>4.8094001999999997E-2</v>
      </c>
      <c r="H261" t="str">
        <f ca="1">IFERROR(IF(0=LEN(ReferenceData!$H$261),"",ReferenceData!$H$261),"")</f>
        <v/>
      </c>
      <c r="I261" t="str">
        <f ca="1">IFERROR(IF(0=LEN(ReferenceData!$I$261),"",ReferenceData!$I$261),"")</f>
        <v/>
      </c>
      <c r="J261" t="str">
        <f ca="1">IFERROR(IF(0=LEN(ReferenceData!$J$261),"",ReferenceData!$J$261),"")</f>
        <v/>
      </c>
    </row>
    <row r="262" spans="1:10" x14ac:dyDescent="0.25">
      <c r="A262" t="str">
        <f>IFERROR(IF(0=LEN(ReferenceData!$A$262),"",ReferenceData!$A$262),"")</f>
        <v xml:space="preserve">                    Ebro Foods SA</v>
      </c>
      <c r="B262" t="str">
        <f>IFERROR(IF(0=LEN(ReferenceData!$B$262),"",ReferenceData!$B$262),"")</f>
        <v>EBRO SM Equity</v>
      </c>
      <c r="C262" t="str">
        <f>IFERROR(IF(0=LEN(ReferenceData!$C$262),"",ReferenceData!$C$262),"")</f>
        <v>F0946</v>
      </c>
      <c r="D262" t="str">
        <f>IFERROR(IF(0=LEN(ReferenceData!$D$262),"",ReferenceData!$D$262),"")</f>
        <v>TOTAL_GHG_CO2_EMISSIONS</v>
      </c>
      <c r="E262" t="str">
        <f>IFERROR(IF(0=LEN(ReferenceData!$E$262),"",ReferenceData!$E$262),"")</f>
        <v>Dynamic</v>
      </c>
      <c r="F262">
        <f ca="1">IFERROR(IF(0=LEN(ReferenceData!$F$262),"",ReferenceData!$F$262),"")</f>
        <v>0.274152008</v>
      </c>
      <c r="G262">
        <f ca="1">IFERROR(IF(0=LEN(ReferenceData!$G$262),"",ReferenceData!$G$262),"")</f>
        <v>0.31620400999999998</v>
      </c>
      <c r="H262">
        <f ca="1">IFERROR(IF(0=LEN(ReferenceData!$H$262),"",ReferenceData!$H$262),"")</f>
        <v>0.36666299400000002</v>
      </c>
      <c r="I262">
        <f ca="1">IFERROR(IF(0=LEN(ReferenceData!$I$262),"",ReferenceData!$I$262),"")</f>
        <v>0.55598498500000004</v>
      </c>
      <c r="J262">
        <f ca="1">IFERROR(IF(0=LEN(ReferenceData!$J$262),"",ReferenceData!$J$262),"")</f>
        <v>0.65577502399999998</v>
      </c>
    </row>
    <row r="263" spans="1:10" x14ac:dyDescent="0.25">
      <c r="A263" t="str">
        <f>IFERROR(IF(0=LEN(ReferenceData!$A$263),"",ReferenceData!$A$263),"")</f>
        <v xml:space="preserve">                    Emmi AG</v>
      </c>
      <c r="B263" t="str">
        <f>IFERROR(IF(0=LEN(ReferenceData!$B$263),"",ReferenceData!$B$263),"")</f>
        <v>EMMN SW Equity</v>
      </c>
      <c r="C263" t="str">
        <f>IFERROR(IF(0=LEN(ReferenceData!$C$263),"",ReferenceData!$C$263),"")</f>
        <v>F0946</v>
      </c>
      <c r="D263" t="str">
        <f>IFERROR(IF(0=LEN(ReferenceData!$D$263),"",ReferenceData!$D$263),"")</f>
        <v>TOTAL_GHG_CO2_EMISSIONS</v>
      </c>
      <c r="E263" t="str">
        <f>IFERROR(IF(0=LEN(ReferenceData!$E$263),"",ReferenceData!$E$263),"")</f>
        <v>Dynamic</v>
      </c>
      <c r="F263">
        <f ca="1">IFERROR(IF(0=LEN(ReferenceData!$F$263),"",ReferenceData!$F$263),"")</f>
        <v>0.100367996</v>
      </c>
      <c r="G263">
        <f ca="1">IFERROR(IF(0=LEN(ReferenceData!$G$263),"",ReferenceData!$G$263),"")</f>
        <v>0.112634003</v>
      </c>
      <c r="H263">
        <f ca="1">IFERROR(IF(0=LEN(ReferenceData!$H$263),"",ReferenceData!$H$263),"")</f>
        <v>0.104528</v>
      </c>
      <c r="I263">
        <f ca="1">IFERROR(IF(0=LEN(ReferenceData!$I$263),"",ReferenceData!$I$263),"")</f>
        <v>0.105668999</v>
      </c>
      <c r="J263" t="str">
        <f ca="1">IFERROR(IF(0=LEN(ReferenceData!$J$263),"",ReferenceData!$J$263),"")</f>
        <v/>
      </c>
    </row>
    <row r="264" spans="1:10" x14ac:dyDescent="0.25">
      <c r="A264" t="str">
        <f>IFERROR(IF(0=LEN(ReferenceData!$A$264),"",ReferenceData!$A$264),"")</f>
        <v xml:space="preserve">                    Ezaki Glico Co Ltd</v>
      </c>
      <c r="B264" t="str">
        <f>IFERROR(IF(0=LEN(ReferenceData!$B$264),"",ReferenceData!$B$264),"")</f>
        <v>2206 JP Equity</v>
      </c>
      <c r="C264" t="str">
        <f>IFERROR(IF(0=LEN(ReferenceData!$C$264),"",ReferenceData!$C$264),"")</f>
        <v>F0946</v>
      </c>
      <c r="D264" t="str">
        <f>IFERROR(IF(0=LEN(ReferenceData!$D$264),"",ReferenceData!$D$264),"")</f>
        <v>TOTAL_GHG_CO2_EMISSIONS</v>
      </c>
      <c r="E264" t="str">
        <f>IFERROR(IF(0=LEN(ReferenceData!$E$264),"",ReferenceData!$E$264),"")</f>
        <v>Dynamic</v>
      </c>
      <c r="F264">
        <f ca="1">IFERROR(IF(0=LEN(ReferenceData!$F$264),"",ReferenceData!$F$264),"")</f>
        <v>9.0941002000000007E-2</v>
      </c>
      <c r="G264">
        <f ca="1">IFERROR(IF(0=LEN(ReferenceData!$G$264),"",ReferenceData!$G$264),"")</f>
        <v>0.104772003</v>
      </c>
      <c r="H264">
        <f ca="1">IFERROR(IF(0=LEN(ReferenceData!$H$264),"",ReferenceData!$H$264),"")</f>
        <v>0.10727300300000001</v>
      </c>
      <c r="I264" t="str">
        <f ca="1">IFERROR(IF(0=LEN(ReferenceData!$I$264),"",ReferenceData!$I$264),"")</f>
        <v/>
      </c>
      <c r="J264">
        <f ca="1">IFERROR(IF(0=LEN(ReferenceData!$J$264),"",ReferenceData!$J$264),"")</f>
        <v>0.120146004</v>
      </c>
    </row>
    <row r="265" spans="1:10" x14ac:dyDescent="0.25">
      <c r="A265" t="str">
        <f>IFERROR(IF(0=LEN(ReferenceData!$A$265),"",ReferenceData!$A$265),"")</f>
        <v xml:space="preserve">                    First Pacific Co Ltd</v>
      </c>
      <c r="B265" t="str">
        <f>IFERROR(IF(0=LEN(ReferenceData!$B$265),"",ReferenceData!$B$265),"")</f>
        <v>142 HK Equity</v>
      </c>
      <c r="C265" t="str">
        <f>IFERROR(IF(0=LEN(ReferenceData!$C$265),"",ReferenceData!$C$265),"")</f>
        <v>F0946</v>
      </c>
      <c r="D265" t="str">
        <f>IFERROR(IF(0=LEN(ReferenceData!$D$265),"",ReferenceData!$D$265),"")</f>
        <v>TOTAL_GHG_CO2_EMISSIONS</v>
      </c>
      <c r="E265" t="str">
        <f>IFERROR(IF(0=LEN(ReferenceData!$E$265),"",ReferenceData!$E$265),"")</f>
        <v>Dynamic</v>
      </c>
      <c r="F265">
        <f ca="1">IFERROR(IF(0=LEN(ReferenceData!$F$265),"",ReferenceData!$F$265),"")</f>
        <v>11.489200200000001</v>
      </c>
      <c r="G265">
        <f ca="1">IFERROR(IF(0=LEN(ReferenceData!$G$265),"",ReferenceData!$G$265),"")</f>
        <v>16.67840039</v>
      </c>
      <c r="H265">
        <f ca="1">IFERROR(IF(0=LEN(ReferenceData!$H$265),"",ReferenceData!$H$265),"")</f>
        <v>10.708299800000001</v>
      </c>
      <c r="I265">
        <f ca="1">IFERROR(IF(0=LEN(ReferenceData!$I$265),"",ReferenceData!$I$265),"")</f>
        <v>8.3649101560000005</v>
      </c>
      <c r="J265">
        <f ca="1">IFERROR(IF(0=LEN(ReferenceData!$J$265),"",ReferenceData!$J$265),"")</f>
        <v>7.2291601559999998</v>
      </c>
    </row>
    <row r="266" spans="1:10" x14ac:dyDescent="0.25">
      <c r="A266" t="str">
        <f>IFERROR(IF(0=LEN(ReferenceData!$A$266),"",ReferenceData!$A$266),"")</f>
        <v xml:space="preserve">                    Flowers Foods Inc</v>
      </c>
      <c r="B266" t="str">
        <f>IFERROR(IF(0=LEN(ReferenceData!$B$266),"",ReferenceData!$B$266),"")</f>
        <v>FLO US Equity</v>
      </c>
      <c r="C266" t="str">
        <f>IFERROR(IF(0=LEN(ReferenceData!$C$266),"",ReferenceData!$C$266),"")</f>
        <v>F0946</v>
      </c>
      <c r="D266" t="str">
        <f>IFERROR(IF(0=LEN(ReferenceData!$D$266),"",ReferenceData!$D$266),"")</f>
        <v>TOTAL_GHG_CO2_EMISSIONS</v>
      </c>
      <c r="E266" t="str">
        <f>IFERROR(IF(0=LEN(ReferenceData!$E$266),"",ReferenceData!$E$266),"")</f>
        <v>Dynamic</v>
      </c>
      <c r="F266" t="str">
        <f ca="1">IFERROR(IF(0=LEN(ReferenceData!$F$266),"",ReferenceData!$F$266),"")</f>
        <v/>
      </c>
      <c r="G266">
        <f ca="1">IFERROR(IF(0=LEN(ReferenceData!$G$266),"",ReferenceData!$G$266),"")</f>
        <v>0.313529999</v>
      </c>
      <c r="H266">
        <f ca="1">IFERROR(IF(0=LEN(ReferenceData!$H$266),"",ReferenceData!$H$266),"")</f>
        <v>0.35302099599999998</v>
      </c>
      <c r="I266">
        <f ca="1">IFERROR(IF(0=LEN(ReferenceData!$I$266),"",ReferenceData!$I$266),"")</f>
        <v>0.35924398800000001</v>
      </c>
      <c r="J266">
        <f ca="1">IFERROR(IF(0=LEN(ReferenceData!$J$266),"",ReferenceData!$J$266),"")</f>
        <v>0.38264599599999999</v>
      </c>
    </row>
    <row r="267" spans="1:10" x14ac:dyDescent="0.25">
      <c r="A267" t="str">
        <f>IFERROR(IF(0=LEN(ReferenceData!$A$267),"",ReferenceData!$A$267),"")</f>
        <v xml:space="preserve">                    Fresh Del Monte Produce Inc</v>
      </c>
      <c r="B267" t="str">
        <f>IFERROR(IF(0=LEN(ReferenceData!$B$267),"",ReferenceData!$B$267),"")</f>
        <v>FDP US Equity</v>
      </c>
      <c r="C267" t="str">
        <f>IFERROR(IF(0=LEN(ReferenceData!$C$267),"",ReferenceData!$C$267),"")</f>
        <v>F0946</v>
      </c>
      <c r="D267" t="str">
        <f>IFERROR(IF(0=LEN(ReferenceData!$D$267),"",ReferenceData!$D$267),"")</f>
        <v>TOTAL_GHG_CO2_EMISSIONS</v>
      </c>
      <c r="E267" t="str">
        <f>IFERROR(IF(0=LEN(ReferenceData!$E$267),"",ReferenceData!$E$267),"")</f>
        <v>Dynamic</v>
      </c>
      <c r="F267" t="str">
        <f ca="1">IFERROR(IF(0=LEN(ReferenceData!$F$267),"",ReferenceData!$F$267),"")</f>
        <v/>
      </c>
      <c r="G267">
        <f ca="1">IFERROR(IF(0=LEN(ReferenceData!$G$267),"",ReferenceData!$G$267),"")</f>
        <v>0.90958801300000003</v>
      </c>
      <c r="H267">
        <f ca="1">IFERROR(IF(0=LEN(ReferenceData!$H$267),"",ReferenceData!$H$267),"")</f>
        <v>1.0177100219999999</v>
      </c>
      <c r="I267" t="str">
        <f ca="1">IFERROR(IF(0=LEN(ReferenceData!$I$267),"",ReferenceData!$I$267),"")</f>
        <v/>
      </c>
      <c r="J267" t="str">
        <f ca="1">IFERROR(IF(0=LEN(ReferenceData!$J$267),"",ReferenceData!$J$267),"")</f>
        <v/>
      </c>
    </row>
    <row r="268" spans="1:10" x14ac:dyDescent="0.25">
      <c r="A268" t="str">
        <f>IFERROR(IF(0=LEN(ReferenceData!$A$268),"",ReferenceData!$A$268),"")</f>
        <v xml:space="preserve">                    Fuji Oil Holdings Inc</v>
      </c>
      <c r="B268" t="str">
        <f>IFERROR(IF(0=LEN(ReferenceData!$B$268),"",ReferenceData!$B$268),"")</f>
        <v>2607 JP Equity</v>
      </c>
      <c r="C268" t="str">
        <f>IFERROR(IF(0=LEN(ReferenceData!$C$268),"",ReferenceData!$C$268),"")</f>
        <v>F0946</v>
      </c>
      <c r="D268" t="str">
        <f>IFERROR(IF(0=LEN(ReferenceData!$D$268),"",ReferenceData!$D$268),"")</f>
        <v>TOTAL_GHG_CO2_EMISSIONS</v>
      </c>
      <c r="E268" t="str">
        <f>IFERROR(IF(0=LEN(ReferenceData!$E$268),"",ReferenceData!$E$268),"")</f>
        <v>Dynamic</v>
      </c>
      <c r="F268" t="str">
        <f ca="1">IFERROR(IF(0=LEN(ReferenceData!$F$268),"",ReferenceData!$F$268),"")</f>
        <v/>
      </c>
      <c r="G268">
        <f ca="1">IFERROR(IF(0=LEN(ReferenceData!$G$268),"",ReferenceData!$G$268),"")</f>
        <v>0.40836099199999998</v>
      </c>
      <c r="H268">
        <f ca="1">IFERROR(IF(0=LEN(ReferenceData!$H$268),"",ReferenceData!$H$268),"")</f>
        <v>0.418925995</v>
      </c>
      <c r="I268">
        <f ca="1">IFERROR(IF(0=LEN(ReferenceData!$I$268),"",ReferenceData!$I$268),"")</f>
        <v>0.42960598799999999</v>
      </c>
      <c r="J268">
        <f ca="1">IFERROR(IF(0=LEN(ReferenceData!$J$268),"",ReferenceData!$J$268),"")</f>
        <v>0.43865301499999998</v>
      </c>
    </row>
    <row r="269" spans="1:10" x14ac:dyDescent="0.25">
      <c r="A269" t="str">
        <f>IFERROR(IF(0=LEN(ReferenceData!$A$269),"",ReferenceData!$A$269),"")</f>
        <v xml:space="preserve">                    Fujian Sunner Development Co L</v>
      </c>
      <c r="B269" t="str">
        <f>IFERROR(IF(0=LEN(ReferenceData!$B$269),"",ReferenceData!$B$269),"")</f>
        <v>002299 CH Equity</v>
      </c>
      <c r="C269" t="str">
        <f>IFERROR(IF(0=LEN(ReferenceData!$C$269),"",ReferenceData!$C$269),"")</f>
        <v>F0946</v>
      </c>
      <c r="D269" t="str">
        <f>IFERROR(IF(0=LEN(ReferenceData!$D$269),"",ReferenceData!$D$269),"")</f>
        <v>TOTAL_GHG_CO2_EMISSIONS</v>
      </c>
      <c r="E269" t="str">
        <f>IFERROR(IF(0=LEN(ReferenceData!$E$269),"",ReferenceData!$E$269),"")</f>
        <v>Dynamic</v>
      </c>
      <c r="F269" t="str">
        <f ca="1">IFERROR(IF(0=LEN(ReferenceData!$F$269),"",ReferenceData!$F$269),"")</f>
        <v/>
      </c>
      <c r="G269" t="str">
        <f ca="1">IFERROR(IF(0=LEN(ReferenceData!$G$269),"",ReferenceData!$G$269),"")</f>
        <v/>
      </c>
      <c r="H269" t="str">
        <f ca="1">IFERROR(IF(0=LEN(ReferenceData!$H$269),"",ReferenceData!$H$269),"")</f>
        <v/>
      </c>
      <c r="I269" t="str">
        <f ca="1">IFERROR(IF(0=LEN(ReferenceData!$I$269),"",ReferenceData!$I$269),"")</f>
        <v/>
      </c>
      <c r="J269" t="str">
        <f ca="1">IFERROR(IF(0=LEN(ReferenceData!$J$269),"",ReferenceData!$J$269),"")</f>
        <v/>
      </c>
    </row>
    <row r="270" spans="1:10" x14ac:dyDescent="0.25">
      <c r="A270" t="str">
        <f>IFERROR(IF(0=LEN(ReferenceData!$A$270),"",ReferenceData!$A$270),"")</f>
        <v xml:space="preserve">                    Glanbia PLC</v>
      </c>
      <c r="B270" t="str">
        <f>IFERROR(IF(0=LEN(ReferenceData!$B$270),"",ReferenceData!$B$270),"")</f>
        <v>GLB ID Equity</v>
      </c>
      <c r="C270" t="str">
        <f>IFERROR(IF(0=LEN(ReferenceData!$C$270),"",ReferenceData!$C$270),"")</f>
        <v>F0946</v>
      </c>
      <c r="D270" t="str">
        <f>IFERROR(IF(0=LEN(ReferenceData!$D$270),"",ReferenceData!$D$270),"")</f>
        <v>TOTAL_GHG_CO2_EMISSIONS</v>
      </c>
      <c r="E270" t="str">
        <f>IFERROR(IF(0=LEN(ReferenceData!$E$270),"",ReferenceData!$E$270),"")</f>
        <v>Dynamic</v>
      </c>
      <c r="F270">
        <f ca="1">IFERROR(IF(0=LEN(ReferenceData!$F$270),"",ReferenceData!$F$270),"")</f>
        <v>0.26498001100000002</v>
      </c>
      <c r="G270">
        <f ca="1">IFERROR(IF(0=LEN(ReferenceData!$G$270),"",ReferenceData!$G$270),"")</f>
        <v>0.29007299800000003</v>
      </c>
      <c r="H270">
        <f ca="1">IFERROR(IF(0=LEN(ReferenceData!$H$270),"",ReferenceData!$H$270),"")</f>
        <v>0.420355011</v>
      </c>
      <c r="I270">
        <f ca="1">IFERROR(IF(0=LEN(ReferenceData!$I$270),"",ReferenceData!$I$270),"")</f>
        <v>0.427484009</v>
      </c>
      <c r="J270">
        <f ca="1">IFERROR(IF(0=LEN(ReferenceData!$J$270),"",ReferenceData!$J$270),"")</f>
        <v>0.43310198999999999</v>
      </c>
    </row>
    <row r="271" spans="1:10" x14ac:dyDescent="0.25">
      <c r="A271" t="str">
        <f>IFERROR(IF(0=LEN(ReferenceData!$A$271),"",ReferenceData!$A$271),"")</f>
        <v xml:space="preserve">                    Gruma SAB de CV</v>
      </c>
      <c r="B271" t="str">
        <f>IFERROR(IF(0=LEN(ReferenceData!$B$271),"",ReferenceData!$B$271),"")</f>
        <v>GRUMAB MM Equity</v>
      </c>
      <c r="C271" t="str">
        <f>IFERROR(IF(0=LEN(ReferenceData!$C$271),"",ReferenceData!$C$271),"")</f>
        <v>F0946</v>
      </c>
      <c r="D271" t="str">
        <f>IFERROR(IF(0=LEN(ReferenceData!$D$271),"",ReferenceData!$D$271),"")</f>
        <v>TOTAL_GHG_CO2_EMISSIONS</v>
      </c>
      <c r="E271" t="str">
        <f>IFERROR(IF(0=LEN(ReferenceData!$E$271),"",ReferenceData!$E$271),"")</f>
        <v>Dynamic</v>
      </c>
      <c r="F271" t="str">
        <f ca="1">IFERROR(IF(0=LEN(ReferenceData!$F$271),"",ReferenceData!$F$271),"")</f>
        <v/>
      </c>
      <c r="G271" t="str">
        <f ca="1">IFERROR(IF(0=LEN(ReferenceData!$G$271),"",ReferenceData!$G$271),"")</f>
        <v/>
      </c>
      <c r="H271" t="str">
        <f ca="1">IFERROR(IF(0=LEN(ReferenceData!$H$271),"",ReferenceData!$H$271),"")</f>
        <v/>
      </c>
      <c r="I271" t="str">
        <f ca="1">IFERROR(IF(0=LEN(ReferenceData!$I$271),"",ReferenceData!$I$271),"")</f>
        <v/>
      </c>
      <c r="J271" t="str">
        <f ca="1">IFERROR(IF(0=LEN(ReferenceData!$J$271),"",ReferenceData!$J$271),"")</f>
        <v/>
      </c>
    </row>
    <row r="272" spans="1:10" x14ac:dyDescent="0.25">
      <c r="A272" t="str">
        <f>IFERROR(IF(0=LEN(ReferenceData!$A$272),"",ReferenceData!$A$272),"")</f>
        <v xml:space="preserve">                    Grupo Bimbo SAB de CV</v>
      </c>
      <c r="B272" t="str">
        <f>IFERROR(IF(0=LEN(ReferenceData!$B$272),"",ReferenceData!$B$272),"")</f>
        <v>BIMBOA MM Equity</v>
      </c>
      <c r="C272" t="str">
        <f>IFERROR(IF(0=LEN(ReferenceData!$C$272),"",ReferenceData!$C$272),"")</f>
        <v>F0946</v>
      </c>
      <c r="D272" t="str">
        <f>IFERROR(IF(0=LEN(ReferenceData!$D$272),"",ReferenceData!$D$272),"")</f>
        <v>TOTAL_GHG_CO2_EMISSIONS</v>
      </c>
      <c r="E272" t="str">
        <f>IFERROR(IF(0=LEN(ReferenceData!$E$272),"",ReferenceData!$E$272),"")</f>
        <v>Dynamic</v>
      </c>
      <c r="F272">
        <f ca="1">IFERROR(IF(0=LEN(ReferenceData!$F$272),"",ReferenceData!$F$272),"")</f>
        <v>1.1885200199999999</v>
      </c>
      <c r="G272">
        <f ca="1">IFERROR(IF(0=LEN(ReferenceData!$G$272),"",ReferenceData!$G$272),"")</f>
        <v>1.5879000240000001</v>
      </c>
      <c r="H272">
        <f ca="1">IFERROR(IF(0=LEN(ReferenceData!$H$272),"",ReferenceData!$H$272),"")</f>
        <v>1.2156899409999999</v>
      </c>
      <c r="I272">
        <f ca="1">IFERROR(IF(0=LEN(ReferenceData!$I$272),"",ReferenceData!$I$272),"")</f>
        <v>1.357310059</v>
      </c>
      <c r="J272">
        <f ca="1">IFERROR(IF(0=LEN(ReferenceData!$J$272),"",ReferenceData!$J$272),"")</f>
        <v>1.867800049</v>
      </c>
    </row>
    <row r="273" spans="1:10" x14ac:dyDescent="0.25">
      <c r="A273" t="str">
        <f>IFERROR(IF(0=LEN(ReferenceData!$A$273),"",ReferenceData!$A$273),"")</f>
        <v xml:space="preserve">                    Grupo Herdez SAB de CV</v>
      </c>
      <c r="B273" t="str">
        <f>IFERROR(IF(0=LEN(ReferenceData!$B$273),"",ReferenceData!$B$273),"")</f>
        <v>HERDEZ* MM Equity</v>
      </c>
      <c r="C273" t="str">
        <f>IFERROR(IF(0=LEN(ReferenceData!$C$273),"",ReferenceData!$C$273),"")</f>
        <v>F0946</v>
      </c>
      <c r="D273" t="str">
        <f>IFERROR(IF(0=LEN(ReferenceData!$D$273),"",ReferenceData!$D$273),"")</f>
        <v>TOTAL_GHG_CO2_EMISSIONS</v>
      </c>
      <c r="E273" t="str">
        <f>IFERROR(IF(0=LEN(ReferenceData!$E$273),"",ReferenceData!$E$273),"")</f>
        <v>Dynamic</v>
      </c>
      <c r="F273" t="str">
        <f ca="1">IFERROR(IF(0=LEN(ReferenceData!$F$273),"",ReferenceData!$F$273),"")</f>
        <v/>
      </c>
      <c r="G273">
        <f ca="1">IFERROR(IF(0=LEN(ReferenceData!$G$273),"",ReferenceData!$G$273),"")</f>
        <v>6.1669997999999997E-2</v>
      </c>
      <c r="H273">
        <f ca="1">IFERROR(IF(0=LEN(ReferenceData!$H$273),"",ReferenceData!$H$273),"")</f>
        <v>7.8681999000000002E-2</v>
      </c>
      <c r="I273">
        <f ca="1">IFERROR(IF(0=LEN(ReferenceData!$I$273),"",ReferenceData!$I$273),"")</f>
        <v>9.1960999000000002E-2</v>
      </c>
      <c r="J273">
        <f ca="1">IFERROR(IF(0=LEN(ReferenceData!$J$273),"",ReferenceData!$J$273),"")</f>
        <v>9.5843001999999997E-2</v>
      </c>
    </row>
    <row r="274" spans="1:10" x14ac:dyDescent="0.25">
      <c r="A274" t="str">
        <f>IFERROR(IF(0=LEN(ReferenceData!$A$274),"",ReferenceData!$A$274),"")</f>
        <v xml:space="preserve">                    Grupo Nutresa SA</v>
      </c>
      <c r="B274" t="str">
        <f>IFERROR(IF(0=LEN(ReferenceData!$B$274),"",ReferenceData!$B$274),"")</f>
        <v>NUTRESA CB Equity</v>
      </c>
      <c r="C274" t="str">
        <f>IFERROR(IF(0=LEN(ReferenceData!$C$274),"",ReferenceData!$C$274),"")</f>
        <v>F0946</v>
      </c>
      <c r="D274" t="str">
        <f>IFERROR(IF(0=LEN(ReferenceData!$D$274),"",ReferenceData!$D$274),"")</f>
        <v>TOTAL_GHG_CO2_EMISSIONS</v>
      </c>
      <c r="E274" t="str">
        <f>IFERROR(IF(0=LEN(ReferenceData!$E$274),"",ReferenceData!$E$274),"")</f>
        <v>Dynamic</v>
      </c>
      <c r="F274" t="str">
        <f ca="1">IFERROR(IF(0=LEN(ReferenceData!$F$274),"",ReferenceData!$F$274),"")</f>
        <v/>
      </c>
      <c r="G274">
        <f ca="1">IFERROR(IF(0=LEN(ReferenceData!$G$274),"",ReferenceData!$G$274),"")</f>
        <v>0.13706100500000001</v>
      </c>
      <c r="H274">
        <f ca="1">IFERROR(IF(0=LEN(ReferenceData!$H$274),"",ReferenceData!$H$274),"")</f>
        <v>0.13325399800000001</v>
      </c>
      <c r="I274">
        <f ca="1">IFERROR(IF(0=LEN(ReferenceData!$I$274),"",ReferenceData!$I$274),"")</f>
        <v>0.116013001</v>
      </c>
      <c r="J274">
        <f ca="1">IFERROR(IF(0=LEN(ReferenceData!$J$274),"",ReferenceData!$J$274),"")</f>
        <v>0.10855100299999999</v>
      </c>
    </row>
    <row r="275" spans="1:10" x14ac:dyDescent="0.25">
      <c r="A275" t="str">
        <f>IFERROR(IF(0=LEN(ReferenceData!$A$275),"",ReferenceData!$A$275),"")</f>
        <v xml:space="preserve">                    General Mills Inc</v>
      </c>
      <c r="B275" t="str">
        <f>IFERROR(IF(0=LEN(ReferenceData!$B$275),"",ReferenceData!$B$275),"")</f>
        <v>GIS US Equity</v>
      </c>
      <c r="C275" t="str">
        <f>IFERROR(IF(0=LEN(ReferenceData!$C$275),"",ReferenceData!$C$275),"")</f>
        <v>F0946</v>
      </c>
      <c r="D275" t="str">
        <f>IFERROR(IF(0=LEN(ReferenceData!$D$275),"",ReferenceData!$D$275),"")</f>
        <v>TOTAL_GHG_CO2_EMISSIONS</v>
      </c>
      <c r="E275" t="str">
        <f>IFERROR(IF(0=LEN(ReferenceData!$E$275),"",ReferenceData!$E$275),"")</f>
        <v>Dynamic</v>
      </c>
      <c r="F275" t="str">
        <f ca="1">IFERROR(IF(0=LEN(ReferenceData!$F$275),"",ReferenceData!$F$275),"")</f>
        <v/>
      </c>
      <c r="G275" t="str">
        <f ca="1">IFERROR(IF(0=LEN(ReferenceData!$G$275),"",ReferenceData!$G$275),"")</f>
        <v/>
      </c>
      <c r="H275">
        <f ca="1">IFERROR(IF(0=LEN(ReferenceData!$H$275),"",ReferenceData!$H$275),"")</f>
        <v>0.94352099599999995</v>
      </c>
      <c r="I275">
        <f ca="1">IFERROR(IF(0=LEN(ReferenceData!$I$275),"",ReferenceData!$I$275),"")</f>
        <v>0.94492498800000002</v>
      </c>
      <c r="J275">
        <f ca="1">IFERROR(IF(0=LEN(ReferenceData!$J$275),"",ReferenceData!$J$275),"")</f>
        <v>0.89238598599999996</v>
      </c>
    </row>
    <row r="276" spans="1:10" x14ac:dyDescent="0.25">
      <c r="A276" t="str">
        <f>IFERROR(IF(0=LEN(ReferenceData!$A$276),"",ReferenceData!$A$276),"")</f>
        <v xml:space="preserve">                    Henan Shuanghui Investment &amp; D</v>
      </c>
      <c r="B276" t="str">
        <f>IFERROR(IF(0=LEN(ReferenceData!$B$276),"",ReferenceData!$B$276),"")</f>
        <v>000895 CH Equity</v>
      </c>
      <c r="C276" t="str">
        <f>IFERROR(IF(0=LEN(ReferenceData!$C$276),"",ReferenceData!$C$276),"")</f>
        <v>F0946</v>
      </c>
      <c r="D276" t="str">
        <f>IFERROR(IF(0=LEN(ReferenceData!$D$276),"",ReferenceData!$D$276),"")</f>
        <v>TOTAL_GHG_CO2_EMISSIONS</v>
      </c>
      <c r="E276" t="str">
        <f>IFERROR(IF(0=LEN(ReferenceData!$E$276),"",ReferenceData!$E$276),"")</f>
        <v>Dynamic</v>
      </c>
      <c r="F276" t="str">
        <f ca="1">IFERROR(IF(0=LEN(ReferenceData!$F$276),"",ReferenceData!$F$276),"")</f>
        <v/>
      </c>
      <c r="G276">
        <f ca="1">IFERROR(IF(0=LEN(ReferenceData!$G$276),"",ReferenceData!$G$276),"")</f>
        <v>1.1480799559999999</v>
      </c>
      <c r="H276">
        <f ca="1">IFERROR(IF(0=LEN(ReferenceData!$H$276),"",ReferenceData!$H$276),"")</f>
        <v>1.0375899660000001</v>
      </c>
      <c r="I276">
        <f ca="1">IFERROR(IF(0=LEN(ReferenceData!$I$276),"",ReferenceData!$I$276),"")</f>
        <v>1.091390015</v>
      </c>
      <c r="J276">
        <f ca="1">IFERROR(IF(0=LEN(ReferenceData!$J$276),"",ReferenceData!$J$276),"")</f>
        <v>1.059819946</v>
      </c>
    </row>
    <row r="277" spans="1:10" x14ac:dyDescent="0.25">
      <c r="A277" t="str">
        <f>IFERROR(IF(0=LEN(ReferenceData!$A$277),"",ReferenceData!$A$277),"")</f>
        <v xml:space="preserve">                    HKScan Oyj</v>
      </c>
      <c r="B277" t="str">
        <f>IFERROR(IF(0=LEN(ReferenceData!$B$277),"",ReferenceData!$B$277),"")</f>
        <v>HKSAV FH Equity</v>
      </c>
      <c r="C277" t="str">
        <f>IFERROR(IF(0=LEN(ReferenceData!$C$277),"",ReferenceData!$C$277),"")</f>
        <v>F0946</v>
      </c>
      <c r="D277" t="str">
        <f>IFERROR(IF(0=LEN(ReferenceData!$D$277),"",ReferenceData!$D$277),"")</f>
        <v>TOTAL_GHG_CO2_EMISSIONS</v>
      </c>
      <c r="E277" t="str">
        <f>IFERROR(IF(0=LEN(ReferenceData!$E$277),"",ReferenceData!$E$277),"")</f>
        <v>Dynamic</v>
      </c>
      <c r="F277" t="str">
        <f ca="1">IFERROR(IF(0=LEN(ReferenceData!$F$277),"",ReferenceData!$F$277),"")</f>
        <v/>
      </c>
      <c r="G277">
        <f ca="1">IFERROR(IF(0=LEN(ReferenceData!$G$277),"",ReferenceData!$G$277),"")</f>
        <v>0.108332001</v>
      </c>
      <c r="H277">
        <f ca="1">IFERROR(IF(0=LEN(ReferenceData!$H$277),"",ReferenceData!$H$277),"")</f>
        <v>5.1999999999999998E-2</v>
      </c>
      <c r="I277">
        <f ca="1">IFERROR(IF(0=LEN(ReferenceData!$I$277),"",ReferenceData!$I$277),"")</f>
        <v>0.114</v>
      </c>
      <c r="J277">
        <f ca="1">IFERROR(IF(0=LEN(ReferenceData!$J$277),"",ReferenceData!$J$277),"")</f>
        <v>0.121</v>
      </c>
    </row>
    <row r="278" spans="1:10" x14ac:dyDescent="0.25">
      <c r="A278" t="str">
        <f>IFERROR(IF(0=LEN(ReferenceData!$A$278),"",ReferenceData!$A$278),"")</f>
        <v xml:space="preserve">                    House Foods Group Inc</v>
      </c>
      <c r="B278" t="str">
        <f>IFERROR(IF(0=LEN(ReferenceData!$B$278),"",ReferenceData!$B$278),"")</f>
        <v>2810 JP Equity</v>
      </c>
      <c r="C278" t="str">
        <f>IFERROR(IF(0=LEN(ReferenceData!$C$278),"",ReferenceData!$C$278),"")</f>
        <v>F0946</v>
      </c>
      <c r="D278" t="str">
        <f>IFERROR(IF(0=LEN(ReferenceData!$D$278),"",ReferenceData!$D$278),"")</f>
        <v>TOTAL_GHG_CO2_EMISSIONS</v>
      </c>
      <c r="E278" t="str">
        <f>IFERROR(IF(0=LEN(ReferenceData!$E$278),"",ReferenceData!$E$278),"")</f>
        <v>Dynamic</v>
      </c>
      <c r="F278" t="str">
        <f ca="1">IFERROR(IF(0=LEN(ReferenceData!$F$278),"",ReferenceData!$F$278),"")</f>
        <v/>
      </c>
      <c r="G278">
        <f ca="1">IFERROR(IF(0=LEN(ReferenceData!$G$278),"",ReferenceData!$G$278),"")</f>
        <v>0.117065002</v>
      </c>
      <c r="H278">
        <f ca="1">IFERROR(IF(0=LEN(ReferenceData!$H$278),"",ReferenceData!$H$278),"")</f>
        <v>0.120204002</v>
      </c>
      <c r="I278">
        <f ca="1">IFERROR(IF(0=LEN(ReferenceData!$I$278),"",ReferenceData!$I$278),"")</f>
        <v>6.4606002999999995E-2</v>
      </c>
      <c r="J278">
        <f ca="1">IFERROR(IF(0=LEN(ReferenceData!$J$278),"",ReferenceData!$J$278),"")</f>
        <v>6.7271003999999995E-2</v>
      </c>
    </row>
    <row r="279" spans="1:10" x14ac:dyDescent="0.25">
      <c r="A279" t="str">
        <f>IFERROR(IF(0=LEN(ReferenceData!$A$279),"",ReferenceData!$A$279),"")</f>
        <v xml:space="preserve">                    Hershey Co/The</v>
      </c>
      <c r="B279" t="str">
        <f>IFERROR(IF(0=LEN(ReferenceData!$B$279),"",ReferenceData!$B$279),"")</f>
        <v>HSY US Equity</v>
      </c>
      <c r="C279" t="str">
        <f>IFERROR(IF(0=LEN(ReferenceData!$C$279),"",ReferenceData!$C$279),"")</f>
        <v>F0946</v>
      </c>
      <c r="D279" t="str">
        <f>IFERROR(IF(0=LEN(ReferenceData!$D$279),"",ReferenceData!$D$279),"")</f>
        <v>TOTAL_GHG_CO2_EMISSIONS</v>
      </c>
      <c r="E279" t="str">
        <f>IFERROR(IF(0=LEN(ReferenceData!$E$279),"",ReferenceData!$E$279),"")</f>
        <v>Dynamic</v>
      </c>
      <c r="F279">
        <f ca="1">IFERROR(IF(0=LEN(ReferenceData!$F$279),"",ReferenceData!$F$279),"")</f>
        <v>0.41179000900000001</v>
      </c>
      <c r="G279">
        <f ca="1">IFERROR(IF(0=LEN(ReferenceData!$G$279),"",ReferenceData!$G$279),"")</f>
        <v>0.347855988</v>
      </c>
      <c r="H279">
        <f ca="1">IFERROR(IF(0=LEN(ReferenceData!$H$279),"",ReferenceData!$H$279),"")</f>
        <v>0.358735992</v>
      </c>
      <c r="I279">
        <f ca="1">IFERROR(IF(0=LEN(ReferenceData!$I$279),"",ReferenceData!$I$279),"")</f>
        <v>0.33728100599999999</v>
      </c>
      <c r="J279">
        <f ca="1">IFERROR(IF(0=LEN(ReferenceData!$J$279),"",ReferenceData!$J$279),"")</f>
        <v>0.35198300199999999</v>
      </c>
    </row>
    <row r="280" spans="1:10" x14ac:dyDescent="0.25">
      <c r="A280" t="str">
        <f>IFERROR(IF(0=LEN(ReferenceData!$A$280),"",ReferenceData!$A$280),"")</f>
        <v xml:space="preserve">                    Hormel Foods Corp</v>
      </c>
      <c r="B280" t="str">
        <f>IFERROR(IF(0=LEN(ReferenceData!$B$280),"",ReferenceData!$B$280),"")</f>
        <v>HRL US Equity</v>
      </c>
      <c r="C280" t="str">
        <f>IFERROR(IF(0=LEN(ReferenceData!$C$280),"",ReferenceData!$C$280),"")</f>
        <v>F0946</v>
      </c>
      <c r="D280" t="str">
        <f>IFERROR(IF(0=LEN(ReferenceData!$D$280),"",ReferenceData!$D$280),"")</f>
        <v>TOTAL_GHG_CO2_EMISSIONS</v>
      </c>
      <c r="E280" t="str">
        <f>IFERROR(IF(0=LEN(ReferenceData!$E$280),"",ReferenceData!$E$280),"")</f>
        <v>Dynamic</v>
      </c>
      <c r="F280" t="str">
        <f ca="1">IFERROR(IF(0=LEN(ReferenceData!$F$280),"",ReferenceData!$F$280),"")</f>
        <v/>
      </c>
      <c r="G280">
        <f ca="1">IFERROR(IF(0=LEN(ReferenceData!$G$280),"",ReferenceData!$G$280),"")</f>
        <v>0.90004797400000003</v>
      </c>
      <c r="H280">
        <f ca="1">IFERROR(IF(0=LEN(ReferenceData!$H$280),"",ReferenceData!$H$280),"")</f>
        <v>1.469040039</v>
      </c>
      <c r="I280">
        <f ca="1">IFERROR(IF(0=LEN(ReferenceData!$I$280),"",ReferenceData!$I$280),"")</f>
        <v>0.76300000000000001</v>
      </c>
      <c r="J280">
        <f ca="1">IFERROR(IF(0=LEN(ReferenceData!$J$280),"",ReferenceData!$J$280),"")</f>
        <v>0.69399999999999995</v>
      </c>
    </row>
    <row r="281" spans="1:10" x14ac:dyDescent="0.25">
      <c r="A281" t="str">
        <f>IFERROR(IF(0=LEN(ReferenceData!$A$281),"",ReferenceData!$A$281),"")</f>
        <v xml:space="preserve">                    Hostess Brands Inc</v>
      </c>
      <c r="B281" t="str">
        <f>IFERROR(IF(0=LEN(ReferenceData!$B$281),"",ReferenceData!$B$281),"")</f>
        <v>TWNK US Equity</v>
      </c>
      <c r="C281" t="str">
        <f>IFERROR(IF(0=LEN(ReferenceData!$C$281),"",ReferenceData!$C$281),"")</f>
        <v>F0946</v>
      </c>
      <c r="D281" t="str">
        <f>IFERROR(IF(0=LEN(ReferenceData!$D$281),"",ReferenceData!$D$281),"")</f>
        <v>TOTAL_GHG_CO2_EMISSIONS</v>
      </c>
      <c r="E281" t="str">
        <f>IFERROR(IF(0=LEN(ReferenceData!$E$281),"",ReferenceData!$E$281),"")</f>
        <v>Dynamic</v>
      </c>
      <c r="F281" t="str">
        <f ca="1">IFERROR(IF(0=LEN(ReferenceData!$F$281),"",ReferenceData!$F$281),"")</f>
        <v/>
      </c>
      <c r="G281">
        <f ca="1">IFERROR(IF(0=LEN(ReferenceData!$G$281),"",ReferenceData!$G$281),"")</f>
        <v>6.3168999000000003E-2</v>
      </c>
      <c r="H281">
        <f ca="1">IFERROR(IF(0=LEN(ReferenceData!$H$281),"",ReferenceData!$H$281),"")</f>
        <v>6.1530998000000003E-2</v>
      </c>
      <c r="I281">
        <f ca="1">IFERROR(IF(0=LEN(ReferenceData!$I$281),"",ReferenceData!$I$281),"")</f>
        <v>6.3438998999999996E-2</v>
      </c>
      <c r="J281" t="str">
        <f ca="1">IFERROR(IF(0=LEN(ReferenceData!$J$281),"",ReferenceData!$J$281),"")</f>
        <v/>
      </c>
    </row>
    <row r="282" spans="1:10" x14ac:dyDescent="0.25">
      <c r="A282" t="str">
        <f>IFERROR(IF(0=LEN(ReferenceData!$A$282),"",ReferenceData!$A$282),"")</f>
        <v xml:space="preserve">                    Indofood Sukses Makmur Tbk PT</v>
      </c>
      <c r="B282" t="str">
        <f>IFERROR(IF(0=LEN(ReferenceData!$B$282),"",ReferenceData!$B$282),"")</f>
        <v>INDF IJ Equity</v>
      </c>
      <c r="C282" t="str">
        <f>IFERROR(IF(0=LEN(ReferenceData!$C$282),"",ReferenceData!$C$282),"")</f>
        <v>F0946</v>
      </c>
      <c r="D282" t="str">
        <f>IFERROR(IF(0=LEN(ReferenceData!$D$282),"",ReferenceData!$D$282),"")</f>
        <v>TOTAL_GHG_CO2_EMISSIONS</v>
      </c>
      <c r="E282" t="str">
        <f>IFERROR(IF(0=LEN(ReferenceData!$E$282),"",ReferenceData!$E$282),"")</f>
        <v>Dynamic</v>
      </c>
      <c r="F282" t="str">
        <f ca="1">IFERROR(IF(0=LEN(ReferenceData!$F$282),"",ReferenceData!$F$282),"")</f>
        <v/>
      </c>
      <c r="G282">
        <f ca="1">IFERROR(IF(0=LEN(ReferenceData!$G$282),"",ReferenceData!$G$282),"")</f>
        <v>1.88</v>
      </c>
      <c r="H282" t="str">
        <f ca="1">IFERROR(IF(0=LEN(ReferenceData!$H$282),"",ReferenceData!$H$282),"")</f>
        <v/>
      </c>
      <c r="I282" t="str">
        <f ca="1">IFERROR(IF(0=LEN(ReferenceData!$I$282),"",ReferenceData!$I$282),"")</f>
        <v/>
      </c>
      <c r="J282" t="str">
        <f ca="1">IFERROR(IF(0=LEN(ReferenceData!$J$282),"",ReferenceData!$J$282),"")</f>
        <v/>
      </c>
    </row>
    <row r="283" spans="1:10" x14ac:dyDescent="0.25">
      <c r="A283" t="str">
        <f>IFERROR(IF(0=LEN(ReferenceData!$A$283),"",ReferenceData!$A$283),"")</f>
        <v xml:space="preserve">                    Industrias Bachoco SAB de CV</v>
      </c>
      <c r="B283" t="str">
        <f>IFERROR(IF(0=LEN(ReferenceData!$B$283),"",ReferenceData!$B$283),"")</f>
        <v>BACHOCOB MM Equity</v>
      </c>
      <c r="C283" t="str">
        <f>IFERROR(IF(0=LEN(ReferenceData!$C$283),"",ReferenceData!$C$283),"")</f>
        <v>F0946</v>
      </c>
      <c r="D283" t="str">
        <f>IFERROR(IF(0=LEN(ReferenceData!$D$283),"",ReferenceData!$D$283),"")</f>
        <v>TOTAL_GHG_CO2_EMISSIONS</v>
      </c>
      <c r="E283" t="str">
        <f>IFERROR(IF(0=LEN(ReferenceData!$E$283),"",ReferenceData!$E$283),"")</f>
        <v>Dynamic</v>
      </c>
      <c r="F283">
        <f ca="1">IFERROR(IF(0=LEN(ReferenceData!$F$283),"",ReferenceData!$F$283),"")</f>
        <v>0.53290002400000003</v>
      </c>
      <c r="G283">
        <f ca="1">IFERROR(IF(0=LEN(ReferenceData!$G$283),"",ReferenceData!$G$283),"")</f>
        <v>0.44419699099999999</v>
      </c>
      <c r="H283" t="str">
        <f ca="1">IFERROR(IF(0=LEN(ReferenceData!$H$283),"",ReferenceData!$H$283),"")</f>
        <v/>
      </c>
      <c r="I283" t="str">
        <f ca="1">IFERROR(IF(0=LEN(ReferenceData!$I$283),"",ReferenceData!$I$283),"")</f>
        <v/>
      </c>
      <c r="J283" t="str">
        <f ca="1">IFERROR(IF(0=LEN(ReferenceData!$J$283),"",ReferenceData!$J$283),"")</f>
        <v/>
      </c>
    </row>
    <row r="284" spans="1:10" x14ac:dyDescent="0.25">
      <c r="A284" t="str">
        <f>IFERROR(IF(0=LEN(ReferenceData!$A$284),"",ReferenceData!$A$284),"")</f>
        <v xml:space="preserve">                    Inner Mongolia Yili Industrial</v>
      </c>
      <c r="B284" t="str">
        <f>IFERROR(IF(0=LEN(ReferenceData!$B$284),"",ReferenceData!$B$284),"")</f>
        <v>600887 CH Equity</v>
      </c>
      <c r="C284" t="str">
        <f>IFERROR(IF(0=LEN(ReferenceData!$C$284),"",ReferenceData!$C$284),"")</f>
        <v>F0946</v>
      </c>
      <c r="D284" t="str">
        <f>IFERROR(IF(0=LEN(ReferenceData!$D$284),"",ReferenceData!$D$284),"")</f>
        <v>TOTAL_GHG_CO2_EMISSIONS</v>
      </c>
      <c r="E284" t="str">
        <f>IFERROR(IF(0=LEN(ReferenceData!$E$284),"",ReferenceData!$E$284),"")</f>
        <v>Dynamic</v>
      </c>
      <c r="F284">
        <f ca="1">IFERROR(IF(0=LEN(ReferenceData!$F$284),"",ReferenceData!$F$284),"")</f>
        <v>1.79</v>
      </c>
      <c r="G284">
        <f ca="1">IFERROR(IF(0=LEN(ReferenceData!$G$284),"",ReferenceData!$G$284),"")</f>
        <v>1.88</v>
      </c>
      <c r="H284">
        <f ca="1">IFERROR(IF(0=LEN(ReferenceData!$H$284),"",ReferenceData!$H$284),"")</f>
        <v>2.0099999999999998</v>
      </c>
      <c r="I284">
        <f ca="1">IFERROR(IF(0=LEN(ReferenceData!$I$284),"",ReferenceData!$I$284),"")</f>
        <v>1.9016999510000001</v>
      </c>
      <c r="J284">
        <f ca="1">IFERROR(IF(0=LEN(ReferenceData!$J$284),"",ReferenceData!$J$284),"")</f>
        <v>1.997900024</v>
      </c>
    </row>
    <row r="285" spans="1:10" x14ac:dyDescent="0.25">
      <c r="A285" t="str">
        <f>IFERROR(IF(0=LEN(ReferenceData!$A$285),"",ReferenceData!$A$285),"")</f>
        <v xml:space="preserve">                    J &amp; J Snack Foods Corp</v>
      </c>
      <c r="B285" t="str">
        <f>IFERROR(IF(0=LEN(ReferenceData!$B$285),"",ReferenceData!$B$285),"")</f>
        <v>JJSF US Equity</v>
      </c>
      <c r="C285" t="str">
        <f>IFERROR(IF(0=LEN(ReferenceData!$C$285),"",ReferenceData!$C$285),"")</f>
        <v>F0946</v>
      </c>
      <c r="D285" t="str">
        <f>IFERROR(IF(0=LEN(ReferenceData!$D$285),"",ReferenceData!$D$285),"")</f>
        <v>TOTAL_GHG_CO2_EMISSIONS</v>
      </c>
      <c r="E285" t="str">
        <f>IFERROR(IF(0=LEN(ReferenceData!$E$285),"",ReferenceData!$E$285),"")</f>
        <v>Dynamic</v>
      </c>
      <c r="F285" t="str">
        <f ca="1">IFERROR(IF(0=LEN(ReferenceData!$F$285),"",ReferenceData!$F$285),"")</f>
        <v/>
      </c>
      <c r="G285" t="str">
        <f ca="1">IFERROR(IF(0=LEN(ReferenceData!$G$285),"",ReferenceData!$G$285),"")</f>
        <v/>
      </c>
      <c r="H285" t="str">
        <f ca="1">IFERROR(IF(0=LEN(ReferenceData!$H$285),"",ReferenceData!$H$285),"")</f>
        <v/>
      </c>
      <c r="I285" t="str">
        <f ca="1">IFERROR(IF(0=LEN(ReferenceData!$I$285),"",ReferenceData!$I$285),"")</f>
        <v/>
      </c>
      <c r="J285" t="str">
        <f ca="1">IFERROR(IF(0=LEN(ReferenceData!$J$285),"",ReferenceData!$J$285),"")</f>
        <v/>
      </c>
    </row>
    <row r="286" spans="1:10" x14ac:dyDescent="0.25">
      <c r="A286" t="str">
        <f>IFERROR(IF(0=LEN(ReferenceData!$A$286),"",ReferenceData!$A$286),"")</f>
        <v xml:space="preserve">                    J M Smucker Co/The</v>
      </c>
      <c r="B286" t="str">
        <f>IFERROR(IF(0=LEN(ReferenceData!$B$286),"",ReferenceData!$B$286),"")</f>
        <v>SJM US Equity</v>
      </c>
      <c r="C286" t="str">
        <f>IFERROR(IF(0=LEN(ReferenceData!$C$286),"",ReferenceData!$C$286),"")</f>
        <v>F0946</v>
      </c>
      <c r="D286" t="str">
        <f>IFERROR(IF(0=LEN(ReferenceData!$D$286),"",ReferenceData!$D$286),"")</f>
        <v>TOTAL_GHG_CO2_EMISSIONS</v>
      </c>
      <c r="E286" t="str">
        <f>IFERROR(IF(0=LEN(ReferenceData!$E$286),"",ReferenceData!$E$286),"")</f>
        <v>Dynamic</v>
      </c>
      <c r="F286" t="str">
        <f ca="1">IFERROR(IF(0=LEN(ReferenceData!$F$286),"",ReferenceData!$F$286),"")</f>
        <v/>
      </c>
      <c r="G286" t="str">
        <f ca="1">IFERROR(IF(0=LEN(ReferenceData!$G$286),"",ReferenceData!$G$286),"")</f>
        <v/>
      </c>
      <c r="H286">
        <f ca="1">IFERROR(IF(0=LEN(ReferenceData!$H$286),"",ReferenceData!$H$286),"")</f>
        <v>0.75060400400000005</v>
      </c>
      <c r="I286">
        <f ca="1">IFERROR(IF(0=LEN(ReferenceData!$I$286),"",ReferenceData!$I$286),"")</f>
        <v>0.43945800800000001</v>
      </c>
      <c r="J286">
        <f ca="1">IFERROR(IF(0=LEN(ReferenceData!$J$286),"",ReferenceData!$J$286),"")</f>
        <v>0.45977999899999999</v>
      </c>
    </row>
    <row r="287" spans="1:10" x14ac:dyDescent="0.25">
      <c r="A287" t="str">
        <f>IFERROR(IF(0=LEN(ReferenceData!$A$287),"",ReferenceData!$A$287),"")</f>
        <v xml:space="preserve">                    Juhayna Food Industries</v>
      </c>
      <c r="B287" t="str">
        <f>IFERROR(IF(0=LEN(ReferenceData!$B$287),"",ReferenceData!$B$287),"")</f>
        <v>JUFO EY Equity</v>
      </c>
      <c r="C287" t="str">
        <f>IFERROR(IF(0=LEN(ReferenceData!$C$287),"",ReferenceData!$C$287),"")</f>
        <v>F0946</v>
      </c>
      <c r="D287" t="str">
        <f>IFERROR(IF(0=LEN(ReferenceData!$D$287),"",ReferenceData!$D$287),"")</f>
        <v>TOTAL_GHG_CO2_EMISSIONS</v>
      </c>
      <c r="E287" t="str">
        <f>IFERROR(IF(0=LEN(ReferenceData!$E$287),"",ReferenceData!$E$287),"")</f>
        <v>Dynamic</v>
      </c>
      <c r="F287" t="str">
        <f ca="1">IFERROR(IF(0=LEN(ReferenceData!$F$287),"",ReferenceData!$F$287),"")</f>
        <v/>
      </c>
      <c r="G287">
        <f ca="1">IFERROR(IF(0=LEN(ReferenceData!$G$287),"",ReferenceData!$G$287),"")</f>
        <v>8.7306998999999996E-2</v>
      </c>
      <c r="H287" t="str">
        <f ca="1">IFERROR(IF(0=LEN(ReferenceData!$H$287),"",ReferenceData!$H$287),"")</f>
        <v/>
      </c>
      <c r="I287">
        <f ca="1">IFERROR(IF(0=LEN(ReferenceData!$I$287),"",ReferenceData!$I$287),"")</f>
        <v>9.3973899999999999E-2</v>
      </c>
      <c r="J287" t="str">
        <f ca="1">IFERROR(IF(0=LEN(ReferenceData!$J$287),"",ReferenceData!$J$287),"")</f>
        <v/>
      </c>
    </row>
    <row r="288" spans="1:10" x14ac:dyDescent="0.25">
      <c r="A288" t="str">
        <f>IFERROR(IF(0=LEN(ReferenceData!$A$288),"",ReferenceData!$A$288),"")</f>
        <v xml:space="preserve">                    JBS S/A</v>
      </c>
      <c r="B288" t="str">
        <f>IFERROR(IF(0=LEN(ReferenceData!$B$288),"",ReferenceData!$B$288),"")</f>
        <v>JBSS3 BZ Equity</v>
      </c>
      <c r="C288" t="str">
        <f>IFERROR(IF(0=LEN(ReferenceData!$C$288),"",ReferenceData!$C$288),"")</f>
        <v>F0946</v>
      </c>
      <c r="D288" t="str">
        <f>IFERROR(IF(0=LEN(ReferenceData!$D$288),"",ReferenceData!$D$288),"")</f>
        <v>TOTAL_GHG_CO2_EMISSIONS</v>
      </c>
      <c r="E288" t="str">
        <f>IFERROR(IF(0=LEN(ReferenceData!$E$288),"",ReferenceData!$E$288),"")</f>
        <v>Dynamic</v>
      </c>
      <c r="F288" t="str">
        <f ca="1">IFERROR(IF(0=LEN(ReferenceData!$F$288),"",ReferenceData!$F$288),"")</f>
        <v/>
      </c>
      <c r="G288">
        <f ca="1">IFERROR(IF(0=LEN(ReferenceData!$G$288),"",ReferenceData!$G$288),"")</f>
        <v>6.0748901369999997</v>
      </c>
      <c r="H288">
        <f ca="1">IFERROR(IF(0=LEN(ReferenceData!$H$288),"",ReferenceData!$H$288),"")</f>
        <v>6.2042998049999998</v>
      </c>
      <c r="I288">
        <f ca="1">IFERROR(IF(0=LEN(ReferenceData!$I$288),"",ReferenceData!$I$288),"")</f>
        <v>6.2091000980000004</v>
      </c>
      <c r="J288">
        <f ca="1">IFERROR(IF(0=LEN(ReferenceData!$J$288),"",ReferenceData!$J$288),"")</f>
        <v>5.900069824</v>
      </c>
    </row>
    <row r="289" spans="1:10" x14ac:dyDescent="0.25">
      <c r="A289" t="str">
        <f>IFERROR(IF(0=LEN(ReferenceData!$A$289),"",ReferenceData!$A$289),"")</f>
        <v xml:space="preserve">                    Kewpie Corp</v>
      </c>
      <c r="B289" t="str">
        <f>IFERROR(IF(0=LEN(ReferenceData!$B$289),"",ReferenceData!$B$289),"")</f>
        <v>2809 JP Equity</v>
      </c>
      <c r="C289" t="str">
        <f>IFERROR(IF(0=LEN(ReferenceData!$C$289),"",ReferenceData!$C$289),"")</f>
        <v>F0946</v>
      </c>
      <c r="D289" t="str">
        <f>IFERROR(IF(0=LEN(ReferenceData!$D$289),"",ReferenceData!$D$289),"")</f>
        <v>TOTAL_GHG_CO2_EMISSIONS</v>
      </c>
      <c r="E289" t="str">
        <f>IFERROR(IF(0=LEN(ReferenceData!$E$289),"",ReferenceData!$E$289),"")</f>
        <v>Dynamic</v>
      </c>
      <c r="F289" t="str">
        <f ca="1">IFERROR(IF(0=LEN(ReferenceData!$F$289),"",ReferenceData!$F$289),"")</f>
        <v/>
      </c>
      <c r="G289">
        <f ca="1">IFERROR(IF(0=LEN(ReferenceData!$G$289),"",ReferenceData!$G$289),"")</f>
        <v>0.19289999399999999</v>
      </c>
      <c r="H289">
        <f ca="1">IFERROR(IF(0=LEN(ReferenceData!$H$289),"",ReferenceData!$H$289),"")</f>
        <v>0.22910000599999999</v>
      </c>
      <c r="I289">
        <f ca="1">IFERROR(IF(0=LEN(ReferenceData!$I$289),"",ReferenceData!$I$289),"")</f>
        <v>0.22419999700000001</v>
      </c>
      <c r="J289">
        <f ca="1">IFERROR(IF(0=LEN(ReferenceData!$J$289),"",ReferenceData!$J$289),"")</f>
        <v>0.24530000299999999</v>
      </c>
    </row>
    <row r="290" spans="1:10" x14ac:dyDescent="0.25">
      <c r="A290" t="str">
        <f>IFERROR(IF(0=LEN(ReferenceData!$A$290),"",ReferenceData!$A$290),"")</f>
        <v xml:space="preserve">                    Kikkoman Corp</v>
      </c>
      <c r="B290" t="str">
        <f>IFERROR(IF(0=LEN(ReferenceData!$B$290),"",ReferenceData!$B$290),"")</f>
        <v>2801 JP Equity</v>
      </c>
      <c r="C290" t="str">
        <f>IFERROR(IF(0=LEN(ReferenceData!$C$290),"",ReferenceData!$C$290),"")</f>
        <v>F0946</v>
      </c>
      <c r="D290" t="str">
        <f>IFERROR(IF(0=LEN(ReferenceData!$D$290),"",ReferenceData!$D$290),"")</f>
        <v>TOTAL_GHG_CO2_EMISSIONS</v>
      </c>
      <c r="E290" t="str">
        <f>IFERROR(IF(0=LEN(ReferenceData!$E$290),"",ReferenceData!$E$290),"")</f>
        <v>Dynamic</v>
      </c>
      <c r="F290" t="str">
        <f ca="1">IFERROR(IF(0=LEN(ReferenceData!$F$290),"",ReferenceData!$F$290),"")</f>
        <v/>
      </c>
      <c r="G290">
        <f ca="1">IFERROR(IF(0=LEN(ReferenceData!$G$290),"",ReferenceData!$G$290),"")</f>
        <v>0.21110699499999999</v>
      </c>
      <c r="H290">
        <f ca="1">IFERROR(IF(0=LEN(ReferenceData!$H$290),"",ReferenceData!$H$290),"")</f>
        <v>0.203955994</v>
      </c>
      <c r="I290">
        <f ca="1">IFERROR(IF(0=LEN(ReferenceData!$I$290),"",ReferenceData!$I$290),"")</f>
        <v>0.17699999999999999</v>
      </c>
      <c r="J290">
        <f ca="1">IFERROR(IF(0=LEN(ReferenceData!$J$290),"",ReferenceData!$J$290),"")</f>
        <v>0.17399999999999999</v>
      </c>
    </row>
    <row r="291" spans="1:10" x14ac:dyDescent="0.25">
      <c r="A291" t="str">
        <f>IFERROR(IF(0=LEN(ReferenceData!$A$291),"",ReferenceData!$A$291),"")</f>
        <v xml:space="preserve">                    Kraft Heinz Co/The</v>
      </c>
      <c r="B291" t="str">
        <f>IFERROR(IF(0=LEN(ReferenceData!$B$291),"",ReferenceData!$B$291),"")</f>
        <v>KHC US Equity</v>
      </c>
      <c r="C291" t="str">
        <f>IFERROR(IF(0=LEN(ReferenceData!$C$291),"",ReferenceData!$C$291),"")</f>
        <v>F0946</v>
      </c>
      <c r="D291" t="str">
        <f>IFERROR(IF(0=LEN(ReferenceData!$D$291),"",ReferenceData!$D$291),"")</f>
        <v>TOTAL_GHG_CO2_EMISSIONS</v>
      </c>
      <c r="E291" t="str">
        <f>IFERROR(IF(0=LEN(ReferenceData!$E$291),"",ReferenceData!$E$291),"")</f>
        <v>Dynamic</v>
      </c>
      <c r="F291" t="str">
        <f ca="1">IFERROR(IF(0=LEN(ReferenceData!$F$291),"",ReferenceData!$F$291),"")</f>
        <v/>
      </c>
      <c r="G291">
        <f ca="1">IFERROR(IF(0=LEN(ReferenceData!$G$291),"",ReferenceData!$G$291),"")</f>
        <v>1.231699951</v>
      </c>
      <c r="H291">
        <f ca="1">IFERROR(IF(0=LEN(ReferenceData!$H$291),"",ReferenceData!$H$291),"")</f>
        <v>1.290030029</v>
      </c>
      <c r="I291">
        <f ca="1">IFERROR(IF(0=LEN(ReferenceData!$I$291),"",ReferenceData!$I$291),"")</f>
        <v>1.422319946</v>
      </c>
      <c r="J291" t="str">
        <f ca="1">IFERROR(IF(0=LEN(ReferenceData!$J$291),"",ReferenceData!$J$291),"")</f>
        <v/>
      </c>
    </row>
    <row r="292" spans="1:10" x14ac:dyDescent="0.25">
      <c r="A292" t="str">
        <f>IFERROR(IF(0=LEN(ReferenceData!$A$292),"",ReferenceData!$A$292),"")</f>
        <v xml:space="preserve">                    Kellogg Co</v>
      </c>
      <c r="B292" t="str">
        <f>IFERROR(IF(0=LEN(ReferenceData!$B$292),"",ReferenceData!$B$292),"")</f>
        <v>K US Equity</v>
      </c>
      <c r="C292" t="str">
        <f>IFERROR(IF(0=LEN(ReferenceData!$C$292),"",ReferenceData!$C$292),"")</f>
        <v>F0946</v>
      </c>
      <c r="D292" t="str">
        <f>IFERROR(IF(0=LEN(ReferenceData!$D$292),"",ReferenceData!$D$292),"")</f>
        <v>TOTAL_GHG_CO2_EMISSIONS</v>
      </c>
      <c r="E292" t="str">
        <f>IFERROR(IF(0=LEN(ReferenceData!$E$292),"",ReferenceData!$E$292),"")</f>
        <v>Dynamic</v>
      </c>
      <c r="F292">
        <f ca="1">IFERROR(IF(0=LEN(ReferenceData!$F$292),"",ReferenceData!$F$292),"")</f>
        <v>1.0669999999999999</v>
      </c>
      <c r="G292">
        <f ca="1">IFERROR(IF(0=LEN(ReferenceData!$G$292),"",ReferenceData!$G$292),"")</f>
        <v>1.072599976</v>
      </c>
      <c r="H292">
        <f ca="1">IFERROR(IF(0=LEN(ReferenceData!$H$292),"",ReferenceData!$H$292),"")</f>
        <v>1.0530400390000001</v>
      </c>
      <c r="I292">
        <f ca="1">IFERROR(IF(0=LEN(ReferenceData!$I$292),"",ReferenceData!$I$292),"")</f>
        <v>1.004</v>
      </c>
      <c r="J292">
        <f ca="1">IFERROR(IF(0=LEN(ReferenceData!$J$292),"",ReferenceData!$J$292),"")</f>
        <v>1.008</v>
      </c>
    </row>
    <row r="293" spans="1:10" x14ac:dyDescent="0.25">
      <c r="A293" t="str">
        <f>IFERROR(IF(0=LEN(ReferenceData!$A$293),"",ReferenceData!$A$293),"")</f>
        <v xml:space="preserve">                    Societe LDC SA</v>
      </c>
      <c r="B293" t="str">
        <f>IFERROR(IF(0=LEN(ReferenceData!$B$293),"",ReferenceData!$B$293),"")</f>
        <v>LOUP FP Equity</v>
      </c>
      <c r="C293" t="str">
        <f>IFERROR(IF(0=LEN(ReferenceData!$C$293),"",ReferenceData!$C$293),"")</f>
        <v>F0946</v>
      </c>
      <c r="D293" t="str">
        <f>IFERROR(IF(0=LEN(ReferenceData!$D$293),"",ReferenceData!$D$293),"")</f>
        <v>TOTAL_GHG_CO2_EMISSIONS</v>
      </c>
      <c r="E293" t="str">
        <f>IFERROR(IF(0=LEN(ReferenceData!$E$293),"",ReferenceData!$E$293),"")</f>
        <v>Dynamic</v>
      </c>
      <c r="F293" t="str">
        <f ca="1">IFERROR(IF(0=LEN(ReferenceData!$F$293),"",ReferenceData!$F$293),"")</f>
        <v/>
      </c>
      <c r="G293" t="str">
        <f ca="1">IFERROR(IF(0=LEN(ReferenceData!$G$293),"",ReferenceData!$G$293),"")</f>
        <v/>
      </c>
      <c r="H293">
        <f ca="1">IFERROR(IF(0=LEN(ReferenceData!$H$293),"",ReferenceData!$H$293),"")</f>
        <v>0.18</v>
      </c>
      <c r="I293" t="str">
        <f ca="1">IFERROR(IF(0=LEN(ReferenceData!$I$293),"",ReferenceData!$I$293),"")</f>
        <v/>
      </c>
      <c r="J293" t="str">
        <f ca="1">IFERROR(IF(0=LEN(ReferenceData!$J$293),"",ReferenceData!$J$293),"")</f>
        <v/>
      </c>
    </row>
    <row r="294" spans="1:10" x14ac:dyDescent="0.25">
      <c r="A294" t="str">
        <f>IFERROR(IF(0=LEN(ReferenceData!$A$294),"",ReferenceData!$A$294),"")</f>
        <v xml:space="preserve">                    Lotte Corp</v>
      </c>
      <c r="B294" t="str">
        <f>IFERROR(IF(0=LEN(ReferenceData!$B$294),"",ReferenceData!$B$294),"")</f>
        <v>004990 KS Equity</v>
      </c>
      <c r="C294" t="str">
        <f>IFERROR(IF(0=LEN(ReferenceData!$C$294),"",ReferenceData!$C$294),"")</f>
        <v>F0946</v>
      </c>
      <c r="D294" t="str">
        <f>IFERROR(IF(0=LEN(ReferenceData!$D$294),"",ReferenceData!$D$294),"")</f>
        <v>TOTAL_GHG_CO2_EMISSIONS</v>
      </c>
      <c r="E294" t="str">
        <f>IFERROR(IF(0=LEN(ReferenceData!$E$294),"",ReferenceData!$E$294),"")</f>
        <v>Dynamic</v>
      </c>
      <c r="F294" t="str">
        <f ca="1">IFERROR(IF(0=LEN(ReferenceData!$F$294),"",ReferenceData!$F$294),"")</f>
        <v/>
      </c>
      <c r="G294" t="str">
        <f ca="1">IFERROR(IF(0=LEN(ReferenceData!$G$294),"",ReferenceData!$G$294),"")</f>
        <v/>
      </c>
      <c r="H294" t="str">
        <f ca="1">IFERROR(IF(0=LEN(ReferenceData!$H$294),"",ReferenceData!$H$294),"")</f>
        <v/>
      </c>
      <c r="I294" t="str">
        <f ca="1">IFERROR(IF(0=LEN(ReferenceData!$I$294),"",ReferenceData!$I$294),"")</f>
        <v/>
      </c>
      <c r="J294" t="str">
        <f ca="1">IFERROR(IF(0=LEN(ReferenceData!$J$294),"",ReferenceData!$J$294),"")</f>
        <v/>
      </c>
    </row>
    <row r="295" spans="1:10" x14ac:dyDescent="0.25">
      <c r="A295" t="str">
        <f>IFERROR(IF(0=LEN(ReferenceData!$A$295),"",ReferenceData!$A$295),"")</f>
        <v xml:space="preserve">                    Lancaster Colony Corp</v>
      </c>
      <c r="B295" t="str">
        <f>IFERROR(IF(0=LEN(ReferenceData!$B$295),"",ReferenceData!$B$295),"")</f>
        <v>LANC US Equity</v>
      </c>
      <c r="C295" t="str">
        <f>IFERROR(IF(0=LEN(ReferenceData!$C$295),"",ReferenceData!$C$295),"")</f>
        <v>F0946</v>
      </c>
      <c r="D295" t="str">
        <f>IFERROR(IF(0=LEN(ReferenceData!$D$295),"",ReferenceData!$D$295),"")</f>
        <v>TOTAL_GHG_CO2_EMISSIONS</v>
      </c>
      <c r="E295" t="str">
        <f>IFERROR(IF(0=LEN(ReferenceData!$E$295),"",ReferenceData!$E$295),"")</f>
        <v>Dynamic</v>
      </c>
      <c r="F295" t="str">
        <f ca="1">IFERROR(IF(0=LEN(ReferenceData!$F$295),"",ReferenceData!$F$295),"")</f>
        <v/>
      </c>
      <c r="G295" t="str">
        <f ca="1">IFERROR(IF(0=LEN(ReferenceData!$G$295),"",ReferenceData!$G$295),"")</f>
        <v/>
      </c>
      <c r="H295" t="str">
        <f ca="1">IFERROR(IF(0=LEN(ReferenceData!$H$295),"",ReferenceData!$H$295),"")</f>
        <v/>
      </c>
      <c r="I295">
        <f ca="1">IFERROR(IF(0=LEN(ReferenceData!$I$295),"",ReferenceData!$I$295),"")</f>
        <v>8.2684997999999996E-2</v>
      </c>
      <c r="J295" t="str">
        <f ca="1">IFERROR(IF(0=LEN(ReferenceData!$J$295),"",ReferenceData!$J$295),"")</f>
        <v/>
      </c>
    </row>
    <row r="296" spans="1:10" x14ac:dyDescent="0.25">
      <c r="A296" t="str">
        <f>IFERROR(IF(0=LEN(ReferenceData!$A$296),"",ReferenceData!$A$296),"")</f>
        <v xml:space="preserve">                    Chocoladefabriken Lindt &amp; Spru</v>
      </c>
      <c r="B296" t="str">
        <f>IFERROR(IF(0=LEN(ReferenceData!$B$296),"",ReferenceData!$B$296),"")</f>
        <v>LISN SW Equity</v>
      </c>
      <c r="C296" t="str">
        <f>IFERROR(IF(0=LEN(ReferenceData!$C$296),"",ReferenceData!$C$296),"")</f>
        <v>F0946</v>
      </c>
      <c r="D296" t="str">
        <f>IFERROR(IF(0=LEN(ReferenceData!$D$296),"",ReferenceData!$D$296),"")</f>
        <v>TOTAL_GHG_CO2_EMISSIONS</v>
      </c>
      <c r="E296" t="str">
        <f>IFERROR(IF(0=LEN(ReferenceData!$E$296),"",ReferenceData!$E$296),"")</f>
        <v>Dynamic</v>
      </c>
      <c r="F296">
        <f ca="1">IFERROR(IF(0=LEN(ReferenceData!$F$296),"",ReferenceData!$F$296),"")</f>
        <v>7.9000000000000001E-2</v>
      </c>
      <c r="G296">
        <f ca="1">IFERROR(IF(0=LEN(ReferenceData!$G$296),"",ReferenceData!$G$296),"")</f>
        <v>0.08</v>
      </c>
      <c r="H296">
        <f ca="1">IFERROR(IF(0=LEN(ReferenceData!$H$296),"",ReferenceData!$H$296),"")</f>
        <v>0.10100000000000001</v>
      </c>
      <c r="I296">
        <f ca="1">IFERROR(IF(0=LEN(ReferenceData!$I$296),"",ReferenceData!$I$296),"")</f>
        <v>0.113</v>
      </c>
      <c r="J296">
        <f ca="1">IFERROR(IF(0=LEN(ReferenceData!$J$296),"",ReferenceData!$J$296),"")</f>
        <v>0.11799999999999999</v>
      </c>
    </row>
    <row r="297" spans="1:10" x14ac:dyDescent="0.25">
      <c r="A297" t="str">
        <f>IFERROR(IF(0=LEN(ReferenceData!$A$297),"",ReferenceData!$A$297),"")</f>
        <v xml:space="preserve">                    M Dias Branco SA</v>
      </c>
      <c r="B297" t="str">
        <f>IFERROR(IF(0=LEN(ReferenceData!$B$297),"",ReferenceData!$B$297),"")</f>
        <v>MDIA3 BZ Equity</v>
      </c>
      <c r="C297" t="str">
        <f>IFERROR(IF(0=LEN(ReferenceData!$C$297),"",ReferenceData!$C$297),"")</f>
        <v>F0946</v>
      </c>
      <c r="D297" t="str">
        <f>IFERROR(IF(0=LEN(ReferenceData!$D$297),"",ReferenceData!$D$297),"")</f>
        <v>TOTAL_GHG_CO2_EMISSIONS</v>
      </c>
      <c r="E297" t="str">
        <f>IFERROR(IF(0=LEN(ReferenceData!$E$297),"",ReferenceData!$E$297),"")</f>
        <v>Dynamic</v>
      </c>
      <c r="F297">
        <f ca="1">IFERROR(IF(0=LEN(ReferenceData!$F$297),"",ReferenceData!$F$297),"")</f>
        <v>0.16405499300000001</v>
      </c>
      <c r="G297">
        <f ca="1">IFERROR(IF(0=LEN(ReferenceData!$G$297),"",ReferenceData!$G$297),"")</f>
        <v>0.181223999</v>
      </c>
      <c r="H297" t="str">
        <f ca="1">IFERROR(IF(0=LEN(ReferenceData!$H$297),"",ReferenceData!$H$297),"")</f>
        <v/>
      </c>
      <c r="I297" t="str">
        <f ca="1">IFERROR(IF(0=LEN(ReferenceData!$I$297),"",ReferenceData!$I$297),"")</f>
        <v/>
      </c>
      <c r="J297">
        <f ca="1">IFERROR(IF(0=LEN(ReferenceData!$J$297),"",ReferenceData!$J$297),"")</f>
        <v>0.17532899499999999</v>
      </c>
    </row>
    <row r="298" spans="1:10" x14ac:dyDescent="0.25">
      <c r="A298" t="str">
        <f>IFERROR(IF(0=LEN(ReferenceData!$A$298),"",ReferenceData!$A$298),"")</f>
        <v xml:space="preserve">                    Marfrig Global Foods SA</v>
      </c>
      <c r="B298" t="str">
        <f>IFERROR(IF(0=LEN(ReferenceData!$B$298),"",ReferenceData!$B$298),"")</f>
        <v>MRFG3 BZ Equity</v>
      </c>
      <c r="C298" t="str">
        <f>IFERROR(IF(0=LEN(ReferenceData!$C$298),"",ReferenceData!$C$298),"")</f>
        <v>F0946</v>
      </c>
      <c r="D298" t="str">
        <f>IFERROR(IF(0=LEN(ReferenceData!$D$298),"",ReferenceData!$D$298),"")</f>
        <v>TOTAL_GHG_CO2_EMISSIONS</v>
      </c>
      <c r="E298" t="str">
        <f>IFERROR(IF(0=LEN(ReferenceData!$E$298),"",ReferenceData!$E$298),"")</f>
        <v>Dynamic</v>
      </c>
      <c r="F298">
        <f ca="1">IFERROR(IF(0=LEN(ReferenceData!$F$298),"",ReferenceData!$F$298),"")</f>
        <v>0.47549999999999998</v>
      </c>
      <c r="G298">
        <f ca="1">IFERROR(IF(0=LEN(ReferenceData!$G$298),"",ReferenceData!$G$298),"")</f>
        <v>0.59643902599999998</v>
      </c>
      <c r="H298">
        <f ca="1">IFERROR(IF(0=LEN(ReferenceData!$H$298),"",ReferenceData!$H$298),"")</f>
        <v>0.73517297400000003</v>
      </c>
      <c r="I298">
        <f ca="1">IFERROR(IF(0=LEN(ReferenceData!$I$298),"",ReferenceData!$I$298),"")</f>
        <v>0.63339001500000003</v>
      </c>
      <c r="J298">
        <f ca="1">IFERROR(IF(0=LEN(ReferenceData!$J$298),"",ReferenceData!$J$298),"")</f>
        <v>0.57079602100000004</v>
      </c>
    </row>
    <row r="299" spans="1:10" x14ac:dyDescent="0.25">
      <c r="A299" t="str">
        <f>IFERROR(IF(0=LEN(ReferenceData!$A$299),"",ReferenceData!$A$299),"")</f>
        <v xml:space="preserve">                    Megmilk Snow Brand Co Ltd</v>
      </c>
      <c r="B299" t="str">
        <f>IFERROR(IF(0=LEN(ReferenceData!$B$299),"",ReferenceData!$B$299),"")</f>
        <v>2270 JP Equity</v>
      </c>
      <c r="C299" t="str">
        <f>IFERROR(IF(0=LEN(ReferenceData!$C$299),"",ReferenceData!$C$299),"")</f>
        <v>F0946</v>
      </c>
      <c r="D299" t="str">
        <f>IFERROR(IF(0=LEN(ReferenceData!$D$299),"",ReferenceData!$D$299),"")</f>
        <v>TOTAL_GHG_CO2_EMISSIONS</v>
      </c>
      <c r="E299" t="str">
        <f>IFERROR(IF(0=LEN(ReferenceData!$E$299),"",ReferenceData!$E$299),"")</f>
        <v>Dynamic</v>
      </c>
      <c r="F299" t="str">
        <f ca="1">IFERROR(IF(0=LEN(ReferenceData!$F$299),"",ReferenceData!$F$299),"")</f>
        <v/>
      </c>
      <c r="G299">
        <f ca="1">IFERROR(IF(0=LEN(ReferenceData!$G$299),"",ReferenceData!$G$299),"")</f>
        <v>0.22800000000000001</v>
      </c>
      <c r="H299">
        <f ca="1">IFERROR(IF(0=LEN(ReferenceData!$H$299),"",ReferenceData!$H$299),"")</f>
        <v>0.224</v>
      </c>
      <c r="I299">
        <f ca="1">IFERROR(IF(0=LEN(ReferenceData!$I$299),"",ReferenceData!$I$299),"")</f>
        <v>0.33505600000000002</v>
      </c>
      <c r="J299">
        <f ca="1">IFERROR(IF(0=LEN(ReferenceData!$J$299),"",ReferenceData!$J$299),"")</f>
        <v>0.34039999399999998</v>
      </c>
    </row>
    <row r="300" spans="1:10" x14ac:dyDescent="0.25">
      <c r="A300" t="str">
        <f>IFERROR(IF(0=LEN(ReferenceData!$A$300),"",ReferenceData!$A$300),"")</f>
        <v xml:space="preserve">                    MEIJI Holdings Co Ltd</v>
      </c>
      <c r="B300" t="str">
        <f>IFERROR(IF(0=LEN(ReferenceData!$B$300),"",ReferenceData!$B$300),"")</f>
        <v>2269 JP Equity</v>
      </c>
      <c r="C300" t="str">
        <f>IFERROR(IF(0=LEN(ReferenceData!$C$300),"",ReferenceData!$C$300),"")</f>
        <v>F0946</v>
      </c>
      <c r="D300" t="str">
        <f>IFERROR(IF(0=LEN(ReferenceData!$D$300),"",ReferenceData!$D$300),"")</f>
        <v>TOTAL_GHG_CO2_EMISSIONS</v>
      </c>
      <c r="E300" t="str">
        <f>IFERROR(IF(0=LEN(ReferenceData!$E$300),"",ReferenceData!$E$300),"")</f>
        <v>Dynamic</v>
      </c>
      <c r="F300" t="str">
        <f ca="1">IFERROR(IF(0=LEN(ReferenceData!$F$300),"",ReferenceData!$F$300),"")</f>
        <v/>
      </c>
      <c r="G300">
        <f ca="1">IFERROR(IF(0=LEN(ReferenceData!$G$300),"",ReferenceData!$G$300),"")</f>
        <v>0.55771698000000003</v>
      </c>
      <c r="H300">
        <f ca="1">IFERROR(IF(0=LEN(ReferenceData!$H$300),"",ReferenceData!$H$300),"")</f>
        <v>0.56299999999999994</v>
      </c>
      <c r="I300">
        <f ca="1">IFERROR(IF(0=LEN(ReferenceData!$I$300),"",ReferenceData!$I$300),"")</f>
        <v>0.60399999999999998</v>
      </c>
      <c r="J300">
        <f ca="1">IFERROR(IF(0=LEN(ReferenceData!$J$300),"",ReferenceData!$J$300),"")</f>
        <v>0.63100000000000001</v>
      </c>
    </row>
    <row r="301" spans="1:10" x14ac:dyDescent="0.25">
      <c r="A301" t="str">
        <f>IFERROR(IF(0=LEN(ReferenceData!$A$301),"",ReferenceData!$A$301),"")</f>
        <v xml:space="preserve">                    Minerva SA/Brazil</v>
      </c>
      <c r="B301" t="str">
        <f>IFERROR(IF(0=LEN(ReferenceData!$B$301),"",ReferenceData!$B$301),"")</f>
        <v>BEEF3 BZ Equity</v>
      </c>
      <c r="C301" t="str">
        <f>IFERROR(IF(0=LEN(ReferenceData!$C$301),"",ReferenceData!$C$301),"")</f>
        <v>F0946</v>
      </c>
      <c r="D301" t="str">
        <f>IFERROR(IF(0=LEN(ReferenceData!$D$301),"",ReferenceData!$D$301),"")</f>
        <v>TOTAL_GHG_CO2_EMISSIONS</v>
      </c>
      <c r="E301" t="str">
        <f>IFERROR(IF(0=LEN(ReferenceData!$E$301),"",ReferenceData!$E$301),"")</f>
        <v>Dynamic</v>
      </c>
      <c r="F301">
        <f ca="1">IFERROR(IF(0=LEN(ReferenceData!$F$301),"",ReferenceData!$F$301),"")</f>
        <v>0.38007000699999999</v>
      </c>
      <c r="G301">
        <f ca="1">IFERROR(IF(0=LEN(ReferenceData!$G$301),"",ReferenceData!$G$301),"")</f>
        <v>0.33623800700000001</v>
      </c>
      <c r="H301">
        <f ca="1">IFERROR(IF(0=LEN(ReferenceData!$H$301),"",ReferenceData!$H$301),"")</f>
        <v>0.24542599500000001</v>
      </c>
      <c r="I301">
        <f ca="1">IFERROR(IF(0=LEN(ReferenceData!$I$301),"",ReferenceData!$I$301),"")</f>
        <v>0.21018899499999999</v>
      </c>
      <c r="J301">
        <f ca="1">IFERROR(IF(0=LEN(ReferenceData!$J$301),"",ReferenceData!$J$301),"")</f>
        <v>0.30416598500000003</v>
      </c>
    </row>
    <row r="302" spans="1:10" x14ac:dyDescent="0.25">
      <c r="A302" t="str">
        <f>IFERROR(IF(0=LEN(ReferenceData!$A$302),"",ReferenceData!$A$302),"")</f>
        <v xml:space="preserve">                    Molinos Rio de la Plata SA</v>
      </c>
      <c r="B302" t="str">
        <f>IFERROR(IF(0=LEN(ReferenceData!$B$302),"",ReferenceData!$B$302),"")</f>
        <v>MOLI AR Equity</v>
      </c>
      <c r="C302" t="str">
        <f>IFERROR(IF(0=LEN(ReferenceData!$C$302),"",ReferenceData!$C$302),"")</f>
        <v>F0946</v>
      </c>
      <c r="D302" t="str">
        <f>IFERROR(IF(0=LEN(ReferenceData!$D$302),"",ReferenceData!$D$302),"")</f>
        <v>TOTAL_GHG_CO2_EMISSIONS</v>
      </c>
      <c r="E302" t="str">
        <f>IFERROR(IF(0=LEN(ReferenceData!$E$302),"",ReferenceData!$E$302),"")</f>
        <v>Dynamic</v>
      </c>
      <c r="F302" t="str">
        <f ca="1">IFERROR(IF(0=LEN(ReferenceData!$F$302),"",ReferenceData!$F$302),"")</f>
        <v/>
      </c>
      <c r="G302" t="str">
        <f ca="1">IFERROR(IF(0=LEN(ReferenceData!$G$302),"",ReferenceData!$G$302),"")</f>
        <v/>
      </c>
      <c r="H302" t="str">
        <f ca="1">IFERROR(IF(0=LEN(ReferenceData!$H$302),"",ReferenceData!$H$302),"")</f>
        <v/>
      </c>
      <c r="I302" t="str">
        <f ca="1">IFERROR(IF(0=LEN(ReferenceData!$I$302),"",ReferenceData!$I$302),"")</f>
        <v/>
      </c>
      <c r="J302" t="str">
        <f ca="1">IFERROR(IF(0=LEN(ReferenceData!$J$302),"",ReferenceData!$J$302),"")</f>
        <v/>
      </c>
    </row>
    <row r="303" spans="1:10" x14ac:dyDescent="0.25">
      <c r="A303" t="str">
        <f>IFERROR(IF(0=LEN(ReferenceData!$A$303),"",ReferenceData!$A$303),"")</f>
        <v xml:space="preserve">                    Mondelez International Inc</v>
      </c>
      <c r="B303" t="str">
        <f>IFERROR(IF(0=LEN(ReferenceData!$B$303),"",ReferenceData!$B$303),"")</f>
        <v>MDLZ US Equity</v>
      </c>
      <c r="C303" t="str">
        <f>IFERROR(IF(0=LEN(ReferenceData!$C$303),"",ReferenceData!$C$303),"")</f>
        <v>F0946</v>
      </c>
      <c r="D303" t="str">
        <f>IFERROR(IF(0=LEN(ReferenceData!$D$303),"",ReferenceData!$D$303),"")</f>
        <v>TOTAL_GHG_CO2_EMISSIONS</v>
      </c>
      <c r="E303" t="str">
        <f>IFERROR(IF(0=LEN(ReferenceData!$E$303),"",ReferenceData!$E$303),"")</f>
        <v>Dynamic</v>
      </c>
      <c r="F303" t="str">
        <f ca="1">IFERROR(IF(0=LEN(ReferenceData!$F$303),"",ReferenceData!$F$303),"")</f>
        <v/>
      </c>
      <c r="G303">
        <f ca="1">IFERROR(IF(0=LEN(ReferenceData!$G$303),"",ReferenceData!$G$303),"")</f>
        <v>1.465140015</v>
      </c>
      <c r="H303">
        <f ca="1">IFERROR(IF(0=LEN(ReferenceData!$H$303),"",ReferenceData!$H$303),"")</f>
        <v>1.6134899899999999</v>
      </c>
      <c r="I303">
        <f ca="1">IFERROR(IF(0=LEN(ReferenceData!$I$303),"",ReferenceData!$I$303),"")</f>
        <v>1.7951899410000001</v>
      </c>
      <c r="J303">
        <f ca="1">IFERROR(IF(0=LEN(ReferenceData!$J$303),"",ReferenceData!$J$303),"")</f>
        <v>1.7812199710000001</v>
      </c>
    </row>
    <row r="304" spans="1:10" x14ac:dyDescent="0.25">
      <c r="A304" t="str">
        <f>IFERROR(IF(0=LEN(ReferenceData!$A$304),"",ReferenceData!$A$304),"")</f>
        <v xml:space="preserve">                    Maple Leaf Foods Inc</v>
      </c>
      <c r="B304" t="str">
        <f>IFERROR(IF(0=LEN(ReferenceData!$B$304),"",ReferenceData!$B$304),"")</f>
        <v>MFI CN Equity</v>
      </c>
      <c r="C304" t="str">
        <f>IFERROR(IF(0=LEN(ReferenceData!$C$304),"",ReferenceData!$C$304),"")</f>
        <v>F0946</v>
      </c>
      <c r="D304" t="str">
        <f>IFERROR(IF(0=LEN(ReferenceData!$D$304),"",ReferenceData!$D$304),"")</f>
        <v>TOTAL_GHG_CO2_EMISSIONS</v>
      </c>
      <c r="E304" t="str">
        <f>IFERROR(IF(0=LEN(ReferenceData!$E$304),"",ReferenceData!$E$304),"")</f>
        <v>Dynamic</v>
      </c>
      <c r="F304" t="str">
        <f ca="1">IFERROR(IF(0=LEN(ReferenceData!$F$304),"",ReferenceData!$F$304),"")</f>
        <v/>
      </c>
      <c r="G304">
        <f ca="1">IFERROR(IF(0=LEN(ReferenceData!$G$304),"",ReferenceData!$G$304),"")</f>
        <v>0.32222000099999998</v>
      </c>
      <c r="H304">
        <f ca="1">IFERROR(IF(0=LEN(ReferenceData!$H$304),"",ReferenceData!$H$304),"")</f>
        <v>0.33308700600000002</v>
      </c>
      <c r="I304">
        <f ca="1">IFERROR(IF(0=LEN(ReferenceData!$I$304),"",ReferenceData!$I$304),"")</f>
        <v>0.36612600699999998</v>
      </c>
      <c r="J304">
        <f ca="1">IFERROR(IF(0=LEN(ReferenceData!$J$304),"",ReferenceData!$J$304),"")</f>
        <v>0.15147300699999999</v>
      </c>
    </row>
    <row r="305" spans="1:10" x14ac:dyDescent="0.25">
      <c r="A305" t="str">
        <f>IFERROR(IF(0=LEN(ReferenceData!$A$305),"",ReferenceData!$A$305),"")</f>
        <v xml:space="preserve">                    Mayora Indah Tbk PT</v>
      </c>
      <c r="B305" t="str">
        <f>IFERROR(IF(0=LEN(ReferenceData!$B$305),"",ReferenceData!$B$305),"")</f>
        <v>MYOR IJ Equity</v>
      </c>
      <c r="C305" t="str">
        <f>IFERROR(IF(0=LEN(ReferenceData!$C$305),"",ReferenceData!$C$305),"")</f>
        <v>F0946</v>
      </c>
      <c r="D305" t="str">
        <f>IFERROR(IF(0=LEN(ReferenceData!$D$305),"",ReferenceData!$D$305),"")</f>
        <v>TOTAL_GHG_CO2_EMISSIONS</v>
      </c>
      <c r="E305" t="str">
        <f>IFERROR(IF(0=LEN(ReferenceData!$E$305),"",ReferenceData!$E$305),"")</f>
        <v>Dynamic</v>
      </c>
      <c r="F305">
        <f ca="1">IFERROR(IF(0=LEN(ReferenceData!$F$305),"",ReferenceData!$F$305),"")</f>
        <v>2.8575000999999999E-2</v>
      </c>
      <c r="G305" t="str">
        <f ca="1">IFERROR(IF(0=LEN(ReferenceData!$G$305),"",ReferenceData!$G$305),"")</f>
        <v/>
      </c>
      <c r="H305" t="str">
        <f ca="1">IFERROR(IF(0=LEN(ReferenceData!$H$305),"",ReferenceData!$H$305),"")</f>
        <v/>
      </c>
      <c r="I305" t="str">
        <f ca="1">IFERROR(IF(0=LEN(ReferenceData!$I$305),"",ReferenceData!$I$305),"")</f>
        <v/>
      </c>
      <c r="J305" t="str">
        <f ca="1">IFERROR(IF(0=LEN(ReferenceData!$J$305),"",ReferenceData!$J$305),"")</f>
        <v/>
      </c>
    </row>
    <row r="306" spans="1:10" x14ac:dyDescent="0.25">
      <c r="A306" t="str">
        <f>IFERROR(IF(0=LEN(ReferenceData!$A$306),"",ReferenceData!$A$306),"")</f>
        <v xml:space="preserve">                    McCormick &amp; Co Inc/MD</v>
      </c>
      <c r="B306" t="str">
        <f>IFERROR(IF(0=LEN(ReferenceData!$B$306),"",ReferenceData!$B$306),"")</f>
        <v>MKC US Equity</v>
      </c>
      <c r="C306" t="str">
        <f>IFERROR(IF(0=LEN(ReferenceData!$C$306),"",ReferenceData!$C$306),"")</f>
        <v>F0946</v>
      </c>
      <c r="D306" t="str">
        <f>IFERROR(IF(0=LEN(ReferenceData!$D$306),"",ReferenceData!$D$306),"")</f>
        <v>TOTAL_GHG_CO2_EMISSIONS</v>
      </c>
      <c r="E306" t="str">
        <f>IFERROR(IF(0=LEN(ReferenceData!$E$306),"",ReferenceData!$E$306),"")</f>
        <v>Dynamic</v>
      </c>
      <c r="F306" t="str">
        <f ca="1">IFERROR(IF(0=LEN(ReferenceData!$F$306),"",ReferenceData!$F$306),"")</f>
        <v/>
      </c>
      <c r="G306">
        <f ca="1">IFERROR(IF(0=LEN(ReferenceData!$G$306),"",ReferenceData!$G$306),"")</f>
        <v>8.8747002000000005E-2</v>
      </c>
      <c r="H306">
        <f ca="1">IFERROR(IF(0=LEN(ReferenceData!$H$306),"",ReferenceData!$H$306),"")</f>
        <v>0.112023003</v>
      </c>
      <c r="I306">
        <f ca="1">IFERROR(IF(0=LEN(ReferenceData!$I$306),"",ReferenceData!$I$306),"")</f>
        <v>0.116646004</v>
      </c>
      <c r="J306">
        <f ca="1">IFERROR(IF(0=LEN(ReferenceData!$J$306),"",ReferenceData!$J$306),"")</f>
        <v>0.117230003</v>
      </c>
    </row>
    <row r="307" spans="1:10" x14ac:dyDescent="0.25">
      <c r="A307" t="str">
        <f>IFERROR(IF(0=LEN(ReferenceData!$A$307),"",ReferenceData!$A$307),"")</f>
        <v xml:space="preserve">                    Morinaga Milk Industry Co Ltd</v>
      </c>
      <c r="B307" t="str">
        <f>IFERROR(IF(0=LEN(ReferenceData!$B$307),"",ReferenceData!$B$307),"")</f>
        <v>2264 JP Equity</v>
      </c>
      <c r="C307" t="str">
        <f>IFERROR(IF(0=LEN(ReferenceData!$C$307),"",ReferenceData!$C$307),"")</f>
        <v>F0946</v>
      </c>
      <c r="D307" t="str">
        <f>IFERROR(IF(0=LEN(ReferenceData!$D$307),"",ReferenceData!$D$307),"")</f>
        <v>TOTAL_GHG_CO2_EMISSIONS</v>
      </c>
      <c r="E307" t="str">
        <f>IFERROR(IF(0=LEN(ReferenceData!$E$307),"",ReferenceData!$E$307),"")</f>
        <v>Dynamic</v>
      </c>
      <c r="F307" t="str">
        <f ca="1">IFERROR(IF(0=LEN(ReferenceData!$F$307),"",ReferenceData!$F$307),"")</f>
        <v/>
      </c>
      <c r="G307">
        <f ca="1">IFERROR(IF(0=LEN(ReferenceData!$G$307),"",ReferenceData!$G$307),"")</f>
        <v>0.30399999999999999</v>
      </c>
      <c r="H307">
        <f ca="1">IFERROR(IF(0=LEN(ReferenceData!$H$307),"",ReferenceData!$H$307),"")</f>
        <v>0.32</v>
      </c>
      <c r="I307">
        <f ca="1">IFERROR(IF(0=LEN(ReferenceData!$I$307),"",ReferenceData!$I$307),"")</f>
        <v>0.35899999999999999</v>
      </c>
      <c r="J307">
        <f ca="1">IFERROR(IF(0=LEN(ReferenceData!$J$307),"",ReferenceData!$J$307),"")</f>
        <v>0.34</v>
      </c>
    </row>
    <row r="308" spans="1:10" x14ac:dyDescent="0.25">
      <c r="A308" t="str">
        <f>IFERROR(IF(0=LEN(ReferenceData!$A$308),"",ReferenceData!$A$308),"")</f>
        <v xml:space="preserve">                    NH Foods Ltd</v>
      </c>
      <c r="B308" t="str">
        <f>IFERROR(IF(0=LEN(ReferenceData!$B$308),"",ReferenceData!$B$308),"")</f>
        <v>2282 JP Equity</v>
      </c>
      <c r="C308" t="str">
        <f>IFERROR(IF(0=LEN(ReferenceData!$C$308),"",ReferenceData!$C$308),"")</f>
        <v>F0946</v>
      </c>
      <c r="D308" t="str">
        <f>IFERROR(IF(0=LEN(ReferenceData!$D$308),"",ReferenceData!$D$308),"")</f>
        <v>TOTAL_GHG_CO2_EMISSIONS</v>
      </c>
      <c r="E308" t="str">
        <f>IFERROR(IF(0=LEN(ReferenceData!$E$308),"",ReferenceData!$E$308),"")</f>
        <v>Dynamic</v>
      </c>
      <c r="F308" t="str">
        <f ca="1">IFERROR(IF(0=LEN(ReferenceData!$F$308),"",ReferenceData!$F$308),"")</f>
        <v/>
      </c>
      <c r="G308">
        <f ca="1">IFERROR(IF(0=LEN(ReferenceData!$G$308),"",ReferenceData!$G$308),"")</f>
        <v>0.61499999999999999</v>
      </c>
      <c r="H308">
        <f ca="1">IFERROR(IF(0=LEN(ReferenceData!$H$308),"",ReferenceData!$H$308),"")</f>
        <v>0.625</v>
      </c>
      <c r="I308">
        <f ca="1">IFERROR(IF(0=LEN(ReferenceData!$I$308),"",ReferenceData!$I$308),"")</f>
        <v>0.505</v>
      </c>
      <c r="J308">
        <f ca="1">IFERROR(IF(0=LEN(ReferenceData!$J$308),"",ReferenceData!$J$308),"")</f>
        <v>0.51900000000000002</v>
      </c>
    </row>
    <row r="309" spans="1:10" x14ac:dyDescent="0.25">
      <c r="A309" t="str">
        <f>IFERROR(IF(0=LEN(ReferenceData!$A$309),"",ReferenceData!$A$309),"")</f>
        <v xml:space="preserve">                    Nissin Foods Holdings Co Ltd</v>
      </c>
      <c r="B309" t="str">
        <f>IFERROR(IF(0=LEN(ReferenceData!$B$309),"",ReferenceData!$B$309),"")</f>
        <v>2897 JP Equity</v>
      </c>
      <c r="C309" t="str">
        <f>IFERROR(IF(0=LEN(ReferenceData!$C$309),"",ReferenceData!$C$309),"")</f>
        <v>F0946</v>
      </c>
      <c r="D309" t="str">
        <f>IFERROR(IF(0=LEN(ReferenceData!$D$309),"",ReferenceData!$D$309),"")</f>
        <v>TOTAL_GHG_CO2_EMISSIONS</v>
      </c>
      <c r="E309" t="str">
        <f>IFERROR(IF(0=LEN(ReferenceData!$E$309),"",ReferenceData!$E$309),"")</f>
        <v>Dynamic</v>
      </c>
      <c r="F309" t="str">
        <f ca="1">IFERROR(IF(0=LEN(ReferenceData!$F$309),"",ReferenceData!$F$309),"")</f>
        <v/>
      </c>
      <c r="G309">
        <f ca="1">IFERROR(IF(0=LEN(ReferenceData!$G$309),"",ReferenceData!$G$309),"")</f>
        <v>0.45668600500000001</v>
      </c>
      <c r="H309">
        <f ca="1">IFERROR(IF(0=LEN(ReferenceData!$H$309),"",ReferenceData!$H$309),"")</f>
        <v>0.45127099599999998</v>
      </c>
      <c r="I309">
        <f ca="1">IFERROR(IF(0=LEN(ReferenceData!$I$309),"",ReferenceData!$I$309),"")</f>
        <v>0.42099999999999999</v>
      </c>
      <c r="J309">
        <f ca="1">IFERROR(IF(0=LEN(ReferenceData!$J$309),"",ReferenceData!$J$309),"")</f>
        <v>0.39700000000000002</v>
      </c>
    </row>
    <row r="310" spans="1:10" x14ac:dyDescent="0.25">
      <c r="A310" t="str">
        <f>IFERROR(IF(0=LEN(ReferenceData!$A$310),"",ReferenceData!$A$310),"")</f>
        <v xml:space="preserve">                    NongShim Co Ltd</v>
      </c>
      <c r="B310" t="str">
        <f>IFERROR(IF(0=LEN(ReferenceData!$B$310),"",ReferenceData!$B$310),"")</f>
        <v>004370 KS Equity</v>
      </c>
      <c r="C310" t="str">
        <f>IFERROR(IF(0=LEN(ReferenceData!$C$310),"",ReferenceData!$C$310),"")</f>
        <v>F0946</v>
      </c>
      <c r="D310" t="str">
        <f>IFERROR(IF(0=LEN(ReferenceData!$D$310),"",ReferenceData!$D$310),"")</f>
        <v>TOTAL_GHG_CO2_EMISSIONS</v>
      </c>
      <c r="E310" t="str">
        <f>IFERROR(IF(0=LEN(ReferenceData!$E$310),"",ReferenceData!$E$310),"")</f>
        <v>Dynamic</v>
      </c>
      <c r="F310" t="str">
        <f ca="1">IFERROR(IF(0=LEN(ReferenceData!$F$310),"",ReferenceData!$F$310),"")</f>
        <v/>
      </c>
      <c r="G310">
        <f ca="1">IFERROR(IF(0=LEN(ReferenceData!$G$310),"",ReferenceData!$G$310),"")</f>
        <v>0.176067001</v>
      </c>
      <c r="H310">
        <f ca="1">IFERROR(IF(0=LEN(ReferenceData!$H$310),"",ReferenceData!$H$310),"")</f>
        <v>0.18514999400000001</v>
      </c>
      <c r="I310">
        <f ca="1">IFERROR(IF(0=LEN(ReferenceData!$I$310),"",ReferenceData!$I$310),"")</f>
        <v>0.17213600200000001</v>
      </c>
      <c r="J310">
        <f ca="1">IFERROR(IF(0=LEN(ReferenceData!$J$310),"",ReferenceData!$J$310),"")</f>
        <v>0.17073100299999999</v>
      </c>
    </row>
    <row r="311" spans="1:10" x14ac:dyDescent="0.25">
      <c r="A311" t="str">
        <f>IFERROR(IF(0=LEN(ReferenceData!$A$311),"",ReferenceData!$A$311),"")</f>
        <v xml:space="preserve">                    Nestle SA</v>
      </c>
      <c r="B311" t="str">
        <f>IFERROR(IF(0=LEN(ReferenceData!$B$311),"",ReferenceData!$B$311),"")</f>
        <v>NESN SW Equity</v>
      </c>
      <c r="C311" t="str">
        <f>IFERROR(IF(0=LEN(ReferenceData!$C$311),"",ReferenceData!$C$311),"")</f>
        <v>F0946</v>
      </c>
      <c r="D311" t="str">
        <f>IFERROR(IF(0=LEN(ReferenceData!$D$311),"",ReferenceData!$D$311),"")</f>
        <v>TOTAL_GHG_CO2_EMISSIONS</v>
      </c>
      <c r="E311" t="str">
        <f>IFERROR(IF(0=LEN(ReferenceData!$E$311),"",ReferenceData!$E$311),"")</f>
        <v>Dynamic</v>
      </c>
      <c r="F311" t="str">
        <f ca="1">IFERROR(IF(0=LEN(ReferenceData!$F$311),"",ReferenceData!$F$311),"")</f>
        <v/>
      </c>
      <c r="G311">
        <f ca="1">IFERROR(IF(0=LEN(ReferenceData!$G$311),"",ReferenceData!$G$311),"")</f>
        <v>5.97</v>
      </c>
      <c r="H311">
        <f ca="1">IFERROR(IF(0=LEN(ReferenceData!$H$311),"",ReferenceData!$H$311),"")</f>
        <v>5.3</v>
      </c>
      <c r="I311">
        <f ca="1">IFERROR(IF(0=LEN(ReferenceData!$I$311),"",ReferenceData!$I$311),"")</f>
        <v>6.4977998049999997</v>
      </c>
      <c r="J311">
        <f ca="1">IFERROR(IF(0=LEN(ReferenceData!$J$311),"",ReferenceData!$J$311),"")</f>
        <v>6.5997900390000002</v>
      </c>
    </row>
    <row r="312" spans="1:10" x14ac:dyDescent="0.25">
      <c r="A312" t="str">
        <f>IFERROR(IF(0=LEN(ReferenceData!$A$312),"",ReferenceData!$A$312),"")</f>
        <v xml:space="preserve">                    Nichirei Corp</v>
      </c>
      <c r="B312" t="str">
        <f>IFERROR(IF(0=LEN(ReferenceData!$B$312),"",ReferenceData!$B$312),"")</f>
        <v>2871 JP Equity</v>
      </c>
      <c r="C312" t="str">
        <f>IFERROR(IF(0=LEN(ReferenceData!$C$312),"",ReferenceData!$C$312),"")</f>
        <v>F0946</v>
      </c>
      <c r="D312" t="str">
        <f>IFERROR(IF(0=LEN(ReferenceData!$D$312),"",ReferenceData!$D$312),"")</f>
        <v>TOTAL_GHG_CO2_EMISSIONS</v>
      </c>
      <c r="E312" t="str">
        <f>IFERROR(IF(0=LEN(ReferenceData!$E$312),"",ReferenceData!$E$312),"")</f>
        <v>Dynamic</v>
      </c>
      <c r="F312" t="str">
        <f ca="1">IFERROR(IF(0=LEN(ReferenceData!$F$312),"",ReferenceData!$F$312),"")</f>
        <v/>
      </c>
      <c r="G312">
        <f ca="1">IFERROR(IF(0=LEN(ReferenceData!$G$312),"",ReferenceData!$G$312),"")</f>
        <v>0.36919100999999999</v>
      </c>
      <c r="H312">
        <f ca="1">IFERROR(IF(0=LEN(ReferenceData!$H$312),"",ReferenceData!$H$312),"")</f>
        <v>0.36335299700000001</v>
      </c>
      <c r="I312">
        <f ca="1">IFERROR(IF(0=LEN(ReferenceData!$I$312),"",ReferenceData!$I$312),"")</f>
        <v>0.241235001</v>
      </c>
      <c r="J312">
        <f ca="1">IFERROR(IF(0=LEN(ReferenceData!$J$312),"",ReferenceData!$J$312),"")</f>
        <v>0.25998001100000001</v>
      </c>
    </row>
    <row r="313" spans="1:10" x14ac:dyDescent="0.25">
      <c r="A313" t="str">
        <f>IFERROR(IF(0=LEN(ReferenceData!$A$313),"",ReferenceData!$A$313),"")</f>
        <v xml:space="preserve">                    Nippn Corp</v>
      </c>
      <c r="B313" t="str">
        <f>IFERROR(IF(0=LEN(ReferenceData!$B$313),"",ReferenceData!$B$313),"")</f>
        <v>2001 JP Equity</v>
      </c>
      <c r="C313" t="str">
        <f>IFERROR(IF(0=LEN(ReferenceData!$C$313),"",ReferenceData!$C$313),"")</f>
        <v>F0946</v>
      </c>
      <c r="D313" t="str">
        <f>IFERROR(IF(0=LEN(ReferenceData!$D$313),"",ReferenceData!$D$313),"")</f>
        <v>TOTAL_GHG_CO2_EMISSIONS</v>
      </c>
      <c r="E313" t="str">
        <f>IFERROR(IF(0=LEN(ReferenceData!$E$313),"",ReferenceData!$E$313),"")</f>
        <v>Dynamic</v>
      </c>
      <c r="F313" t="str">
        <f ca="1">IFERROR(IF(0=LEN(ReferenceData!$F$313),"",ReferenceData!$F$313),"")</f>
        <v/>
      </c>
      <c r="G313">
        <f ca="1">IFERROR(IF(0=LEN(ReferenceData!$G$313),"",ReferenceData!$G$313),"")</f>
        <v>0.162658997</v>
      </c>
      <c r="H313">
        <f ca="1">IFERROR(IF(0=LEN(ReferenceData!$H$313),"",ReferenceData!$H$313),"")</f>
        <v>0.16</v>
      </c>
      <c r="I313">
        <f ca="1">IFERROR(IF(0=LEN(ReferenceData!$I$313),"",ReferenceData!$I$313),"")</f>
        <v>0.159</v>
      </c>
      <c r="J313">
        <f ca="1">IFERROR(IF(0=LEN(ReferenceData!$J$313),"",ReferenceData!$J$313),"")</f>
        <v>0.155</v>
      </c>
    </row>
    <row r="314" spans="1:10" x14ac:dyDescent="0.25">
      <c r="A314" t="str">
        <f>IFERROR(IF(0=LEN(ReferenceData!$A$314),"",ReferenceData!$A$314),"")</f>
        <v xml:space="preserve">                    Nissui Corp</v>
      </c>
      <c r="B314" t="str">
        <f>IFERROR(IF(0=LEN(ReferenceData!$B$314),"",ReferenceData!$B$314),"")</f>
        <v>1332 JP Equity</v>
      </c>
      <c r="C314" t="str">
        <f>IFERROR(IF(0=LEN(ReferenceData!$C$314),"",ReferenceData!$C$314),"")</f>
        <v>F0946</v>
      </c>
      <c r="D314" t="str">
        <f>IFERROR(IF(0=LEN(ReferenceData!$D$314),"",ReferenceData!$D$314),"")</f>
        <v>TOTAL_GHG_CO2_EMISSIONS</v>
      </c>
      <c r="E314" t="str">
        <f>IFERROR(IF(0=LEN(ReferenceData!$E$314),"",ReferenceData!$E$314),"")</f>
        <v>Dynamic</v>
      </c>
      <c r="F314" t="str">
        <f ca="1">IFERROR(IF(0=LEN(ReferenceData!$F$314),"",ReferenceData!$F$314),"")</f>
        <v/>
      </c>
      <c r="G314">
        <f ca="1">IFERROR(IF(0=LEN(ReferenceData!$G$314),"",ReferenceData!$G$314),"")</f>
        <v>0.383964996</v>
      </c>
      <c r="H314">
        <f ca="1">IFERROR(IF(0=LEN(ReferenceData!$H$314),"",ReferenceData!$H$314),"")</f>
        <v>0.38648199500000002</v>
      </c>
      <c r="I314">
        <f ca="1">IFERROR(IF(0=LEN(ReferenceData!$I$314),"",ReferenceData!$I$314),"")</f>
        <v>0.39350500500000002</v>
      </c>
      <c r="J314">
        <f ca="1">IFERROR(IF(0=LEN(ReferenceData!$J$314),"",ReferenceData!$J$314),"")</f>
        <v>0.30474301100000001</v>
      </c>
    </row>
    <row r="315" spans="1:10" x14ac:dyDescent="0.25">
      <c r="A315" t="str">
        <f>IFERROR(IF(0=LEN(ReferenceData!$A$315),"",ReferenceData!$A$315),"")</f>
        <v xml:space="preserve">                    Orion Holdings Corp</v>
      </c>
      <c r="B315" t="str">
        <f>IFERROR(IF(0=LEN(ReferenceData!$B$315),"",ReferenceData!$B$315),"")</f>
        <v>001800 KS Equity</v>
      </c>
      <c r="C315" t="str">
        <f>IFERROR(IF(0=LEN(ReferenceData!$C$315),"",ReferenceData!$C$315),"")</f>
        <v>F0946</v>
      </c>
      <c r="D315" t="str">
        <f>IFERROR(IF(0=LEN(ReferenceData!$D$315),"",ReferenceData!$D$315),"")</f>
        <v>TOTAL_GHG_CO2_EMISSIONS</v>
      </c>
      <c r="E315" t="str">
        <f>IFERROR(IF(0=LEN(ReferenceData!$E$315),"",ReferenceData!$E$315),"")</f>
        <v>Dynamic</v>
      </c>
      <c r="F315" t="str">
        <f ca="1">IFERROR(IF(0=LEN(ReferenceData!$F$315),"",ReferenceData!$F$315),"")</f>
        <v/>
      </c>
      <c r="G315" t="str">
        <f ca="1">IFERROR(IF(0=LEN(ReferenceData!$G$315),"",ReferenceData!$G$315),"")</f>
        <v/>
      </c>
      <c r="H315" t="str">
        <f ca="1">IFERROR(IF(0=LEN(ReferenceData!$H$315),"",ReferenceData!$H$315),"")</f>
        <v/>
      </c>
      <c r="I315" t="str">
        <f ca="1">IFERROR(IF(0=LEN(ReferenceData!$I$315),"",ReferenceData!$I$315),"")</f>
        <v/>
      </c>
      <c r="J315" t="str">
        <f ca="1">IFERROR(IF(0=LEN(ReferenceData!$J$315),"",ReferenceData!$J$315),"")</f>
        <v/>
      </c>
    </row>
    <row r="316" spans="1:10" x14ac:dyDescent="0.25">
      <c r="A316" t="str">
        <f>IFERROR(IF(0=LEN(ReferenceData!$A$316),"",ReferenceData!$A$316),"")</f>
        <v xml:space="preserve">                    Orior AG</v>
      </c>
      <c r="B316" t="str">
        <f>IFERROR(IF(0=LEN(ReferenceData!$B$316),"",ReferenceData!$B$316),"")</f>
        <v>ORON SW Equity</v>
      </c>
      <c r="C316" t="str">
        <f>IFERROR(IF(0=LEN(ReferenceData!$C$316),"",ReferenceData!$C$316),"")</f>
        <v>F0946</v>
      </c>
      <c r="D316" t="str">
        <f>IFERROR(IF(0=LEN(ReferenceData!$D$316),"",ReferenceData!$D$316),"")</f>
        <v>TOTAL_GHG_CO2_EMISSIONS</v>
      </c>
      <c r="E316" t="str">
        <f>IFERROR(IF(0=LEN(ReferenceData!$E$316),"",ReferenceData!$E$316),"")</f>
        <v>Dynamic</v>
      </c>
      <c r="F316">
        <f ca="1">IFERROR(IF(0=LEN(ReferenceData!$F$316),"",ReferenceData!$F$316),"")</f>
        <v>1.0749E-2</v>
      </c>
      <c r="G316" t="str">
        <f ca="1">IFERROR(IF(0=LEN(ReferenceData!$G$316),"",ReferenceData!$G$316),"")</f>
        <v/>
      </c>
      <c r="H316" t="str">
        <f ca="1">IFERROR(IF(0=LEN(ReferenceData!$H$316),"",ReferenceData!$H$316),"")</f>
        <v/>
      </c>
      <c r="I316" t="str">
        <f ca="1">IFERROR(IF(0=LEN(ReferenceData!$I$316),"",ReferenceData!$I$316),"")</f>
        <v/>
      </c>
      <c r="J316" t="str">
        <f ca="1">IFERROR(IF(0=LEN(ReferenceData!$J$316),"",ReferenceData!$J$316),"")</f>
        <v/>
      </c>
    </row>
    <row r="317" spans="1:10" x14ac:dyDescent="0.25">
      <c r="A317" t="str">
        <f>IFERROR(IF(0=LEN(ReferenceData!$A$317),"",ReferenceData!$A$317),"")</f>
        <v xml:space="preserve">                    Post Holdings Inc</v>
      </c>
      <c r="B317" t="str">
        <f>IFERROR(IF(0=LEN(ReferenceData!$B$317),"",ReferenceData!$B$317),"")</f>
        <v>POST US Equity</v>
      </c>
      <c r="C317" t="str">
        <f>IFERROR(IF(0=LEN(ReferenceData!$C$317),"",ReferenceData!$C$317),"")</f>
        <v>F0946</v>
      </c>
      <c r="D317" t="str">
        <f>IFERROR(IF(0=LEN(ReferenceData!$D$317),"",ReferenceData!$D$317),"")</f>
        <v>TOTAL_GHG_CO2_EMISSIONS</v>
      </c>
      <c r="E317" t="str">
        <f>IFERROR(IF(0=LEN(ReferenceData!$E$317),"",ReferenceData!$E$317),"")</f>
        <v>Dynamic</v>
      </c>
      <c r="F317" t="str">
        <f ca="1">IFERROR(IF(0=LEN(ReferenceData!$F$317),"",ReferenceData!$F$317),"")</f>
        <v/>
      </c>
      <c r="G317">
        <f ca="1">IFERROR(IF(0=LEN(ReferenceData!$G$317),"",ReferenceData!$G$317),"")</f>
        <v>0.67236401400000001</v>
      </c>
      <c r="H317">
        <f ca="1">IFERROR(IF(0=LEN(ReferenceData!$H$317),"",ReferenceData!$H$317),"")</f>
        <v>0.72672698999999996</v>
      </c>
      <c r="I317" t="str">
        <f ca="1">IFERROR(IF(0=LEN(ReferenceData!$I$317),"",ReferenceData!$I$317),"")</f>
        <v/>
      </c>
      <c r="J317" t="str">
        <f ca="1">IFERROR(IF(0=LEN(ReferenceData!$J$317),"",ReferenceData!$J$317),"")</f>
        <v/>
      </c>
    </row>
    <row r="318" spans="1:10" x14ac:dyDescent="0.25">
      <c r="A318" t="str">
        <f>IFERROR(IF(0=LEN(ReferenceData!$A$318),"",ReferenceData!$A$318),"")</f>
        <v xml:space="preserve">                    Premier Foods PLC</v>
      </c>
      <c r="B318" t="str">
        <f>IFERROR(IF(0=LEN(ReferenceData!$B$318),"",ReferenceData!$B$318),"")</f>
        <v>PFD LN Equity</v>
      </c>
      <c r="C318" t="str">
        <f>IFERROR(IF(0=LEN(ReferenceData!$C$318),"",ReferenceData!$C$318),"")</f>
        <v>F0946</v>
      </c>
      <c r="D318" t="str">
        <f>IFERROR(IF(0=LEN(ReferenceData!$D$318),"",ReferenceData!$D$318),"")</f>
        <v>TOTAL_GHG_CO2_EMISSIONS</v>
      </c>
      <c r="E318" t="str">
        <f>IFERROR(IF(0=LEN(ReferenceData!$E$318),"",ReferenceData!$E$318),"")</f>
        <v>Dynamic</v>
      </c>
      <c r="F318">
        <f ca="1">IFERROR(IF(0=LEN(ReferenceData!$F$318),"",ReferenceData!$F$318),"")</f>
        <v>5.1749001000000003E-2</v>
      </c>
      <c r="G318">
        <f ca="1">IFERROR(IF(0=LEN(ReferenceData!$G$318),"",ReferenceData!$G$318),"")</f>
        <v>5.6188000000000002E-2</v>
      </c>
      <c r="H318">
        <f ca="1">IFERROR(IF(0=LEN(ReferenceData!$H$318),"",ReferenceData!$H$318),"")</f>
        <v>5.9092200999999997E-2</v>
      </c>
      <c r="I318">
        <f ca="1">IFERROR(IF(0=LEN(ReferenceData!$I$318),"",ReferenceData!$I$318),"")</f>
        <v>6.27384E-2</v>
      </c>
      <c r="J318">
        <f ca="1">IFERROR(IF(0=LEN(ReferenceData!$J$318),"",ReferenceData!$J$318),"")</f>
        <v>6.6099297000000001E-2</v>
      </c>
    </row>
    <row r="319" spans="1:10" x14ac:dyDescent="0.25">
      <c r="A319" t="str">
        <f>IFERROR(IF(0=LEN(ReferenceData!$A$319),"",ReferenceData!$A$319),"")</f>
        <v xml:space="preserve">                    Patanjali Foods Ltd</v>
      </c>
      <c r="B319" t="str">
        <f>IFERROR(IF(0=LEN(ReferenceData!$B$319),"",ReferenceData!$B$319),"")</f>
        <v>PATANJAL IN Equity</v>
      </c>
      <c r="C319" t="str">
        <f>IFERROR(IF(0=LEN(ReferenceData!$C$319),"",ReferenceData!$C$319),"")</f>
        <v>F0946</v>
      </c>
      <c r="D319" t="str">
        <f>IFERROR(IF(0=LEN(ReferenceData!$D$319),"",ReferenceData!$D$319),"")</f>
        <v>TOTAL_GHG_CO2_EMISSIONS</v>
      </c>
      <c r="E319" t="str">
        <f>IFERROR(IF(0=LEN(ReferenceData!$E$319),"",ReferenceData!$E$319),"")</f>
        <v>Dynamic</v>
      </c>
      <c r="F319" t="str">
        <f ca="1">IFERROR(IF(0=LEN(ReferenceData!$F$319),"",ReferenceData!$F$319),"")</f>
        <v/>
      </c>
      <c r="G319" t="str">
        <f ca="1">IFERROR(IF(0=LEN(ReferenceData!$G$319),"",ReferenceData!$G$319),"")</f>
        <v/>
      </c>
      <c r="H319" t="str">
        <f ca="1">IFERROR(IF(0=LEN(ReferenceData!$H$319),"",ReferenceData!$H$319),"")</f>
        <v/>
      </c>
      <c r="I319" t="str">
        <f ca="1">IFERROR(IF(0=LEN(ReferenceData!$I$319),"",ReferenceData!$I$319),"")</f>
        <v/>
      </c>
      <c r="J319" t="str">
        <f ca="1">IFERROR(IF(0=LEN(ReferenceData!$J$319),"",ReferenceData!$J$319),"")</f>
        <v/>
      </c>
    </row>
    <row r="320" spans="1:10" x14ac:dyDescent="0.25">
      <c r="A320" t="str">
        <f>IFERROR(IF(0=LEN(ReferenceData!$A$320),"",ReferenceData!$A$320),"")</f>
        <v xml:space="preserve">                    PepsiCo Inc</v>
      </c>
      <c r="B320" t="str">
        <f>IFERROR(IF(0=LEN(ReferenceData!$B$320),"",ReferenceData!$B$320),"")</f>
        <v>PEP US Equity</v>
      </c>
      <c r="C320" t="str">
        <f>IFERROR(IF(0=LEN(ReferenceData!$C$320),"",ReferenceData!$C$320),"")</f>
        <v>F0946</v>
      </c>
      <c r="D320" t="str">
        <f>IFERROR(IF(0=LEN(ReferenceData!$D$320),"",ReferenceData!$D$320),"")</f>
        <v>TOTAL_GHG_CO2_EMISSIONS</v>
      </c>
      <c r="E320" t="str">
        <f>IFERROR(IF(0=LEN(ReferenceData!$E$320),"",ReferenceData!$E$320),"")</f>
        <v>Dynamic</v>
      </c>
      <c r="F320" t="str">
        <f ca="1">IFERROR(IF(0=LEN(ReferenceData!$F$320),"",ReferenceData!$F$320),"")</f>
        <v/>
      </c>
      <c r="G320">
        <f ca="1">IFERROR(IF(0=LEN(ReferenceData!$G$320),"",ReferenceData!$G$320),"")</f>
        <v>5.4078300779999999</v>
      </c>
      <c r="H320">
        <f ca="1">IFERROR(IF(0=LEN(ReferenceData!$H$320),"",ReferenceData!$H$320),"")</f>
        <v>5.2723198240000002</v>
      </c>
      <c r="I320">
        <f ca="1">IFERROR(IF(0=LEN(ReferenceData!$I$320),"",ReferenceData!$I$320),"")</f>
        <v>5.108939941</v>
      </c>
      <c r="J320">
        <f ca="1">IFERROR(IF(0=LEN(ReferenceData!$J$320),"",ReferenceData!$J$320),"")</f>
        <v>5.2072402340000004</v>
      </c>
    </row>
    <row r="321" spans="1:10" x14ac:dyDescent="0.25">
      <c r="A321" t="str">
        <f>IFERROR(IF(0=LEN(ReferenceData!$A$321),"",ReferenceData!$A$321),"")</f>
        <v xml:space="preserve">                    Pilgrim's Pride Corp</v>
      </c>
      <c r="B321" t="str">
        <f>IFERROR(IF(0=LEN(ReferenceData!$B$321),"",ReferenceData!$B$321),"")</f>
        <v>PPC US Equity</v>
      </c>
      <c r="C321" t="str">
        <f>IFERROR(IF(0=LEN(ReferenceData!$C$321),"",ReferenceData!$C$321),"")</f>
        <v>F0946</v>
      </c>
      <c r="D321" t="str">
        <f>IFERROR(IF(0=LEN(ReferenceData!$D$321),"",ReferenceData!$D$321),"")</f>
        <v>TOTAL_GHG_CO2_EMISSIONS</v>
      </c>
      <c r="E321" t="str">
        <f>IFERROR(IF(0=LEN(ReferenceData!$E$321),"",ReferenceData!$E$321),"")</f>
        <v>Dynamic</v>
      </c>
      <c r="F321" t="str">
        <f ca="1">IFERROR(IF(0=LEN(ReferenceData!$F$321),"",ReferenceData!$F$321),"")</f>
        <v/>
      </c>
      <c r="G321">
        <f ca="1">IFERROR(IF(0=LEN(ReferenceData!$G$321),"",ReferenceData!$G$321),"")</f>
        <v>1.4667099610000001</v>
      </c>
      <c r="H321">
        <f ca="1">IFERROR(IF(0=LEN(ReferenceData!$H$321),"",ReferenceData!$H$321),"")</f>
        <v>1.38097998</v>
      </c>
      <c r="I321">
        <f ca="1">IFERROR(IF(0=LEN(ReferenceData!$I$321),"",ReferenceData!$I$321),"")</f>
        <v>1.322910034</v>
      </c>
      <c r="J321">
        <f ca="1">IFERROR(IF(0=LEN(ReferenceData!$J$321),"",ReferenceData!$J$321),"")</f>
        <v>1.1533399660000001</v>
      </c>
    </row>
    <row r="322" spans="1:10" x14ac:dyDescent="0.25">
      <c r="A322" t="str">
        <f>IFERROR(IF(0=LEN(ReferenceData!$A$322),"",ReferenceData!$A$322),"")</f>
        <v xml:space="preserve">                    Chacha Food Co Ltd</v>
      </c>
      <c r="B322" t="str">
        <f>IFERROR(IF(0=LEN(ReferenceData!$B$322),"",ReferenceData!$B$322),"")</f>
        <v>002557 CH Equity</v>
      </c>
      <c r="C322" t="str">
        <f>IFERROR(IF(0=LEN(ReferenceData!$C$322),"",ReferenceData!$C$322),"")</f>
        <v>F0946</v>
      </c>
      <c r="D322" t="str">
        <f>IFERROR(IF(0=LEN(ReferenceData!$D$322),"",ReferenceData!$D$322),"")</f>
        <v>TOTAL_GHG_CO2_EMISSIONS</v>
      </c>
      <c r="E322" t="str">
        <f>IFERROR(IF(0=LEN(ReferenceData!$E$322),"",ReferenceData!$E$322),"")</f>
        <v>Dynamic</v>
      </c>
      <c r="F322" t="str">
        <f ca="1">IFERROR(IF(0=LEN(ReferenceData!$F$322),"",ReferenceData!$F$322),"")</f>
        <v/>
      </c>
      <c r="G322" t="str">
        <f ca="1">IFERROR(IF(0=LEN(ReferenceData!$G$322),"",ReferenceData!$G$322),"")</f>
        <v/>
      </c>
      <c r="H322" t="str">
        <f ca="1">IFERROR(IF(0=LEN(ReferenceData!$H$322),"",ReferenceData!$H$322),"")</f>
        <v/>
      </c>
      <c r="I322" t="str">
        <f ca="1">IFERROR(IF(0=LEN(ReferenceData!$I$322),"",ReferenceData!$I$322),"")</f>
        <v/>
      </c>
      <c r="J322" t="str">
        <f ca="1">IFERROR(IF(0=LEN(ReferenceData!$J$322),"",ReferenceData!$J$322),"")</f>
        <v/>
      </c>
    </row>
    <row r="323" spans="1:10" x14ac:dyDescent="0.25">
      <c r="A323" t="str">
        <f>IFERROR(IF(0=LEN(ReferenceData!$A$323),"",ReferenceData!$A$323),"")</f>
        <v xml:space="preserve">                    Remgro Ltd</v>
      </c>
      <c r="B323" t="str">
        <f>IFERROR(IF(0=LEN(ReferenceData!$B$323),"",ReferenceData!$B$323),"")</f>
        <v>REM SJ Equity</v>
      </c>
      <c r="C323" t="str">
        <f>IFERROR(IF(0=LEN(ReferenceData!$C$323),"",ReferenceData!$C$323),"")</f>
        <v>F0946</v>
      </c>
      <c r="D323" t="str">
        <f>IFERROR(IF(0=LEN(ReferenceData!$D$323),"",ReferenceData!$D$323),"")</f>
        <v>TOTAL_GHG_CO2_EMISSIONS</v>
      </c>
      <c r="E323" t="str">
        <f>IFERROR(IF(0=LEN(ReferenceData!$E$323),"",ReferenceData!$E$323),"")</f>
        <v>Dynamic</v>
      </c>
      <c r="F323" t="str">
        <f ca="1">IFERROR(IF(0=LEN(ReferenceData!$F$323),"",ReferenceData!$F$323),"")</f>
        <v/>
      </c>
      <c r="G323">
        <f ca="1">IFERROR(IF(0=LEN(ReferenceData!$G$323),"",ReferenceData!$G$323),"")</f>
        <v>1.074410034</v>
      </c>
      <c r="H323">
        <f ca="1">IFERROR(IF(0=LEN(ReferenceData!$H$323),"",ReferenceData!$H$323),"")</f>
        <v>0.84692401100000003</v>
      </c>
      <c r="I323">
        <f ca="1">IFERROR(IF(0=LEN(ReferenceData!$I$323),"",ReferenceData!$I$323),"")</f>
        <v>0.83462701399999994</v>
      </c>
      <c r="J323">
        <f ca="1">IFERROR(IF(0=LEN(ReferenceData!$J$323),"",ReferenceData!$J$323),"")</f>
        <v>1.157359985</v>
      </c>
    </row>
    <row r="324" spans="1:10" x14ac:dyDescent="0.25">
      <c r="A324" t="str">
        <f>IFERROR(IF(0=LEN(ReferenceData!$A$324),"",ReferenceData!$A$324),"")</f>
        <v xml:space="preserve">                    Sanquan Food Co Ltd</v>
      </c>
      <c r="B324" t="str">
        <f>IFERROR(IF(0=LEN(ReferenceData!$B$324),"",ReferenceData!$B$324),"")</f>
        <v>002216 CH Equity</v>
      </c>
      <c r="C324" t="str">
        <f>IFERROR(IF(0=LEN(ReferenceData!$C$324),"",ReferenceData!$C$324),"")</f>
        <v>F0946</v>
      </c>
      <c r="D324" t="str">
        <f>IFERROR(IF(0=LEN(ReferenceData!$D$324),"",ReferenceData!$D$324),"")</f>
        <v>TOTAL_GHG_CO2_EMISSIONS</v>
      </c>
      <c r="E324" t="str">
        <f>IFERROR(IF(0=LEN(ReferenceData!$E$324),"",ReferenceData!$E$324),"")</f>
        <v>Dynamic</v>
      </c>
      <c r="F324" t="str">
        <f ca="1">IFERROR(IF(0=LEN(ReferenceData!$F$324),"",ReferenceData!$F$324),"")</f>
        <v/>
      </c>
      <c r="G324" t="str">
        <f ca="1">IFERROR(IF(0=LEN(ReferenceData!$G$324),"",ReferenceData!$G$324),"")</f>
        <v/>
      </c>
      <c r="H324" t="str">
        <f ca="1">IFERROR(IF(0=LEN(ReferenceData!$H$324),"",ReferenceData!$H$324),"")</f>
        <v/>
      </c>
      <c r="I324" t="str">
        <f ca="1">IFERROR(IF(0=LEN(ReferenceData!$I$324),"",ReferenceData!$I$324),"")</f>
        <v/>
      </c>
      <c r="J324" t="str">
        <f ca="1">IFERROR(IF(0=LEN(ReferenceData!$J$324),"",ReferenceData!$J$324),"")</f>
        <v/>
      </c>
    </row>
    <row r="325" spans="1:10" x14ac:dyDescent="0.25">
      <c r="A325" t="str">
        <f>IFERROR(IF(0=LEN(ReferenceData!$A$325),"",ReferenceData!$A$325),"")</f>
        <v xml:space="preserve">                    Saputo Inc</v>
      </c>
      <c r="B325" t="str">
        <f>IFERROR(IF(0=LEN(ReferenceData!$B$325),"",ReferenceData!$B$325),"")</f>
        <v>SAP CN Equity</v>
      </c>
      <c r="C325" t="str">
        <f>IFERROR(IF(0=LEN(ReferenceData!$C$325),"",ReferenceData!$C$325),"")</f>
        <v>F0946</v>
      </c>
      <c r="D325" t="str">
        <f>IFERROR(IF(0=LEN(ReferenceData!$D$325),"",ReferenceData!$D$325),"")</f>
        <v>TOTAL_GHG_CO2_EMISSIONS</v>
      </c>
      <c r="E325" t="str">
        <f>IFERROR(IF(0=LEN(ReferenceData!$E$325),"",ReferenceData!$E$325),"")</f>
        <v>Dynamic</v>
      </c>
      <c r="F325" t="str">
        <f ca="1">IFERROR(IF(0=LEN(ReferenceData!$F$325),"",ReferenceData!$F$325),"")</f>
        <v/>
      </c>
      <c r="G325">
        <f ca="1">IFERROR(IF(0=LEN(ReferenceData!$G$325),"",ReferenceData!$G$325),"")</f>
        <v>1.0114400020000001</v>
      </c>
      <c r="H325">
        <f ca="1">IFERROR(IF(0=LEN(ReferenceData!$H$325),"",ReferenceData!$H$325),"")</f>
        <v>1.006969971</v>
      </c>
      <c r="I325">
        <f ca="1">IFERROR(IF(0=LEN(ReferenceData!$I$325),"",ReferenceData!$I$325),"")</f>
        <v>1.066030029</v>
      </c>
      <c r="J325">
        <f ca="1">IFERROR(IF(0=LEN(ReferenceData!$J$325),"",ReferenceData!$J$325),"")</f>
        <v>1.0002000120000001</v>
      </c>
    </row>
    <row r="326" spans="1:10" x14ac:dyDescent="0.25">
      <c r="A326" t="str">
        <f>IFERROR(IF(0=LEN(ReferenceData!$A$326),"",ReferenceData!$A$326),"")</f>
        <v xml:space="preserve">                    Savencia SA</v>
      </c>
      <c r="B326" t="str">
        <f>IFERROR(IF(0=LEN(ReferenceData!$B$326),"",ReferenceData!$B$326),"")</f>
        <v>SAVE FP Equity</v>
      </c>
      <c r="C326" t="str">
        <f>IFERROR(IF(0=LEN(ReferenceData!$C$326),"",ReferenceData!$C$326),"")</f>
        <v>F0946</v>
      </c>
      <c r="D326" t="str">
        <f>IFERROR(IF(0=LEN(ReferenceData!$D$326),"",ReferenceData!$D$326),"")</f>
        <v>TOTAL_GHG_CO2_EMISSIONS</v>
      </c>
      <c r="E326" t="str">
        <f>IFERROR(IF(0=LEN(ReferenceData!$E$326),"",ReferenceData!$E$326),"")</f>
        <v>Dynamic</v>
      </c>
      <c r="F326" t="str">
        <f ca="1">IFERROR(IF(0=LEN(ReferenceData!$F$326),"",ReferenceData!$F$326),"")</f>
        <v/>
      </c>
      <c r="G326" t="str">
        <f ca="1">IFERROR(IF(0=LEN(ReferenceData!$G$326),"",ReferenceData!$G$326),"")</f>
        <v/>
      </c>
      <c r="H326" t="str">
        <f ca="1">IFERROR(IF(0=LEN(ReferenceData!$H$326),"",ReferenceData!$H$326),"")</f>
        <v/>
      </c>
      <c r="I326" t="str">
        <f ca="1">IFERROR(IF(0=LEN(ReferenceData!$I$326),"",ReferenceData!$I$326),"")</f>
        <v/>
      </c>
      <c r="J326" t="str">
        <f ca="1">IFERROR(IF(0=LEN(ReferenceData!$J$326),"",ReferenceData!$J$326),"")</f>
        <v/>
      </c>
    </row>
    <row r="327" spans="1:10" x14ac:dyDescent="0.25">
      <c r="A327" t="str">
        <f>IFERROR(IF(0=LEN(ReferenceData!$A$327),"",ReferenceData!$A$327),"")</f>
        <v xml:space="preserve">                    Shandong Minhe Animal Husbandr</v>
      </c>
      <c r="B327" t="str">
        <f>IFERROR(IF(0=LEN(ReferenceData!$B$327),"",ReferenceData!$B$327),"")</f>
        <v>002234 CH Equity</v>
      </c>
      <c r="C327" t="str">
        <f>IFERROR(IF(0=LEN(ReferenceData!$C$327),"",ReferenceData!$C$327),"")</f>
        <v>F0946</v>
      </c>
      <c r="D327" t="str">
        <f>IFERROR(IF(0=LEN(ReferenceData!$D$327),"",ReferenceData!$D$327),"")</f>
        <v>TOTAL_GHG_CO2_EMISSIONS</v>
      </c>
      <c r="E327" t="str">
        <f>IFERROR(IF(0=LEN(ReferenceData!$E$327),"",ReferenceData!$E$327),"")</f>
        <v>Dynamic</v>
      </c>
      <c r="F327" t="str">
        <f ca="1">IFERROR(IF(0=LEN(ReferenceData!$F$327),"",ReferenceData!$F$327),"")</f>
        <v/>
      </c>
      <c r="G327" t="str">
        <f ca="1">IFERROR(IF(0=LEN(ReferenceData!$G$327),"",ReferenceData!$G$327),"")</f>
        <v/>
      </c>
      <c r="H327" t="str">
        <f ca="1">IFERROR(IF(0=LEN(ReferenceData!$H$327),"",ReferenceData!$H$327),"")</f>
        <v/>
      </c>
      <c r="I327" t="str">
        <f ca="1">IFERROR(IF(0=LEN(ReferenceData!$I$327),"",ReferenceData!$I$327),"")</f>
        <v/>
      </c>
      <c r="J327" t="str">
        <f ca="1">IFERROR(IF(0=LEN(ReferenceData!$J$327),"",ReferenceData!$J$327),"")</f>
        <v/>
      </c>
    </row>
    <row r="328" spans="1:10" x14ac:dyDescent="0.25">
      <c r="A328" t="str">
        <f>IFERROR(IF(0=LEN(ReferenceData!$A$328),"",ReferenceData!$A$328),"")</f>
        <v xml:space="preserve">                    Suedzucker AG</v>
      </c>
      <c r="B328" t="str">
        <f>IFERROR(IF(0=LEN(ReferenceData!$B$328),"",ReferenceData!$B$328),"")</f>
        <v>SZU GR Equity</v>
      </c>
      <c r="C328" t="str">
        <f>IFERROR(IF(0=LEN(ReferenceData!$C$328),"",ReferenceData!$C$328),"")</f>
        <v>F0946</v>
      </c>
      <c r="D328" t="str">
        <f>IFERROR(IF(0=LEN(ReferenceData!$D$328),"",ReferenceData!$D$328),"")</f>
        <v>TOTAL_GHG_CO2_EMISSIONS</v>
      </c>
      <c r="E328" t="str">
        <f>IFERROR(IF(0=LEN(ReferenceData!$E$328),"",ReferenceData!$E$328),"")</f>
        <v>Dynamic</v>
      </c>
      <c r="F328">
        <f ca="1">IFERROR(IF(0=LEN(ReferenceData!$F$328),"",ReferenceData!$F$328),"")</f>
        <v>3</v>
      </c>
      <c r="G328">
        <f ca="1">IFERROR(IF(0=LEN(ReferenceData!$G$328),"",ReferenceData!$G$328),"")</f>
        <v>2.9</v>
      </c>
      <c r="H328">
        <f ca="1">IFERROR(IF(0=LEN(ReferenceData!$H$328),"",ReferenceData!$H$328),"")</f>
        <v>3.1</v>
      </c>
      <c r="I328" t="str">
        <f ca="1">IFERROR(IF(0=LEN(ReferenceData!$I$328),"",ReferenceData!$I$328),"")</f>
        <v/>
      </c>
      <c r="J328" t="str">
        <f ca="1">IFERROR(IF(0=LEN(ReferenceData!$J$328),"",ReferenceData!$J$328),"")</f>
        <v/>
      </c>
    </row>
    <row r="329" spans="1:10" x14ac:dyDescent="0.25">
      <c r="A329" t="str">
        <f>IFERROR(IF(0=LEN(ReferenceData!$A$329),"",ReferenceData!$A$329),"")</f>
        <v xml:space="preserve">                    Thai Union Group PCL</v>
      </c>
      <c r="B329" t="str">
        <f>IFERROR(IF(0=LEN(ReferenceData!$B$329),"",ReferenceData!$B$329),"")</f>
        <v>TU TB Equity</v>
      </c>
      <c r="C329" t="str">
        <f>IFERROR(IF(0=LEN(ReferenceData!$C$329),"",ReferenceData!$C$329),"")</f>
        <v>F0946</v>
      </c>
      <c r="D329" t="str">
        <f>IFERROR(IF(0=LEN(ReferenceData!$D$329),"",ReferenceData!$D$329),"")</f>
        <v>TOTAL_GHG_CO2_EMISSIONS</v>
      </c>
      <c r="E329" t="str">
        <f>IFERROR(IF(0=LEN(ReferenceData!$E$329),"",ReferenceData!$E$329),"")</f>
        <v>Dynamic</v>
      </c>
      <c r="F329" t="str">
        <f ca="1">IFERROR(IF(0=LEN(ReferenceData!$F$329),"",ReferenceData!$F$329),"")</f>
        <v/>
      </c>
      <c r="G329">
        <f ca="1">IFERROR(IF(0=LEN(ReferenceData!$G$329),"",ReferenceData!$G$329),"")</f>
        <v>0.51161099200000004</v>
      </c>
      <c r="H329">
        <f ca="1">IFERROR(IF(0=LEN(ReferenceData!$H$329),"",ReferenceData!$H$329),"")</f>
        <v>0.49447601299999999</v>
      </c>
      <c r="I329">
        <f ca="1">IFERROR(IF(0=LEN(ReferenceData!$I$329),"",ReferenceData!$I$329),"")</f>
        <v>0.51063800000000004</v>
      </c>
      <c r="J329">
        <f ca="1">IFERROR(IF(0=LEN(ReferenceData!$J$329),"",ReferenceData!$J$329),"")</f>
        <v>0.53963000500000002</v>
      </c>
    </row>
    <row r="330" spans="1:10" x14ac:dyDescent="0.25">
      <c r="A330" t="str">
        <f>IFERROR(IF(0=LEN(ReferenceData!$A$330),"",ReferenceData!$A$330),"")</f>
        <v xml:space="preserve">                    Tiger Brands Ltd</v>
      </c>
      <c r="B330" t="str">
        <f>IFERROR(IF(0=LEN(ReferenceData!$B$330),"",ReferenceData!$B$330),"")</f>
        <v>TBS SJ Equity</v>
      </c>
      <c r="C330" t="str">
        <f>IFERROR(IF(0=LEN(ReferenceData!$C$330),"",ReferenceData!$C$330),"")</f>
        <v>F0946</v>
      </c>
      <c r="D330" t="str">
        <f>IFERROR(IF(0=LEN(ReferenceData!$D$330),"",ReferenceData!$D$330),"")</f>
        <v>TOTAL_GHG_CO2_EMISSIONS</v>
      </c>
      <c r="E330" t="str">
        <f>IFERROR(IF(0=LEN(ReferenceData!$E$330),"",ReferenceData!$E$330),"")</f>
        <v>Dynamic</v>
      </c>
      <c r="F330">
        <f ca="1">IFERROR(IF(0=LEN(ReferenceData!$F$330),"",ReferenceData!$F$330),"")</f>
        <v>0.41726001000000001</v>
      </c>
      <c r="G330">
        <f ca="1">IFERROR(IF(0=LEN(ReferenceData!$G$330),"",ReferenceData!$G$330),"")</f>
        <v>0.44118200699999999</v>
      </c>
      <c r="H330">
        <f ca="1">IFERROR(IF(0=LEN(ReferenceData!$H$330),"",ReferenceData!$H$330),"")</f>
        <v>0.63077600099999998</v>
      </c>
      <c r="I330" t="str">
        <f ca="1">IFERROR(IF(0=LEN(ReferenceData!$I$330),"",ReferenceData!$I$330),"")</f>
        <v/>
      </c>
      <c r="J330">
        <f ca="1">IFERROR(IF(0=LEN(ReferenceData!$J$330),"",ReferenceData!$J$330),"")</f>
        <v>0.52245397999999998</v>
      </c>
    </row>
    <row r="331" spans="1:10" x14ac:dyDescent="0.25">
      <c r="A331" t="str">
        <f>IFERROR(IF(0=LEN(ReferenceData!$A$331),"",ReferenceData!$A$331),"")</f>
        <v xml:space="preserve">                    TreeHouse Foods Inc</v>
      </c>
      <c r="B331" t="str">
        <f>IFERROR(IF(0=LEN(ReferenceData!$B$331),"",ReferenceData!$B$331),"")</f>
        <v>THS US Equity</v>
      </c>
      <c r="C331" t="str">
        <f>IFERROR(IF(0=LEN(ReferenceData!$C$331),"",ReferenceData!$C$331),"")</f>
        <v>F0946</v>
      </c>
      <c r="D331" t="str">
        <f>IFERROR(IF(0=LEN(ReferenceData!$D$331),"",ReferenceData!$D$331),"")</f>
        <v>TOTAL_GHG_CO2_EMISSIONS</v>
      </c>
      <c r="E331" t="str">
        <f>IFERROR(IF(0=LEN(ReferenceData!$E$331),"",ReferenceData!$E$331),"")</f>
        <v>Dynamic</v>
      </c>
      <c r="F331" t="str">
        <f ca="1">IFERROR(IF(0=LEN(ReferenceData!$F$331),"",ReferenceData!$F$331),"")</f>
        <v/>
      </c>
      <c r="G331">
        <f ca="1">IFERROR(IF(0=LEN(ReferenceData!$G$331),"",ReferenceData!$G$331),"")</f>
        <v>0.36013299599999998</v>
      </c>
      <c r="H331">
        <f ca="1">IFERROR(IF(0=LEN(ReferenceData!$H$331),"",ReferenceData!$H$331),"")</f>
        <v>0.38195199600000002</v>
      </c>
      <c r="I331">
        <f ca="1">IFERROR(IF(0=LEN(ReferenceData!$I$331),"",ReferenceData!$I$331),"")</f>
        <v>0.40904800400000002</v>
      </c>
      <c r="J331">
        <f ca="1">IFERROR(IF(0=LEN(ReferenceData!$J$331),"",ReferenceData!$J$331),"")</f>
        <v>0.45090100100000002</v>
      </c>
    </row>
    <row r="332" spans="1:10" x14ac:dyDescent="0.25">
      <c r="A332" t="str">
        <f>IFERROR(IF(0=LEN(ReferenceData!$A$332),"",ReferenceData!$A$332),"")</f>
        <v xml:space="preserve">                    Tootsie Roll Industries Inc</v>
      </c>
      <c r="B332" t="str">
        <f>IFERROR(IF(0=LEN(ReferenceData!$B$332),"",ReferenceData!$B$332),"")</f>
        <v>TR US Equity</v>
      </c>
      <c r="C332" t="str">
        <f>IFERROR(IF(0=LEN(ReferenceData!$C$332),"",ReferenceData!$C$332),"")</f>
        <v>F0946</v>
      </c>
      <c r="D332" t="str">
        <f>IFERROR(IF(0=LEN(ReferenceData!$D$332),"",ReferenceData!$D$332),"")</f>
        <v>TOTAL_GHG_CO2_EMISSIONS</v>
      </c>
      <c r="E332" t="str">
        <f>IFERROR(IF(0=LEN(ReferenceData!$E$332),"",ReferenceData!$E$332),"")</f>
        <v>Dynamic</v>
      </c>
      <c r="F332" t="str">
        <f ca="1">IFERROR(IF(0=LEN(ReferenceData!$F$332),"",ReferenceData!$F$332),"")</f>
        <v/>
      </c>
      <c r="G332" t="str">
        <f ca="1">IFERROR(IF(0=LEN(ReferenceData!$G$332),"",ReferenceData!$G$332),"")</f>
        <v/>
      </c>
      <c r="H332" t="str">
        <f ca="1">IFERROR(IF(0=LEN(ReferenceData!$H$332),"",ReferenceData!$H$332),"")</f>
        <v/>
      </c>
      <c r="I332" t="str">
        <f ca="1">IFERROR(IF(0=LEN(ReferenceData!$I$332),"",ReferenceData!$I$332),"")</f>
        <v/>
      </c>
      <c r="J332" t="str">
        <f ca="1">IFERROR(IF(0=LEN(ReferenceData!$J$332),"",ReferenceData!$J$332),"")</f>
        <v/>
      </c>
    </row>
    <row r="333" spans="1:10" x14ac:dyDescent="0.25">
      <c r="A333" t="str">
        <f>IFERROR(IF(0=LEN(ReferenceData!$A$333),"",ReferenceData!$A$333),"")</f>
        <v xml:space="preserve">                    Toyo Suisan Kaisha Ltd</v>
      </c>
      <c r="B333" t="str">
        <f>IFERROR(IF(0=LEN(ReferenceData!$B$333),"",ReferenceData!$B$333),"")</f>
        <v>2875 JP Equity</v>
      </c>
      <c r="C333" t="str">
        <f>IFERROR(IF(0=LEN(ReferenceData!$C$333),"",ReferenceData!$C$333),"")</f>
        <v>F0946</v>
      </c>
      <c r="D333" t="str">
        <f>IFERROR(IF(0=LEN(ReferenceData!$D$333),"",ReferenceData!$D$333),"")</f>
        <v>TOTAL_GHG_CO2_EMISSIONS</v>
      </c>
      <c r="E333" t="str">
        <f>IFERROR(IF(0=LEN(ReferenceData!$E$333),"",ReferenceData!$E$333),"")</f>
        <v>Dynamic</v>
      </c>
      <c r="F333" t="str">
        <f ca="1">IFERROR(IF(0=LEN(ReferenceData!$F$333),"",ReferenceData!$F$333),"")</f>
        <v/>
      </c>
      <c r="G333">
        <f ca="1">IFERROR(IF(0=LEN(ReferenceData!$G$333),"",ReferenceData!$G$333),"")</f>
        <v>0.313</v>
      </c>
      <c r="H333">
        <f ca="1">IFERROR(IF(0=LEN(ReferenceData!$H$333),"",ReferenceData!$H$333),"")</f>
        <v>0.28725000000000001</v>
      </c>
      <c r="I333">
        <f ca="1">IFERROR(IF(0=LEN(ReferenceData!$I$333),"",ReferenceData!$I$333),"")</f>
        <v>0.31900000000000001</v>
      </c>
      <c r="J333">
        <f ca="1">IFERROR(IF(0=LEN(ReferenceData!$J$333),"",ReferenceData!$J$333),"")</f>
        <v>0.32100000000000001</v>
      </c>
    </row>
    <row r="334" spans="1:10" x14ac:dyDescent="0.25">
      <c r="A334" t="str">
        <f>IFERROR(IF(0=LEN(ReferenceData!$A$334),"",ReferenceData!$A$334),"")</f>
        <v xml:space="preserve">                    Tyson Foods Inc</v>
      </c>
      <c r="B334" t="str">
        <f>IFERROR(IF(0=LEN(ReferenceData!$B$334),"",ReferenceData!$B$334),"")</f>
        <v>TSN US Equity</v>
      </c>
      <c r="C334" t="str">
        <f>IFERROR(IF(0=LEN(ReferenceData!$C$334),"",ReferenceData!$C$334),"")</f>
        <v>F0946</v>
      </c>
      <c r="D334" t="str">
        <f>IFERROR(IF(0=LEN(ReferenceData!$D$334),"",ReferenceData!$D$334),"")</f>
        <v>TOTAL_GHG_CO2_EMISSIONS</v>
      </c>
      <c r="E334" t="str">
        <f>IFERROR(IF(0=LEN(ReferenceData!$E$334),"",ReferenceData!$E$334),"")</f>
        <v>Dynamic</v>
      </c>
      <c r="F334" t="str">
        <f ca="1">IFERROR(IF(0=LEN(ReferenceData!$F$334),"",ReferenceData!$F$334),"")</f>
        <v/>
      </c>
      <c r="G334">
        <f ca="1">IFERROR(IF(0=LEN(ReferenceData!$G$334),"",ReferenceData!$G$334),"")</f>
        <v>5.7825698240000003</v>
      </c>
      <c r="H334">
        <f ca="1">IFERROR(IF(0=LEN(ReferenceData!$H$334),"",ReferenceData!$H$334),"")</f>
        <v>6.1747402339999997</v>
      </c>
      <c r="I334">
        <f ca="1">IFERROR(IF(0=LEN(ReferenceData!$I$334),"",ReferenceData!$I$334),"")</f>
        <v>5.7371401369999999</v>
      </c>
      <c r="J334">
        <f ca="1">IFERROR(IF(0=LEN(ReferenceData!$J$334),"",ReferenceData!$J$334),"")</f>
        <v>6.2235800780000003</v>
      </c>
    </row>
    <row r="335" spans="1:10" x14ac:dyDescent="0.25">
      <c r="A335" t="str">
        <f>IFERROR(IF(0=LEN(ReferenceData!$A$335),"",ReferenceData!$A$335),"")</f>
        <v xml:space="preserve">                    Ulker Biskuvi Sanayi AS</v>
      </c>
      <c r="B335" t="str">
        <f>IFERROR(IF(0=LEN(ReferenceData!$B$335),"",ReferenceData!$B$335),"")</f>
        <v>ULKER TI Equity</v>
      </c>
      <c r="C335" t="str">
        <f>IFERROR(IF(0=LEN(ReferenceData!$C$335),"",ReferenceData!$C$335),"")</f>
        <v>F0946</v>
      </c>
      <c r="D335" t="str">
        <f>IFERROR(IF(0=LEN(ReferenceData!$D$335),"",ReferenceData!$D$335),"")</f>
        <v>TOTAL_GHG_CO2_EMISSIONS</v>
      </c>
      <c r="E335" t="str">
        <f>IFERROR(IF(0=LEN(ReferenceData!$E$335),"",ReferenceData!$E$335),"")</f>
        <v>Dynamic</v>
      </c>
      <c r="F335" t="str">
        <f ca="1">IFERROR(IF(0=LEN(ReferenceData!$F$335),"",ReferenceData!$F$335),"")</f>
        <v/>
      </c>
      <c r="G335">
        <f ca="1">IFERROR(IF(0=LEN(ReferenceData!$G$335),"",ReferenceData!$G$335),"")</f>
        <v>0.15207499699999999</v>
      </c>
      <c r="H335">
        <f ca="1">IFERROR(IF(0=LEN(ReferenceData!$H$335),"",ReferenceData!$H$335),"")</f>
        <v>0.17624899299999999</v>
      </c>
      <c r="I335">
        <f ca="1">IFERROR(IF(0=LEN(ReferenceData!$I$335),"",ReferenceData!$I$335),"")</f>
        <v>0.143235001</v>
      </c>
      <c r="J335">
        <f ca="1">IFERROR(IF(0=LEN(ReferenceData!$J$335),"",ReferenceData!$J$335),"")</f>
        <v>0.14227799999999999</v>
      </c>
    </row>
    <row r="336" spans="1:10" x14ac:dyDescent="0.25">
      <c r="A336" t="str">
        <f>IFERROR(IF(0=LEN(ReferenceData!$A$336),"",ReferenceData!$A$336),"")</f>
        <v xml:space="preserve">                    Vietnam Dairy Products JSC</v>
      </c>
      <c r="B336" t="str">
        <f>IFERROR(IF(0=LEN(ReferenceData!$B$336),"",ReferenceData!$B$336),"")</f>
        <v>VNM VN Equity</v>
      </c>
      <c r="C336" t="str">
        <f>IFERROR(IF(0=LEN(ReferenceData!$C$336),"",ReferenceData!$C$336),"")</f>
        <v>F0946</v>
      </c>
      <c r="D336" t="str">
        <f>IFERROR(IF(0=LEN(ReferenceData!$D$336),"",ReferenceData!$D$336),"")</f>
        <v>TOTAL_GHG_CO2_EMISSIONS</v>
      </c>
      <c r="E336" t="str">
        <f>IFERROR(IF(0=LEN(ReferenceData!$E$336),"",ReferenceData!$E$336),"")</f>
        <v>Dynamic</v>
      </c>
      <c r="F336">
        <f ca="1">IFERROR(IF(0=LEN(ReferenceData!$F$336),"",ReferenceData!$F$336),"")</f>
        <v>0.266161011</v>
      </c>
      <c r="G336">
        <f ca="1">IFERROR(IF(0=LEN(ReferenceData!$G$336),"",ReferenceData!$G$336),"")</f>
        <v>0.26502999900000002</v>
      </c>
      <c r="H336">
        <f ca="1">IFERROR(IF(0=LEN(ReferenceData!$H$336),"",ReferenceData!$H$336),"")</f>
        <v>0.22462100199999999</v>
      </c>
      <c r="I336">
        <f ca="1">IFERROR(IF(0=LEN(ReferenceData!$I$336),"",ReferenceData!$I$336),"")</f>
        <v>0.206481003</v>
      </c>
      <c r="J336">
        <f ca="1">IFERROR(IF(0=LEN(ReferenceData!$J$336),"",ReferenceData!$J$336),"")</f>
        <v>0.192332001</v>
      </c>
    </row>
    <row r="337" spans="1:10" x14ac:dyDescent="0.25">
      <c r="A337" t="str">
        <f>IFERROR(IF(0=LEN(ReferenceData!$A$337),"",ReferenceData!$A$337),"")</f>
        <v xml:space="preserve">                    WH Group Ltd</v>
      </c>
      <c r="B337" t="str">
        <f>IFERROR(IF(0=LEN(ReferenceData!$B$337),"",ReferenceData!$B$337),"")</f>
        <v>288 HK Equity</v>
      </c>
      <c r="C337" t="str">
        <f>IFERROR(IF(0=LEN(ReferenceData!$C$337),"",ReferenceData!$C$337),"")</f>
        <v>F0946</v>
      </c>
      <c r="D337" t="str">
        <f>IFERROR(IF(0=LEN(ReferenceData!$D$337),"",ReferenceData!$D$337),"")</f>
        <v>TOTAL_GHG_CO2_EMISSIONS</v>
      </c>
      <c r="E337" t="str">
        <f>IFERROR(IF(0=LEN(ReferenceData!$E$337),"",ReferenceData!$E$337),"")</f>
        <v>Dynamic</v>
      </c>
      <c r="F337">
        <f ca="1">IFERROR(IF(0=LEN(ReferenceData!$F$337),"",ReferenceData!$F$337),"")</f>
        <v>5.5442597659999997</v>
      </c>
      <c r="G337">
        <f ca="1">IFERROR(IF(0=LEN(ReferenceData!$G$337),"",ReferenceData!$G$337),"")</f>
        <v>2.5835600589999999</v>
      </c>
      <c r="H337">
        <f ca="1">IFERROR(IF(0=LEN(ReferenceData!$H$337),"",ReferenceData!$H$337),"")</f>
        <v>2.5625800779999999</v>
      </c>
      <c r="I337">
        <f ca="1">IFERROR(IF(0=LEN(ReferenceData!$I$337),"",ReferenceData!$I$337),"")</f>
        <v>2.6163200679999998</v>
      </c>
      <c r="J337">
        <f ca="1">IFERROR(IF(0=LEN(ReferenceData!$J$337),"",ReferenceData!$J$337),"")</f>
        <v>2.6326101070000001</v>
      </c>
    </row>
    <row r="338" spans="1:10" x14ac:dyDescent="0.25">
      <c r="A338" t="str">
        <f>IFERROR(IF(0=LEN(ReferenceData!$A$338),"",ReferenceData!$A$338),"")</f>
        <v xml:space="preserve">                    Want Want China Holdings Ltd</v>
      </c>
      <c r="B338" t="str">
        <f>IFERROR(IF(0=LEN(ReferenceData!$B$338),"",ReferenceData!$B$338),"")</f>
        <v>151 HK Equity</v>
      </c>
      <c r="C338" t="str">
        <f>IFERROR(IF(0=LEN(ReferenceData!$C$338),"",ReferenceData!$C$338),"")</f>
        <v>F0946</v>
      </c>
      <c r="D338" t="str">
        <f>IFERROR(IF(0=LEN(ReferenceData!$D$338),"",ReferenceData!$D$338),"")</f>
        <v>TOTAL_GHG_CO2_EMISSIONS</v>
      </c>
      <c r="E338" t="str">
        <f>IFERROR(IF(0=LEN(ReferenceData!$E$338),"",ReferenceData!$E$338),"")</f>
        <v>Dynamic</v>
      </c>
      <c r="F338" t="str">
        <f ca="1">IFERROR(IF(0=LEN(ReferenceData!$F$338),"",ReferenceData!$F$338),"")</f>
        <v/>
      </c>
      <c r="G338" t="str">
        <f ca="1">IFERROR(IF(0=LEN(ReferenceData!$G$338),"",ReferenceData!$G$338),"")</f>
        <v/>
      </c>
      <c r="H338">
        <f ca="1">IFERROR(IF(0=LEN(ReferenceData!$H$338),"",ReferenceData!$H$338),"")</f>
        <v>0.55001501500000005</v>
      </c>
      <c r="I338">
        <f ca="1">IFERROR(IF(0=LEN(ReferenceData!$I$338),"",ReferenceData!$I$338),"")</f>
        <v>0.52346502699999997</v>
      </c>
      <c r="J338">
        <f ca="1">IFERROR(IF(0=LEN(ReferenceData!$J$338),"",ReferenceData!$J$338),"")</f>
        <v>0.57093701200000002</v>
      </c>
    </row>
    <row r="339" spans="1:10" x14ac:dyDescent="0.25">
      <c r="A339" t="str">
        <f>IFERROR(IF(0=LEN(ReferenceData!$A$339),"",ReferenceData!$A$339),"")</f>
        <v xml:space="preserve">                    Yamazaki Baking Co Ltd</v>
      </c>
      <c r="B339" t="str">
        <f>IFERROR(IF(0=LEN(ReferenceData!$B$339),"",ReferenceData!$B$339),"")</f>
        <v>2212 JP Equity</v>
      </c>
      <c r="C339" t="str">
        <f>IFERROR(IF(0=LEN(ReferenceData!$C$339),"",ReferenceData!$C$339),"")</f>
        <v>F0946</v>
      </c>
      <c r="D339" t="str">
        <f>IFERROR(IF(0=LEN(ReferenceData!$D$339),"",ReferenceData!$D$339),"")</f>
        <v>TOTAL_GHG_CO2_EMISSIONS</v>
      </c>
      <c r="E339" t="str">
        <f>IFERROR(IF(0=LEN(ReferenceData!$E$339),"",ReferenceData!$E$339),"")</f>
        <v>Dynamic</v>
      </c>
      <c r="F339" t="str">
        <f ca="1">IFERROR(IF(0=LEN(ReferenceData!$F$339),"",ReferenceData!$F$339),"")</f>
        <v/>
      </c>
      <c r="G339">
        <f ca="1">IFERROR(IF(0=LEN(ReferenceData!$G$339),"",ReferenceData!$G$339),"")</f>
        <v>0.71099999999999997</v>
      </c>
      <c r="H339">
        <f ca="1">IFERROR(IF(0=LEN(ReferenceData!$H$339),"",ReferenceData!$H$339),"")</f>
        <v>0.72</v>
      </c>
      <c r="I339">
        <f ca="1">IFERROR(IF(0=LEN(ReferenceData!$I$339),"",ReferenceData!$I$339),"")</f>
        <v>0.82599999999999996</v>
      </c>
      <c r="J339">
        <f ca="1">IFERROR(IF(0=LEN(ReferenceData!$J$339),"",ReferenceData!$J$339),"")</f>
        <v>0.85699999999999998</v>
      </c>
    </row>
    <row r="340" spans="1:10" x14ac:dyDescent="0.25">
      <c r="A340" t="str">
        <f>IFERROR(IF(0=LEN(ReferenceData!$A$340),"",ReferenceData!$A$340),"")</f>
        <v xml:space="preserve">            Retail - Consumer Staples</v>
      </c>
      <c r="B340" t="str">
        <f>IFERROR(IF(0=LEN(ReferenceData!$B$340),"",ReferenceData!$B$340),"")</f>
        <v/>
      </c>
      <c r="C340" t="str">
        <f>IFERROR(IF(0=LEN(ReferenceData!$C$340),"",ReferenceData!$C$340),"")</f>
        <v/>
      </c>
      <c r="D340" t="str">
        <f>IFERROR(IF(0=LEN(ReferenceData!$D$340),"",ReferenceData!$D$340),"")</f>
        <v/>
      </c>
      <c r="E340" t="str">
        <f>IFERROR(IF(0=LEN(ReferenceData!$E$340),"",ReferenceData!$E$340),"")</f>
        <v>Sum</v>
      </c>
      <c r="F340">
        <f ca="1">IFERROR(IF(0=LEN(ReferenceData!$F$340),"",ReferenceData!$F$340),"")</f>
        <v>19.863924321999999</v>
      </c>
      <c r="G340">
        <f ca="1">IFERROR(IF(0=LEN(ReferenceData!$G$340),"",ReferenceData!$G$340),"")</f>
        <v>70.631613650000006</v>
      </c>
      <c r="H340">
        <f ca="1">IFERROR(IF(0=LEN(ReferenceData!$H$340),"",ReferenceData!$H$340),"")</f>
        <v>78.139486953000002</v>
      </c>
      <c r="I340">
        <f ca="1">IFERROR(IF(0=LEN(ReferenceData!$I$340),"",ReferenceData!$I$340),"")</f>
        <v>74.151098392999984</v>
      </c>
      <c r="J340">
        <f ca="1">IFERROR(IF(0=LEN(ReferenceData!$J$340),"",ReferenceData!$J$340),"")</f>
        <v>73.12122685300001</v>
      </c>
    </row>
    <row r="341" spans="1:10" x14ac:dyDescent="0.25">
      <c r="A341" t="str">
        <f>IFERROR(IF(0=LEN(ReferenceData!$A$341),"",ReferenceData!$A$341),"")</f>
        <v xml:space="preserve">                Food &amp; Drug Stores</v>
      </c>
      <c r="B341" t="str">
        <f>IFERROR(IF(0=LEN(ReferenceData!$B$341),"",ReferenceData!$B$341),"")</f>
        <v/>
      </c>
      <c r="C341" t="str">
        <f>IFERROR(IF(0=LEN(ReferenceData!$C$341),"",ReferenceData!$C$341),"")</f>
        <v/>
      </c>
      <c r="D341" t="str">
        <f>IFERROR(IF(0=LEN(ReferenceData!$D$341),"",ReferenceData!$D$341),"")</f>
        <v/>
      </c>
      <c r="E341" t="str">
        <f>IFERROR(IF(0=LEN(ReferenceData!$E$341),"",ReferenceData!$E$341),"")</f>
        <v>Sum</v>
      </c>
      <c r="F341">
        <f ca="1">IFERROR(IF(0=LEN(ReferenceData!$F$341),"",ReferenceData!$F$341),"")</f>
        <v>19.863924321999999</v>
      </c>
      <c r="G341">
        <f ca="1">IFERROR(IF(0=LEN(ReferenceData!$G$341),"",ReferenceData!$G$341),"")</f>
        <v>70.631613650000006</v>
      </c>
      <c r="H341">
        <f ca="1">IFERROR(IF(0=LEN(ReferenceData!$H$341),"",ReferenceData!$H$341),"")</f>
        <v>78.139486953000002</v>
      </c>
      <c r="I341">
        <f ca="1">IFERROR(IF(0=LEN(ReferenceData!$I$341),"",ReferenceData!$I$341),"")</f>
        <v>74.151098392999984</v>
      </c>
      <c r="J341">
        <f ca="1">IFERROR(IF(0=LEN(ReferenceData!$J$341),"",ReferenceData!$J$341),"")</f>
        <v>73.12122685300001</v>
      </c>
    </row>
    <row r="342" spans="1:10" x14ac:dyDescent="0.25">
      <c r="A342" t="str">
        <f>IFERROR(IF(0=LEN(ReferenceData!$A$342),"",ReferenceData!$A$342),"")</f>
        <v xml:space="preserve">                    Seven &amp; i Holdings Co Ltd</v>
      </c>
      <c r="B342" t="str">
        <f>IFERROR(IF(0=LEN(ReferenceData!$B$342),"",ReferenceData!$B$342),"")</f>
        <v>3382 JP Equity</v>
      </c>
      <c r="C342" t="str">
        <f>IFERROR(IF(0=LEN(ReferenceData!$C$342),"",ReferenceData!$C$342),"")</f>
        <v>F0946</v>
      </c>
      <c r="D342" t="str">
        <f>IFERROR(IF(0=LEN(ReferenceData!$D$342),"",ReferenceData!$D$342),"")</f>
        <v>TOTAL_GHG_CO2_EMISSIONS</v>
      </c>
      <c r="E342" t="str">
        <f>IFERROR(IF(0=LEN(ReferenceData!$E$342),"",ReferenceData!$E$342),"")</f>
        <v>Dynamic</v>
      </c>
      <c r="F342" t="str">
        <f ca="1">IFERROR(IF(0=LEN(ReferenceData!$F$342),"",ReferenceData!$F$342),"")</f>
        <v/>
      </c>
      <c r="G342">
        <f ca="1">IFERROR(IF(0=LEN(ReferenceData!$G$342),"",ReferenceData!$G$342),"")</f>
        <v>2.9708898929999998</v>
      </c>
      <c r="H342">
        <f ca="1">IFERROR(IF(0=LEN(ReferenceData!$H$342),"",ReferenceData!$H$342),"")</f>
        <v>2.7689299319999998</v>
      </c>
      <c r="I342">
        <f ca="1">IFERROR(IF(0=LEN(ReferenceData!$I$342),"",ReferenceData!$I$342),"")</f>
        <v>3.0470500490000001</v>
      </c>
      <c r="J342" t="str">
        <f ca="1">IFERROR(IF(0=LEN(ReferenceData!$J$342),"",ReferenceData!$J$342),"")</f>
        <v/>
      </c>
    </row>
    <row r="343" spans="1:10" x14ac:dyDescent="0.25">
      <c r="A343" t="str">
        <f>IFERROR(IF(0=LEN(ReferenceData!$A$343),"",ReferenceData!$A$343),"")</f>
        <v xml:space="preserve">                    Aeon Co Ltd</v>
      </c>
      <c r="B343" t="str">
        <f>IFERROR(IF(0=LEN(ReferenceData!$B$343),"",ReferenceData!$B$343),"")</f>
        <v>8267 JP Equity</v>
      </c>
      <c r="C343" t="str">
        <f>IFERROR(IF(0=LEN(ReferenceData!$C$343),"",ReferenceData!$C$343),"")</f>
        <v>F0946</v>
      </c>
      <c r="D343" t="str">
        <f>IFERROR(IF(0=LEN(ReferenceData!$D$343),"",ReferenceData!$D$343),"")</f>
        <v>TOTAL_GHG_CO2_EMISSIONS</v>
      </c>
      <c r="E343" t="str">
        <f>IFERROR(IF(0=LEN(ReferenceData!$E$343),"",ReferenceData!$E$343),"")</f>
        <v>Dynamic</v>
      </c>
      <c r="F343" t="str">
        <f ca="1">IFERROR(IF(0=LEN(ReferenceData!$F$343),"",ReferenceData!$F$343),"")</f>
        <v/>
      </c>
      <c r="G343">
        <f ca="1">IFERROR(IF(0=LEN(ReferenceData!$G$343),"",ReferenceData!$G$343),"")</f>
        <v>2.9683000490000002</v>
      </c>
      <c r="H343">
        <f ca="1">IFERROR(IF(0=LEN(ReferenceData!$H$343),"",ReferenceData!$H$343),"")</f>
        <v>3.0168400879999999</v>
      </c>
      <c r="I343" t="str">
        <f ca="1">IFERROR(IF(0=LEN(ReferenceData!$I$343),"",ReferenceData!$I$343),"")</f>
        <v/>
      </c>
      <c r="J343">
        <f ca="1">IFERROR(IF(0=LEN(ReferenceData!$J$343),"",ReferenceData!$J$343),"")</f>
        <v>2.411199951</v>
      </c>
    </row>
    <row r="344" spans="1:10" x14ac:dyDescent="0.25">
      <c r="A344" t="str">
        <f>IFERROR(IF(0=LEN(ReferenceData!$A$344),"",ReferenceData!$A$344),"")</f>
        <v xml:space="preserve">                    Alma Market SA</v>
      </c>
      <c r="B344" t="str">
        <f>IFERROR(IF(0=LEN(ReferenceData!$B$344),"",ReferenceData!$B$344),"")</f>
        <v>ALM PW Equity</v>
      </c>
      <c r="C344" t="str">
        <f>IFERROR(IF(0=LEN(ReferenceData!$C$344),"",ReferenceData!$C$344),"")</f>
        <v>F0946</v>
      </c>
      <c r="D344" t="str">
        <f>IFERROR(IF(0=LEN(ReferenceData!$D$344),"",ReferenceData!$D$344),"")</f>
        <v>TOTAL_GHG_CO2_EMISSIONS</v>
      </c>
      <c r="E344" t="str">
        <f>IFERROR(IF(0=LEN(ReferenceData!$E$344),"",ReferenceData!$E$344),"")</f>
        <v>Dynamic</v>
      </c>
      <c r="F344" t="str">
        <f ca="1">IFERROR(IF(0=LEN(ReferenceData!$F$344),"",ReferenceData!$F$344),"")</f>
        <v/>
      </c>
      <c r="G344" t="str">
        <f ca="1">IFERROR(IF(0=LEN(ReferenceData!$G$344),"",ReferenceData!$G$344),"")</f>
        <v/>
      </c>
      <c r="H344" t="str">
        <f ca="1">IFERROR(IF(0=LEN(ReferenceData!$H$344),"",ReferenceData!$H$344),"")</f>
        <v/>
      </c>
      <c r="I344" t="str">
        <f ca="1">IFERROR(IF(0=LEN(ReferenceData!$I$344),"",ReferenceData!$I$344),"")</f>
        <v/>
      </c>
      <c r="J344" t="str">
        <f ca="1">IFERROR(IF(0=LEN(ReferenceData!$J$344),"",ReferenceData!$J$344),"")</f>
        <v/>
      </c>
    </row>
    <row r="345" spans="1:10" x14ac:dyDescent="0.25">
      <c r="A345" t="str">
        <f>IFERROR(IF(0=LEN(ReferenceData!$A$345),"",ReferenceData!$A$345),"")</f>
        <v xml:space="preserve">                    Almacenes Exito SA</v>
      </c>
      <c r="B345" t="str">
        <f>IFERROR(IF(0=LEN(ReferenceData!$B$345),"",ReferenceData!$B$345),"")</f>
        <v>EXITO CB Equity</v>
      </c>
      <c r="C345" t="str">
        <f>IFERROR(IF(0=LEN(ReferenceData!$C$345),"",ReferenceData!$C$345),"")</f>
        <v>F0946</v>
      </c>
      <c r="D345" t="str">
        <f>IFERROR(IF(0=LEN(ReferenceData!$D$345),"",ReferenceData!$D$345),"")</f>
        <v>TOTAL_GHG_CO2_EMISSIONS</v>
      </c>
      <c r="E345" t="str">
        <f>IFERROR(IF(0=LEN(ReferenceData!$E$345),"",ReferenceData!$E$345),"")</f>
        <v>Dynamic</v>
      </c>
      <c r="F345" t="str">
        <f ca="1">IFERROR(IF(0=LEN(ReferenceData!$F$345),"",ReferenceData!$F$345),"")</f>
        <v/>
      </c>
      <c r="G345">
        <f ca="1">IFERROR(IF(0=LEN(ReferenceData!$G$345),"",ReferenceData!$G$345),"")</f>
        <v>0.210091995</v>
      </c>
      <c r="H345">
        <f ca="1">IFERROR(IF(0=LEN(ReferenceData!$H$345),"",ReferenceData!$H$345),"")</f>
        <v>0.26732000700000003</v>
      </c>
      <c r="I345">
        <f ca="1">IFERROR(IF(0=LEN(ReferenceData!$I$345),"",ReferenceData!$I$345),"")</f>
        <v>0.31517300399999998</v>
      </c>
      <c r="J345">
        <f ca="1">IFERROR(IF(0=LEN(ReferenceData!$J$345),"",ReferenceData!$J$345),"")</f>
        <v>0.28299999999999997</v>
      </c>
    </row>
    <row r="346" spans="1:10" x14ac:dyDescent="0.25">
      <c r="A346" t="str">
        <f>IFERROR(IF(0=LEN(ReferenceData!$A$346),"",ReferenceData!$A$346),"")</f>
        <v xml:space="preserve">                    Arcs Co Ltd</v>
      </c>
      <c r="B346" t="str">
        <f>IFERROR(IF(0=LEN(ReferenceData!$B$346),"",ReferenceData!$B$346),"")</f>
        <v>9948 JP Equity</v>
      </c>
      <c r="C346" t="str">
        <f>IFERROR(IF(0=LEN(ReferenceData!$C$346),"",ReferenceData!$C$346),"")</f>
        <v>F0946</v>
      </c>
      <c r="D346" t="str">
        <f>IFERROR(IF(0=LEN(ReferenceData!$D$346),"",ReferenceData!$D$346),"")</f>
        <v>TOTAL_GHG_CO2_EMISSIONS</v>
      </c>
      <c r="E346" t="str">
        <f>IFERROR(IF(0=LEN(ReferenceData!$E$346),"",ReferenceData!$E$346),"")</f>
        <v>Dynamic</v>
      </c>
      <c r="F346" t="str">
        <f ca="1">IFERROR(IF(0=LEN(ReferenceData!$F$346),"",ReferenceData!$F$346),"")</f>
        <v/>
      </c>
      <c r="G346" t="str">
        <f ca="1">IFERROR(IF(0=LEN(ReferenceData!$G$346),"",ReferenceData!$G$346),"")</f>
        <v/>
      </c>
      <c r="H346" t="str">
        <f ca="1">IFERROR(IF(0=LEN(ReferenceData!$H$346),"",ReferenceData!$H$346),"")</f>
        <v/>
      </c>
      <c r="I346" t="str">
        <f ca="1">IFERROR(IF(0=LEN(ReferenceData!$I$346),"",ReferenceData!$I$346),"")</f>
        <v/>
      </c>
      <c r="J346" t="str">
        <f ca="1">IFERROR(IF(0=LEN(ReferenceData!$J$346),"",ReferenceData!$J$346),"")</f>
        <v/>
      </c>
    </row>
    <row r="347" spans="1:10" x14ac:dyDescent="0.25">
      <c r="A347" t="str">
        <f>IFERROR(IF(0=LEN(ReferenceData!$A$347),"",ReferenceData!$A$347),"")</f>
        <v xml:space="preserve">                    Asda Stores Ltd</v>
      </c>
      <c r="B347" t="str">
        <f>IFERROR(IF(0=LEN(ReferenceData!$B$347),"",ReferenceData!$B$347),"")</f>
        <v>1313666Z LN Equity</v>
      </c>
      <c r="C347" t="str">
        <f>IFERROR(IF(0=LEN(ReferenceData!$C$347),"",ReferenceData!$C$347),"")</f>
        <v>F0946</v>
      </c>
      <c r="D347" t="str">
        <f>IFERROR(IF(0=LEN(ReferenceData!$D$347),"",ReferenceData!$D$347),"")</f>
        <v>TOTAL_GHG_CO2_EMISSIONS</v>
      </c>
      <c r="E347" t="str">
        <f>IFERROR(IF(0=LEN(ReferenceData!$E$347),"",ReferenceData!$E$347),"")</f>
        <v>Dynamic</v>
      </c>
      <c r="F347" t="str">
        <f ca="1">IFERROR(IF(0=LEN(ReferenceData!$F$347),"",ReferenceData!$F$347),"")</f>
        <v/>
      </c>
      <c r="G347" t="str">
        <f ca="1">IFERROR(IF(0=LEN(ReferenceData!$G$347),"",ReferenceData!$G$347),"")</f>
        <v/>
      </c>
      <c r="H347" t="str">
        <f ca="1">IFERROR(IF(0=LEN(ReferenceData!$H$347),"",ReferenceData!$H$347),"")</f>
        <v/>
      </c>
      <c r="I347" t="str">
        <f ca="1">IFERROR(IF(0=LEN(ReferenceData!$I$347),"",ReferenceData!$I$347),"")</f>
        <v/>
      </c>
      <c r="J347" t="str">
        <f ca="1">IFERROR(IF(0=LEN(ReferenceData!$J$347),"",ReferenceData!$J$347),"")</f>
        <v/>
      </c>
    </row>
    <row r="348" spans="1:10" x14ac:dyDescent="0.25">
      <c r="A348" t="str">
        <f>IFERROR(IF(0=LEN(ReferenceData!$A$348),"",ReferenceData!$A$348),"")</f>
        <v xml:space="preserve">                    Atacadao SA</v>
      </c>
      <c r="B348" t="str">
        <f>IFERROR(IF(0=LEN(ReferenceData!$B$348),"",ReferenceData!$B$348),"")</f>
        <v>CRFB3 BZ Equity</v>
      </c>
      <c r="C348" t="str">
        <f>IFERROR(IF(0=LEN(ReferenceData!$C$348),"",ReferenceData!$C$348),"")</f>
        <v>F0946</v>
      </c>
      <c r="D348" t="str">
        <f>IFERROR(IF(0=LEN(ReferenceData!$D$348),"",ReferenceData!$D$348),"")</f>
        <v>TOTAL_GHG_CO2_EMISSIONS</v>
      </c>
      <c r="E348" t="str">
        <f>IFERROR(IF(0=LEN(ReferenceData!$E$348),"",ReferenceData!$E$348),"")</f>
        <v>Dynamic</v>
      </c>
      <c r="F348" t="str">
        <f ca="1">IFERROR(IF(0=LEN(ReferenceData!$F$348),"",ReferenceData!$F$348),"")</f>
        <v/>
      </c>
      <c r="G348">
        <f ca="1">IFERROR(IF(0=LEN(ReferenceData!$G$348),"",ReferenceData!$G$348),"")</f>
        <v>0.28842098999999999</v>
      </c>
      <c r="H348">
        <f ca="1">IFERROR(IF(0=LEN(ReferenceData!$H$348),"",ReferenceData!$H$348),"")</f>
        <v>0.14410099800000001</v>
      </c>
      <c r="I348">
        <f ca="1">IFERROR(IF(0=LEN(ReferenceData!$I$348),"",ReferenceData!$I$348),"")</f>
        <v>0.143287994</v>
      </c>
      <c r="J348" t="str">
        <f ca="1">IFERROR(IF(0=LEN(ReferenceData!$J$348),"",ReferenceData!$J$348),"")</f>
        <v/>
      </c>
    </row>
    <row r="349" spans="1:10" x14ac:dyDescent="0.25">
      <c r="A349" t="str">
        <f>IFERROR(IF(0=LEN(ReferenceData!$A$349),"",ReferenceData!$A$349),"")</f>
        <v xml:space="preserve">                    ELO SACA</v>
      </c>
      <c r="B349" t="str">
        <f>IFERROR(IF(0=LEN(ReferenceData!$B$349),"",ReferenceData!$B$349),"")</f>
        <v>211642Z FP Equity</v>
      </c>
      <c r="C349" t="str">
        <f>IFERROR(IF(0=LEN(ReferenceData!$C$349),"",ReferenceData!$C$349),"")</f>
        <v>F0946</v>
      </c>
      <c r="D349" t="str">
        <f>IFERROR(IF(0=LEN(ReferenceData!$D$349),"",ReferenceData!$D$349),"")</f>
        <v>TOTAL_GHG_CO2_EMISSIONS</v>
      </c>
      <c r="E349" t="str">
        <f>IFERROR(IF(0=LEN(ReferenceData!$E$349),"",ReferenceData!$E$349),"")</f>
        <v>Dynamic</v>
      </c>
      <c r="F349" t="str">
        <f ca="1">IFERROR(IF(0=LEN(ReferenceData!$F$349),"",ReferenceData!$F$349),"")</f>
        <v/>
      </c>
      <c r="G349" t="str">
        <f ca="1">IFERROR(IF(0=LEN(ReferenceData!$G$349),"",ReferenceData!$G$349),"")</f>
        <v/>
      </c>
      <c r="H349" t="str">
        <f ca="1">IFERROR(IF(0=LEN(ReferenceData!$H$349),"",ReferenceData!$H$349),"")</f>
        <v/>
      </c>
      <c r="I349" t="str">
        <f ca="1">IFERROR(IF(0=LEN(ReferenceData!$I$349),"",ReferenceData!$I$349),"")</f>
        <v/>
      </c>
      <c r="J349" t="str">
        <f ca="1">IFERROR(IF(0=LEN(ReferenceData!$J$349),"",ReferenceData!$J$349),"")</f>
        <v/>
      </c>
    </row>
    <row r="350" spans="1:10" x14ac:dyDescent="0.25">
      <c r="A350" t="str">
        <f>IFERROR(IF(0=LEN(ReferenceData!$A$350),"",ReferenceData!$A$350),"")</f>
        <v xml:space="preserve">                    Alimentation Couche-Tard Inc</v>
      </c>
      <c r="B350" t="str">
        <f>IFERROR(IF(0=LEN(ReferenceData!$B$350),"",ReferenceData!$B$350),"")</f>
        <v>ATD CN Equity</v>
      </c>
      <c r="C350" t="str">
        <f>IFERROR(IF(0=LEN(ReferenceData!$C$350),"",ReferenceData!$C$350),"")</f>
        <v>F0946</v>
      </c>
      <c r="D350" t="str">
        <f>IFERROR(IF(0=LEN(ReferenceData!$D$350),"",ReferenceData!$D$350),"")</f>
        <v>TOTAL_GHG_CO2_EMISSIONS</v>
      </c>
      <c r="E350" t="str">
        <f>IFERROR(IF(0=LEN(ReferenceData!$E$350),"",ReferenceData!$E$350),"")</f>
        <v>Dynamic</v>
      </c>
      <c r="F350" t="str">
        <f ca="1">IFERROR(IF(0=LEN(ReferenceData!$F$350),"",ReferenceData!$F$350),"")</f>
        <v/>
      </c>
      <c r="G350">
        <f ca="1">IFERROR(IF(0=LEN(ReferenceData!$G$350),"",ReferenceData!$G$350),"")</f>
        <v>0.85149102799999998</v>
      </c>
      <c r="H350">
        <f ca="1">IFERROR(IF(0=LEN(ReferenceData!$H$350),"",ReferenceData!$H$350),"")</f>
        <v>0.827010986</v>
      </c>
      <c r="I350">
        <f ca="1">IFERROR(IF(0=LEN(ReferenceData!$I$350),"",ReferenceData!$I$350),"")</f>
        <v>0.84112500000000001</v>
      </c>
      <c r="J350">
        <f ca="1">IFERROR(IF(0=LEN(ReferenceData!$J$350),"",ReferenceData!$J$350),"")</f>
        <v>0.93231896999999997</v>
      </c>
    </row>
    <row r="351" spans="1:10" x14ac:dyDescent="0.25">
      <c r="A351" t="str">
        <f>IFERROR(IF(0=LEN(ReferenceData!$A$351),"",ReferenceData!$A$351),"")</f>
        <v xml:space="preserve">                    Axfood AB</v>
      </c>
      <c r="B351" t="str">
        <f>IFERROR(IF(0=LEN(ReferenceData!$B$351),"",ReferenceData!$B$351),"")</f>
        <v>AXFO SS Equity</v>
      </c>
      <c r="C351" t="str">
        <f>IFERROR(IF(0=LEN(ReferenceData!$C$351),"",ReferenceData!$C$351),"")</f>
        <v>F0946</v>
      </c>
      <c r="D351" t="str">
        <f>IFERROR(IF(0=LEN(ReferenceData!$D$351),"",ReferenceData!$D$351),"")</f>
        <v>TOTAL_GHG_CO2_EMISSIONS</v>
      </c>
      <c r="E351" t="str">
        <f>IFERROR(IF(0=LEN(ReferenceData!$E$351),"",ReferenceData!$E$351),"")</f>
        <v>Dynamic</v>
      </c>
      <c r="F351">
        <f ca="1">IFERROR(IF(0=LEN(ReferenceData!$F$351),"",ReferenceData!$F$351),"")</f>
        <v>3.2894000999999999E-2</v>
      </c>
      <c r="G351">
        <f ca="1">IFERROR(IF(0=LEN(ReferenceData!$G$351),"",ReferenceData!$G$351),"")</f>
        <v>3.4688998999999998E-2</v>
      </c>
      <c r="H351">
        <f ca="1">IFERROR(IF(0=LEN(ReferenceData!$H$351),"",ReferenceData!$H$351),"")</f>
        <v>3.1655001000000002E-2</v>
      </c>
      <c r="I351">
        <f ca="1">IFERROR(IF(0=LEN(ReferenceData!$I$351),"",ReferenceData!$I$351),"")</f>
        <v>3.3742001000000001E-2</v>
      </c>
      <c r="J351">
        <f ca="1">IFERROR(IF(0=LEN(ReferenceData!$J$351),"",ReferenceData!$J$351),"")</f>
        <v>2.1422001E-2</v>
      </c>
    </row>
    <row r="352" spans="1:10" x14ac:dyDescent="0.25">
      <c r="A352" t="str">
        <f>IFERROR(IF(0=LEN(ReferenceData!$A$352),"",ReferenceData!$A$352),"")</f>
        <v xml:space="preserve">                    B&amp;M European Value Retail SA</v>
      </c>
      <c r="B352" t="str">
        <f>IFERROR(IF(0=LEN(ReferenceData!$B$352),"",ReferenceData!$B$352),"")</f>
        <v>BME LN Equity</v>
      </c>
      <c r="C352" t="str">
        <f>IFERROR(IF(0=LEN(ReferenceData!$C$352),"",ReferenceData!$C$352),"")</f>
        <v>F0946</v>
      </c>
      <c r="D352" t="str">
        <f>IFERROR(IF(0=LEN(ReferenceData!$D$352),"",ReferenceData!$D$352),"")</f>
        <v>TOTAL_GHG_CO2_EMISSIONS</v>
      </c>
      <c r="E352" t="str">
        <f>IFERROR(IF(0=LEN(ReferenceData!$E$352),"",ReferenceData!$E$352),"")</f>
        <v>Dynamic</v>
      </c>
      <c r="F352" t="str">
        <f ca="1">IFERROR(IF(0=LEN(ReferenceData!$F$352),"",ReferenceData!$F$352),"")</f>
        <v/>
      </c>
      <c r="G352">
        <f ca="1">IFERROR(IF(0=LEN(ReferenceData!$G$352),"",ReferenceData!$G$352),"")</f>
        <v>9.6757003999999994E-2</v>
      </c>
      <c r="H352">
        <f ca="1">IFERROR(IF(0=LEN(ReferenceData!$H$352),"",ReferenceData!$H$352),"")</f>
        <v>0.117464996</v>
      </c>
      <c r="I352">
        <f ca="1">IFERROR(IF(0=LEN(ReferenceData!$I$352),"",ReferenceData!$I$352),"")</f>
        <v>0.122707001</v>
      </c>
      <c r="J352">
        <f ca="1">IFERROR(IF(0=LEN(ReferenceData!$J$352),"",ReferenceData!$J$352),"")</f>
        <v>0.122499001</v>
      </c>
    </row>
    <row r="353" spans="1:10" x14ac:dyDescent="0.25">
      <c r="A353" t="str">
        <f>IFERROR(IF(0=LEN(ReferenceData!$A$353),"",ReferenceData!$A$353),"")</f>
        <v xml:space="preserve">                    Innovation New Material Techno</v>
      </c>
      <c r="B353" t="str">
        <f>IFERROR(IF(0=LEN(ReferenceData!$B$353),"",ReferenceData!$B$353),"")</f>
        <v>600361 CH Equity</v>
      </c>
      <c r="C353" t="str">
        <f>IFERROR(IF(0=LEN(ReferenceData!$C$353),"",ReferenceData!$C$353),"")</f>
        <v>F0946</v>
      </c>
      <c r="D353" t="str">
        <f>IFERROR(IF(0=LEN(ReferenceData!$D$353),"",ReferenceData!$D$353),"")</f>
        <v>TOTAL_GHG_CO2_EMISSIONS</v>
      </c>
      <c r="E353" t="str">
        <f>IFERROR(IF(0=LEN(ReferenceData!$E$353),"",ReferenceData!$E$353),"")</f>
        <v>Dynamic</v>
      </c>
      <c r="F353" t="str">
        <f ca="1">IFERROR(IF(0=LEN(ReferenceData!$F$353),"",ReferenceData!$F$353),"")</f>
        <v/>
      </c>
      <c r="G353" t="str">
        <f ca="1">IFERROR(IF(0=LEN(ReferenceData!$G$353),"",ReferenceData!$G$353),"")</f>
        <v/>
      </c>
      <c r="H353" t="str">
        <f ca="1">IFERROR(IF(0=LEN(ReferenceData!$H$353),"",ReferenceData!$H$353),"")</f>
        <v/>
      </c>
      <c r="I353" t="str">
        <f ca="1">IFERROR(IF(0=LEN(ReferenceData!$I$353),"",ReferenceData!$I$353),"")</f>
        <v/>
      </c>
      <c r="J353" t="str">
        <f ca="1">IFERROR(IF(0=LEN(ReferenceData!$J$353),"",ReferenceData!$J$353),"")</f>
        <v/>
      </c>
    </row>
    <row r="354" spans="1:10" x14ac:dyDescent="0.25">
      <c r="A354" t="str">
        <f>IFERROR(IF(0=LEN(ReferenceData!$A$354),"",ReferenceData!$A$354),"")</f>
        <v xml:space="preserve">                    BGF Co Ltd</v>
      </c>
      <c r="B354" t="str">
        <f>IFERROR(IF(0=LEN(ReferenceData!$B$354),"",ReferenceData!$B$354),"")</f>
        <v>027410 KS Equity</v>
      </c>
      <c r="C354" t="str">
        <f>IFERROR(IF(0=LEN(ReferenceData!$C$354),"",ReferenceData!$C$354),"")</f>
        <v>F0946</v>
      </c>
      <c r="D354" t="str">
        <f>IFERROR(IF(0=LEN(ReferenceData!$D$354),"",ReferenceData!$D$354),"")</f>
        <v>TOTAL_GHG_CO2_EMISSIONS</v>
      </c>
      <c r="E354" t="str">
        <f>IFERROR(IF(0=LEN(ReferenceData!$E$354),"",ReferenceData!$E$354),"")</f>
        <v>Dynamic</v>
      </c>
      <c r="F354" t="str">
        <f ca="1">IFERROR(IF(0=LEN(ReferenceData!$F$354),"",ReferenceData!$F$354),"")</f>
        <v/>
      </c>
      <c r="G354" t="str">
        <f ca="1">IFERROR(IF(0=LEN(ReferenceData!$G$354),"",ReferenceData!$G$354),"")</f>
        <v/>
      </c>
      <c r="H354" t="str">
        <f ca="1">IFERROR(IF(0=LEN(ReferenceData!$H$354),"",ReferenceData!$H$354),"")</f>
        <v/>
      </c>
      <c r="I354">
        <f ca="1">IFERROR(IF(0=LEN(ReferenceData!$I$354),"",ReferenceData!$I$354),"")</f>
        <v>7.13015E-4</v>
      </c>
      <c r="J354" t="str">
        <f ca="1">IFERROR(IF(0=LEN(ReferenceData!$J$354),"",ReferenceData!$J$354),"")</f>
        <v/>
      </c>
    </row>
    <row r="355" spans="1:10" x14ac:dyDescent="0.25">
      <c r="A355" t="str">
        <f>IFERROR(IF(0=LEN(ReferenceData!$A$355),"",ReferenceData!$A$355),"")</f>
        <v xml:space="preserve">                    BIM Birlesik Magazalar AS</v>
      </c>
      <c r="B355" t="str">
        <f>IFERROR(IF(0=LEN(ReferenceData!$B$355),"",ReferenceData!$B$355),"")</f>
        <v>BIMAS TI Equity</v>
      </c>
      <c r="C355" t="str">
        <f>IFERROR(IF(0=LEN(ReferenceData!$C$355),"",ReferenceData!$C$355),"")</f>
        <v>F0946</v>
      </c>
      <c r="D355" t="str">
        <f>IFERROR(IF(0=LEN(ReferenceData!$D$355),"",ReferenceData!$D$355),"")</f>
        <v>TOTAL_GHG_CO2_EMISSIONS</v>
      </c>
      <c r="E355" t="str">
        <f>IFERROR(IF(0=LEN(ReferenceData!$E$355),"",ReferenceData!$E$355),"")</f>
        <v>Dynamic</v>
      </c>
      <c r="F355" t="str">
        <f ca="1">IFERROR(IF(0=LEN(ReferenceData!$F$355),"",ReferenceData!$F$355),"")</f>
        <v/>
      </c>
      <c r="G355">
        <f ca="1">IFERROR(IF(0=LEN(ReferenceData!$G$355),"",ReferenceData!$G$355),"")</f>
        <v>0.51745800799999997</v>
      </c>
      <c r="H355">
        <f ca="1">IFERROR(IF(0=LEN(ReferenceData!$H$355),"",ReferenceData!$H$355),"")</f>
        <v>0.486987</v>
      </c>
      <c r="I355">
        <f ca="1">IFERROR(IF(0=LEN(ReferenceData!$I$355),"",ReferenceData!$I$355),"")</f>
        <v>0.46290499899999998</v>
      </c>
      <c r="J355" t="str">
        <f ca="1">IFERROR(IF(0=LEN(ReferenceData!$J$355),"",ReferenceData!$J$355),"")</f>
        <v/>
      </c>
    </row>
    <row r="356" spans="1:10" x14ac:dyDescent="0.25">
      <c r="A356" t="str">
        <f>IFERROR(IF(0=LEN(ReferenceData!$A$356),"",ReferenceData!$A$356),"")</f>
        <v xml:space="preserve">                    Brookshire Grocery Co</v>
      </c>
      <c r="B356" t="str">
        <f>IFERROR(IF(0=LEN(ReferenceData!$B$356),"",ReferenceData!$B$356),"")</f>
        <v>87264Z US Equity</v>
      </c>
      <c r="C356" t="str">
        <f>IFERROR(IF(0=LEN(ReferenceData!$C$356),"",ReferenceData!$C$356),"")</f>
        <v>F0946</v>
      </c>
      <c r="D356" t="str">
        <f>IFERROR(IF(0=LEN(ReferenceData!$D$356),"",ReferenceData!$D$356),"")</f>
        <v>TOTAL_GHG_CO2_EMISSIONS</v>
      </c>
      <c r="E356" t="str">
        <f>IFERROR(IF(0=LEN(ReferenceData!$E$356),"",ReferenceData!$E$356),"")</f>
        <v>Dynamic</v>
      </c>
      <c r="F356" t="str">
        <f ca="1">IFERROR(IF(0=LEN(ReferenceData!$F$356),"",ReferenceData!$F$356),"")</f>
        <v/>
      </c>
      <c r="G356" t="str">
        <f ca="1">IFERROR(IF(0=LEN(ReferenceData!$G$356),"",ReferenceData!$G$356),"")</f>
        <v/>
      </c>
      <c r="H356" t="str">
        <f ca="1">IFERROR(IF(0=LEN(ReferenceData!$H$356),"",ReferenceData!$H$356),"")</f>
        <v/>
      </c>
      <c r="I356" t="str">
        <f ca="1">IFERROR(IF(0=LEN(ReferenceData!$I$356),"",ReferenceData!$I$356),"")</f>
        <v/>
      </c>
      <c r="J356" t="str">
        <f ca="1">IFERROR(IF(0=LEN(ReferenceData!$J$356),"",ReferenceData!$J$356),"")</f>
        <v/>
      </c>
    </row>
    <row r="357" spans="1:10" x14ac:dyDescent="0.25">
      <c r="A357" t="str">
        <f>IFERROR(IF(0=LEN(ReferenceData!$A$357),"",ReferenceData!$A$357),"")</f>
        <v xml:space="preserve">                    Cia Brasileira de Distribuicao</v>
      </c>
      <c r="B357" t="str">
        <f>IFERROR(IF(0=LEN(ReferenceData!$B$357),"",ReferenceData!$B$357),"")</f>
        <v>PCAR3 BZ Equity</v>
      </c>
      <c r="C357" t="str">
        <f>IFERROR(IF(0=LEN(ReferenceData!$C$357),"",ReferenceData!$C$357),"")</f>
        <v>F0946</v>
      </c>
      <c r="D357" t="str">
        <f>IFERROR(IF(0=LEN(ReferenceData!$D$357),"",ReferenceData!$D$357),"")</f>
        <v>TOTAL_GHG_CO2_EMISSIONS</v>
      </c>
      <c r="E357" t="str">
        <f>IFERROR(IF(0=LEN(ReferenceData!$E$357),"",ReferenceData!$E$357),"")</f>
        <v>Dynamic</v>
      </c>
      <c r="F357" t="str">
        <f ca="1">IFERROR(IF(0=LEN(ReferenceData!$F$357),"",ReferenceData!$F$357),"")</f>
        <v/>
      </c>
      <c r="G357">
        <f ca="1">IFERROR(IF(0=LEN(ReferenceData!$G$357),"",ReferenceData!$G$357),"")</f>
        <v>0.72504699699999997</v>
      </c>
      <c r="H357">
        <f ca="1">IFERROR(IF(0=LEN(ReferenceData!$H$357),"",ReferenceData!$H$357),"")</f>
        <v>0.236703995</v>
      </c>
      <c r="I357">
        <f ca="1">IFERROR(IF(0=LEN(ReferenceData!$I$357),"",ReferenceData!$I$357),"")</f>
        <v>0.268783997</v>
      </c>
      <c r="J357">
        <f ca="1">IFERROR(IF(0=LEN(ReferenceData!$J$357),"",ReferenceData!$J$357),"")</f>
        <v>0.17709599300000001</v>
      </c>
    </row>
    <row r="358" spans="1:10" x14ac:dyDescent="0.25">
      <c r="A358" t="str">
        <f>IFERROR(IF(0=LEN(ReferenceData!$A$358),"",ReferenceData!$A$358),"")</f>
        <v xml:space="preserve">                    Coles Group Ltd</v>
      </c>
      <c r="B358" t="str">
        <f>IFERROR(IF(0=LEN(ReferenceData!$B$358),"",ReferenceData!$B$358),"")</f>
        <v>COL AU Equity</v>
      </c>
      <c r="C358" t="str">
        <f>IFERROR(IF(0=LEN(ReferenceData!$C$358),"",ReferenceData!$C$358),"")</f>
        <v>F0946</v>
      </c>
      <c r="D358" t="str">
        <f>IFERROR(IF(0=LEN(ReferenceData!$D$358),"",ReferenceData!$D$358),"")</f>
        <v>TOTAL_GHG_CO2_EMISSIONS</v>
      </c>
      <c r="E358" t="str">
        <f>IFERROR(IF(0=LEN(ReferenceData!$E$358),"",ReferenceData!$E$358),"")</f>
        <v>Dynamic</v>
      </c>
      <c r="F358" t="str">
        <f ca="1">IFERROR(IF(0=LEN(ReferenceData!$F$358),"",ReferenceData!$F$358),"")</f>
        <v/>
      </c>
      <c r="G358">
        <f ca="1">IFERROR(IF(0=LEN(ReferenceData!$G$358),"",ReferenceData!$G$358),"")</f>
        <v>1.535619995</v>
      </c>
      <c r="H358">
        <f ca="1">IFERROR(IF(0=LEN(ReferenceData!$H$358),"",ReferenceData!$H$358),"")</f>
        <v>1.579089966</v>
      </c>
      <c r="I358">
        <f ca="1">IFERROR(IF(0=LEN(ReferenceData!$I$358),"",ReferenceData!$I$358),"")</f>
        <v>1.5960999760000001</v>
      </c>
      <c r="J358">
        <f ca="1">IFERROR(IF(0=LEN(ReferenceData!$J$358),"",ReferenceData!$J$358),"")</f>
        <v>1.6167600099999999</v>
      </c>
    </row>
    <row r="359" spans="1:10" x14ac:dyDescent="0.25">
      <c r="A359" t="str">
        <f>IFERROR(IF(0=LEN(ReferenceData!$A$359),"",ReferenceData!$A$359),"")</f>
        <v xml:space="preserve">                    Costco Wholesale Corp</v>
      </c>
      <c r="B359" t="str">
        <f>IFERROR(IF(0=LEN(ReferenceData!$B$359),"",ReferenceData!$B$359),"")</f>
        <v>COST US Equity</v>
      </c>
      <c r="C359" t="str">
        <f>IFERROR(IF(0=LEN(ReferenceData!$C$359),"",ReferenceData!$C$359),"")</f>
        <v>F0946</v>
      </c>
      <c r="D359" t="str">
        <f>IFERROR(IF(0=LEN(ReferenceData!$D$359),"",ReferenceData!$D$359),"")</f>
        <v>TOTAL_GHG_CO2_EMISSIONS</v>
      </c>
      <c r="E359" t="str">
        <f>IFERROR(IF(0=LEN(ReferenceData!$E$359),"",ReferenceData!$E$359),"")</f>
        <v>Dynamic</v>
      </c>
      <c r="F359" t="str">
        <f ca="1">IFERROR(IF(0=LEN(ReferenceData!$F$359),"",ReferenceData!$F$359),"")</f>
        <v/>
      </c>
      <c r="G359">
        <f ca="1">IFERROR(IF(0=LEN(ReferenceData!$G$359),"",ReferenceData!$G$359),"")</f>
        <v>2.6471298829999999</v>
      </c>
      <c r="H359">
        <f ca="1">IFERROR(IF(0=LEN(ReferenceData!$H$359),"",ReferenceData!$H$359),"")</f>
        <v>2.6630300290000002</v>
      </c>
      <c r="I359">
        <f ca="1">IFERROR(IF(0=LEN(ReferenceData!$I$359),"",ReferenceData!$I$359),"")</f>
        <v>2.5824399410000001</v>
      </c>
      <c r="J359">
        <f ca="1">IFERROR(IF(0=LEN(ReferenceData!$J$359),"",ReferenceData!$J$359),"")</f>
        <v>2.5084199219999999</v>
      </c>
    </row>
    <row r="360" spans="1:10" x14ac:dyDescent="0.25">
      <c r="A360" t="str">
        <f>IFERROR(IF(0=LEN(ReferenceData!$A$360),"",ReferenceData!$A$360),"")</f>
        <v xml:space="preserve">                    CP ALL PCL</v>
      </c>
      <c r="B360" t="str">
        <f>IFERROR(IF(0=LEN(ReferenceData!$B$360),"",ReferenceData!$B$360),"")</f>
        <v>CPALL TB Equity</v>
      </c>
      <c r="C360" t="str">
        <f>IFERROR(IF(0=LEN(ReferenceData!$C$360),"",ReferenceData!$C$360),"")</f>
        <v>F0946</v>
      </c>
      <c r="D360" t="str">
        <f>IFERROR(IF(0=LEN(ReferenceData!$D$360),"",ReferenceData!$D$360),"")</f>
        <v>TOTAL_GHG_CO2_EMISSIONS</v>
      </c>
      <c r="E360" t="str">
        <f>IFERROR(IF(0=LEN(ReferenceData!$E$360),"",ReferenceData!$E$360),"")</f>
        <v>Dynamic</v>
      </c>
      <c r="F360" t="str">
        <f ca="1">IFERROR(IF(0=LEN(ReferenceData!$F$360),"",ReferenceData!$F$360),"")</f>
        <v/>
      </c>
      <c r="G360">
        <f ca="1">IFERROR(IF(0=LEN(ReferenceData!$G$360),"",ReferenceData!$G$360),"")</f>
        <v>1.4315500489999999</v>
      </c>
      <c r="H360">
        <f ca="1">IFERROR(IF(0=LEN(ReferenceData!$H$360),"",ReferenceData!$H$360),"")</f>
        <v>1.1880799559999999</v>
      </c>
      <c r="I360">
        <f ca="1">IFERROR(IF(0=LEN(ReferenceData!$I$360),"",ReferenceData!$I$360),"")</f>
        <v>1.4004399409999999</v>
      </c>
      <c r="J360">
        <f ca="1">IFERROR(IF(0=LEN(ReferenceData!$J$360),"",ReferenceData!$J$360),"")</f>
        <v>1.286030029</v>
      </c>
    </row>
    <row r="361" spans="1:10" x14ac:dyDescent="0.25">
      <c r="A361" t="str">
        <f>IFERROR(IF(0=LEN(ReferenceData!$A$361),"",ReferenceData!$A$361),"")</f>
        <v xml:space="preserve">                    Carrefour SA</v>
      </c>
      <c r="B361" t="str">
        <f>IFERROR(IF(0=LEN(ReferenceData!$B$361),"",ReferenceData!$B$361),"")</f>
        <v>CA FP Equity</v>
      </c>
      <c r="C361" t="str">
        <f>IFERROR(IF(0=LEN(ReferenceData!$C$361),"",ReferenceData!$C$361),"")</f>
        <v>F0946</v>
      </c>
      <c r="D361" t="str">
        <f>IFERROR(IF(0=LEN(ReferenceData!$D$361),"",ReferenceData!$D$361),"")</f>
        <v>TOTAL_GHG_CO2_EMISSIONS</v>
      </c>
      <c r="E361" t="str">
        <f>IFERROR(IF(0=LEN(ReferenceData!$E$361),"",ReferenceData!$E$361),"")</f>
        <v>Dynamic</v>
      </c>
      <c r="F361">
        <f ca="1">IFERROR(IF(0=LEN(ReferenceData!$F$361),"",ReferenceData!$F$361),"")</f>
        <v>1.2130000000000001</v>
      </c>
      <c r="G361">
        <f ca="1">IFERROR(IF(0=LEN(ReferenceData!$G$361),"",ReferenceData!$G$361),"")</f>
        <v>1.428310059</v>
      </c>
      <c r="H361">
        <f ca="1">IFERROR(IF(0=LEN(ReferenceData!$H$361),"",ReferenceData!$H$361),"")</f>
        <v>1.663800049</v>
      </c>
      <c r="I361">
        <f ca="1">IFERROR(IF(0=LEN(ReferenceData!$I$361),"",ReferenceData!$I$361),"")</f>
        <v>1.83298999</v>
      </c>
      <c r="J361">
        <f ca="1">IFERROR(IF(0=LEN(ReferenceData!$J$361),"",ReferenceData!$J$361),"")</f>
        <v>2.5620800780000001</v>
      </c>
    </row>
    <row r="362" spans="1:10" x14ac:dyDescent="0.25">
      <c r="A362" t="str">
        <f>IFERROR(IF(0=LEN(ReferenceData!$A$362),"",ReferenceData!$A$362),"")</f>
        <v xml:space="preserve">                    Casino Guichard Perrachon SA</v>
      </c>
      <c r="B362" t="str">
        <f>IFERROR(IF(0=LEN(ReferenceData!$B$362),"",ReferenceData!$B$362),"")</f>
        <v>CO FP Equity</v>
      </c>
      <c r="C362" t="str">
        <f>IFERROR(IF(0=LEN(ReferenceData!$C$362),"",ReferenceData!$C$362),"")</f>
        <v>F0946</v>
      </c>
      <c r="D362" t="str">
        <f>IFERROR(IF(0=LEN(ReferenceData!$D$362),"",ReferenceData!$D$362),"")</f>
        <v>TOTAL_GHG_CO2_EMISSIONS</v>
      </c>
      <c r="E362" t="str">
        <f>IFERROR(IF(0=LEN(ReferenceData!$E$362),"",ReferenceData!$E$362),"")</f>
        <v>Dynamic</v>
      </c>
      <c r="F362" t="str">
        <f ca="1">IFERROR(IF(0=LEN(ReferenceData!$F$362),"",ReferenceData!$F$362),"")</f>
        <v/>
      </c>
      <c r="G362">
        <f ca="1">IFERROR(IF(0=LEN(ReferenceData!$G$362),"",ReferenceData!$G$362),"")</f>
        <v>1.3089999999999999</v>
      </c>
      <c r="H362">
        <f ca="1">IFERROR(IF(0=LEN(ReferenceData!$H$362),"",ReferenceData!$H$362),"")</f>
        <v>1.4810000000000001</v>
      </c>
      <c r="I362">
        <f ca="1">IFERROR(IF(0=LEN(ReferenceData!$I$362),"",ReferenceData!$I$362),"")</f>
        <v>1.468449951</v>
      </c>
      <c r="J362">
        <f ca="1">IFERROR(IF(0=LEN(ReferenceData!$J$362),"",ReferenceData!$J$362),"")</f>
        <v>1.417189941</v>
      </c>
    </row>
    <row r="363" spans="1:10" x14ac:dyDescent="0.25">
      <c r="A363" t="str">
        <f>IFERROR(IF(0=LEN(ReferenceData!$A$363),"",ReferenceData!$A$363),"")</f>
        <v xml:space="preserve">                    Etablissements Franz Colruyt N</v>
      </c>
      <c r="B363" t="str">
        <f>IFERROR(IF(0=LEN(ReferenceData!$B$363),"",ReferenceData!$B$363),"")</f>
        <v>COLR BB Equity</v>
      </c>
      <c r="C363" t="str">
        <f>IFERROR(IF(0=LEN(ReferenceData!$C$363),"",ReferenceData!$C$363),"")</f>
        <v>F0946</v>
      </c>
      <c r="D363" t="str">
        <f>IFERROR(IF(0=LEN(ReferenceData!$D$363),"",ReferenceData!$D$363),"")</f>
        <v>TOTAL_GHG_CO2_EMISSIONS</v>
      </c>
      <c r="E363" t="str">
        <f>IFERROR(IF(0=LEN(ReferenceData!$E$363),"",ReferenceData!$E$363),"")</f>
        <v>Dynamic</v>
      </c>
      <c r="F363" t="str">
        <f ca="1">IFERROR(IF(0=LEN(ReferenceData!$F$363),"",ReferenceData!$F$363),"")</f>
        <v/>
      </c>
      <c r="G363" t="str">
        <f ca="1">IFERROR(IF(0=LEN(ReferenceData!$G$363),"",ReferenceData!$G$363),"")</f>
        <v/>
      </c>
      <c r="H363" t="str">
        <f ca="1">IFERROR(IF(0=LEN(ReferenceData!$H$363),"",ReferenceData!$H$363),"")</f>
        <v/>
      </c>
      <c r="I363" t="str">
        <f ca="1">IFERROR(IF(0=LEN(ReferenceData!$I$363),"",ReferenceData!$I$363),"")</f>
        <v/>
      </c>
      <c r="J363" t="str">
        <f ca="1">IFERROR(IF(0=LEN(ReferenceData!$J$363),"",ReferenceData!$J$363),"")</f>
        <v/>
      </c>
    </row>
    <row r="364" spans="1:10" x14ac:dyDescent="0.25">
      <c r="A364" t="str">
        <f>IFERROR(IF(0=LEN(ReferenceData!$A$364),"",ReferenceData!$A$364),"")</f>
        <v xml:space="preserve">                    Daikokutenbussan Co Ltd</v>
      </c>
      <c r="B364" t="str">
        <f>IFERROR(IF(0=LEN(ReferenceData!$B$364),"",ReferenceData!$B$364),"")</f>
        <v>2791 JP Equity</v>
      </c>
      <c r="C364" t="str">
        <f>IFERROR(IF(0=LEN(ReferenceData!$C$364),"",ReferenceData!$C$364),"")</f>
        <v>F0946</v>
      </c>
      <c r="D364" t="str">
        <f>IFERROR(IF(0=LEN(ReferenceData!$D$364),"",ReferenceData!$D$364),"")</f>
        <v>TOTAL_GHG_CO2_EMISSIONS</v>
      </c>
      <c r="E364" t="str">
        <f>IFERROR(IF(0=LEN(ReferenceData!$E$364),"",ReferenceData!$E$364),"")</f>
        <v>Dynamic</v>
      </c>
      <c r="F364" t="str">
        <f ca="1">IFERROR(IF(0=LEN(ReferenceData!$F$364),"",ReferenceData!$F$364),"")</f>
        <v/>
      </c>
      <c r="G364" t="str">
        <f ca="1">IFERROR(IF(0=LEN(ReferenceData!$G$364),"",ReferenceData!$G$364),"")</f>
        <v/>
      </c>
      <c r="H364" t="str">
        <f ca="1">IFERROR(IF(0=LEN(ReferenceData!$H$364),"",ReferenceData!$H$364),"")</f>
        <v/>
      </c>
      <c r="I364" t="str">
        <f ca="1">IFERROR(IF(0=LEN(ReferenceData!$I$364),"",ReferenceData!$I$364),"")</f>
        <v/>
      </c>
      <c r="J364" t="str">
        <f ca="1">IFERROR(IF(0=LEN(ReferenceData!$J$364),"",ReferenceData!$J$364),"")</f>
        <v/>
      </c>
    </row>
    <row r="365" spans="1:10" x14ac:dyDescent="0.25">
      <c r="A365" t="str">
        <f>IFERROR(IF(0=LEN(ReferenceData!$A$365),"",ReferenceData!$A$365),"")</f>
        <v xml:space="preserve">                    Distribuidora Internacional de</v>
      </c>
      <c r="B365" t="str">
        <f>IFERROR(IF(0=LEN(ReferenceData!$B$365),"",ReferenceData!$B$365),"")</f>
        <v>DIA SM Equity</v>
      </c>
      <c r="C365" t="str">
        <f>IFERROR(IF(0=LEN(ReferenceData!$C$365),"",ReferenceData!$C$365),"")</f>
        <v>F0946</v>
      </c>
      <c r="D365" t="str">
        <f>IFERROR(IF(0=LEN(ReferenceData!$D$365),"",ReferenceData!$D$365),"")</f>
        <v>TOTAL_GHG_CO2_EMISSIONS</v>
      </c>
      <c r="E365" t="str">
        <f>IFERROR(IF(0=LEN(ReferenceData!$E$365),"",ReferenceData!$E$365),"")</f>
        <v>Dynamic</v>
      </c>
      <c r="F365">
        <f ca="1">IFERROR(IF(0=LEN(ReferenceData!$F$365),"",ReferenceData!$F$365),"")</f>
        <v>0.666346985</v>
      </c>
      <c r="G365">
        <f ca="1">IFERROR(IF(0=LEN(ReferenceData!$G$365),"",ReferenceData!$G$365),"")</f>
        <v>0.64875299099999995</v>
      </c>
      <c r="H365">
        <f ca="1">IFERROR(IF(0=LEN(ReferenceData!$H$365),"",ReferenceData!$H$365),"")</f>
        <v>0.620359985</v>
      </c>
      <c r="I365">
        <f ca="1">IFERROR(IF(0=LEN(ReferenceData!$I$365),"",ReferenceData!$I$365),"")</f>
        <v>0.61901001</v>
      </c>
      <c r="J365">
        <f ca="1">IFERROR(IF(0=LEN(ReferenceData!$J$365),"",ReferenceData!$J$365),"")</f>
        <v>0.72283196999999999</v>
      </c>
    </row>
    <row r="366" spans="1:10" x14ac:dyDescent="0.25">
      <c r="A366" t="str">
        <f>IFERROR(IF(0=LEN(ReferenceData!$A$366),"",ReferenceData!$A$366),"")</f>
        <v xml:space="preserve">                    Dollar Tree Inc</v>
      </c>
      <c r="B366" t="str">
        <f>IFERROR(IF(0=LEN(ReferenceData!$B$366),"",ReferenceData!$B$366),"")</f>
        <v>DLTR US Equity</v>
      </c>
      <c r="C366" t="str">
        <f>IFERROR(IF(0=LEN(ReferenceData!$C$366),"",ReferenceData!$C$366),"")</f>
        <v>F0946</v>
      </c>
      <c r="D366" t="str">
        <f>IFERROR(IF(0=LEN(ReferenceData!$D$366),"",ReferenceData!$D$366),"")</f>
        <v>TOTAL_GHG_CO2_EMISSIONS</v>
      </c>
      <c r="E366" t="str">
        <f>IFERROR(IF(0=LEN(ReferenceData!$E$366),"",ReferenceData!$E$366),"")</f>
        <v>Dynamic</v>
      </c>
      <c r="F366" t="str">
        <f ca="1">IFERROR(IF(0=LEN(ReferenceData!$F$366),"",ReferenceData!$F$366),"")</f>
        <v/>
      </c>
      <c r="G366">
        <f ca="1">IFERROR(IF(0=LEN(ReferenceData!$G$366),"",ReferenceData!$G$366),"")</f>
        <v>1.1432299800000001</v>
      </c>
      <c r="H366">
        <f ca="1">IFERROR(IF(0=LEN(ReferenceData!$H$366),"",ReferenceData!$H$366),"")</f>
        <v>1.372630005</v>
      </c>
      <c r="I366" t="str">
        <f ca="1">IFERROR(IF(0=LEN(ReferenceData!$I$366),"",ReferenceData!$I$366),"")</f>
        <v/>
      </c>
      <c r="J366" t="str">
        <f ca="1">IFERROR(IF(0=LEN(ReferenceData!$J$366),"",ReferenceData!$J$366),"")</f>
        <v/>
      </c>
    </row>
    <row r="367" spans="1:10" x14ac:dyDescent="0.25">
      <c r="A367" t="str">
        <f>IFERROR(IF(0=LEN(ReferenceData!$A$367),"",ReferenceData!$A$367),"")</f>
        <v xml:space="preserve">                    Dollarama Inc</v>
      </c>
      <c r="B367" t="str">
        <f>IFERROR(IF(0=LEN(ReferenceData!$B$367),"",ReferenceData!$B$367),"")</f>
        <v>DOL CN Equity</v>
      </c>
      <c r="C367" t="str">
        <f>IFERROR(IF(0=LEN(ReferenceData!$C$367),"",ReferenceData!$C$367),"")</f>
        <v>F0946</v>
      </c>
      <c r="D367" t="str">
        <f>IFERROR(IF(0=LEN(ReferenceData!$D$367),"",ReferenceData!$D$367),"")</f>
        <v>TOTAL_GHG_CO2_EMISSIONS</v>
      </c>
      <c r="E367" t="str">
        <f>IFERROR(IF(0=LEN(ReferenceData!$E$367),"",ReferenceData!$E$367),"")</f>
        <v>Dynamic</v>
      </c>
      <c r="F367">
        <f ca="1">IFERROR(IF(0=LEN(ReferenceData!$F$367),"",ReferenceData!$F$367),"")</f>
        <v>8.5890998999999996E-2</v>
      </c>
      <c r="G367">
        <f ca="1">IFERROR(IF(0=LEN(ReferenceData!$G$367),"",ReferenceData!$G$367),"")</f>
        <v>8.9928000999999994E-2</v>
      </c>
      <c r="H367">
        <f ca="1">IFERROR(IF(0=LEN(ReferenceData!$H$367),"",ReferenceData!$H$367),"")</f>
        <v>8.5585998999999996E-2</v>
      </c>
      <c r="I367">
        <f ca="1">IFERROR(IF(0=LEN(ReferenceData!$I$367),"",ReferenceData!$I$367),"")</f>
        <v>7.7551001999999994E-2</v>
      </c>
      <c r="J367" t="str">
        <f ca="1">IFERROR(IF(0=LEN(ReferenceData!$J$367),"",ReferenceData!$J$367),"")</f>
        <v/>
      </c>
    </row>
    <row r="368" spans="1:10" x14ac:dyDescent="0.25">
      <c r="A368" t="str">
        <f>IFERROR(IF(0=LEN(ReferenceData!$A$368),"",ReferenceData!$A$368),"")</f>
        <v xml:space="preserve">                    DFI Retail Group Holdings Ltd</v>
      </c>
      <c r="B368" t="str">
        <f>IFERROR(IF(0=LEN(ReferenceData!$B$368),"",ReferenceData!$B$368),"")</f>
        <v>DFI SP Equity</v>
      </c>
      <c r="C368" t="str">
        <f>IFERROR(IF(0=LEN(ReferenceData!$C$368),"",ReferenceData!$C$368),"")</f>
        <v>F0946</v>
      </c>
      <c r="D368" t="str">
        <f>IFERROR(IF(0=LEN(ReferenceData!$D$368),"",ReferenceData!$D$368),"")</f>
        <v>TOTAL_GHG_CO2_EMISSIONS</v>
      </c>
      <c r="E368" t="str">
        <f>IFERROR(IF(0=LEN(ReferenceData!$E$368),"",ReferenceData!$E$368),"")</f>
        <v>Dynamic</v>
      </c>
      <c r="F368">
        <f ca="1">IFERROR(IF(0=LEN(ReferenceData!$F$368),"",ReferenceData!$F$368),"")</f>
        <v>0.77700000000000002</v>
      </c>
      <c r="G368">
        <f ca="1">IFERROR(IF(0=LEN(ReferenceData!$G$368),"",ReferenceData!$G$368),"")</f>
        <v>0.86499999999999999</v>
      </c>
      <c r="H368" t="str">
        <f ca="1">IFERROR(IF(0=LEN(ReferenceData!$H$368),"",ReferenceData!$H$368),"")</f>
        <v/>
      </c>
      <c r="I368" t="str">
        <f ca="1">IFERROR(IF(0=LEN(ReferenceData!$I$368),"",ReferenceData!$I$368),"")</f>
        <v/>
      </c>
      <c r="J368" t="str">
        <f ca="1">IFERROR(IF(0=LEN(ReferenceData!$J$368),"",ReferenceData!$J$368),"")</f>
        <v/>
      </c>
    </row>
    <row r="369" spans="1:10" x14ac:dyDescent="0.25">
      <c r="A369" t="str">
        <f>IFERROR(IF(0=LEN(ReferenceData!$A$369),"",ReferenceData!$A$369),"")</f>
        <v xml:space="preserve">                    Dino Polska SA</v>
      </c>
      <c r="B369" t="str">
        <f>IFERROR(IF(0=LEN(ReferenceData!$B$369),"",ReferenceData!$B$369),"")</f>
        <v>DNP PW Equity</v>
      </c>
      <c r="C369" t="str">
        <f>IFERROR(IF(0=LEN(ReferenceData!$C$369),"",ReferenceData!$C$369),"")</f>
        <v>F0946</v>
      </c>
      <c r="D369" t="str">
        <f>IFERROR(IF(0=LEN(ReferenceData!$D$369),"",ReferenceData!$D$369),"")</f>
        <v>TOTAL_GHG_CO2_EMISSIONS</v>
      </c>
      <c r="E369" t="str">
        <f>IFERROR(IF(0=LEN(ReferenceData!$E$369),"",ReferenceData!$E$369),"")</f>
        <v>Dynamic</v>
      </c>
      <c r="F369">
        <f ca="1">IFERROR(IF(0=LEN(ReferenceData!$F$369),"",ReferenceData!$F$369),"")</f>
        <v>0.244337997</v>
      </c>
      <c r="G369">
        <f ca="1">IFERROR(IF(0=LEN(ReferenceData!$G$369),"",ReferenceData!$G$369),"")</f>
        <v>0.25692898600000003</v>
      </c>
      <c r="H369" t="str">
        <f ca="1">IFERROR(IF(0=LEN(ReferenceData!$H$369),"",ReferenceData!$H$369),"")</f>
        <v/>
      </c>
      <c r="I369" t="str">
        <f ca="1">IFERROR(IF(0=LEN(ReferenceData!$I$369),"",ReferenceData!$I$369),"")</f>
        <v/>
      </c>
      <c r="J369" t="str">
        <f ca="1">IFERROR(IF(0=LEN(ReferenceData!$J$369),"",ReferenceData!$J$369),"")</f>
        <v/>
      </c>
    </row>
    <row r="370" spans="1:10" x14ac:dyDescent="0.25">
      <c r="A370" t="str">
        <f>IFERROR(IF(0=LEN(ReferenceData!$A$370),"",ReferenceData!$A$370),"")</f>
        <v xml:space="preserve">                    Dollar General Corp</v>
      </c>
      <c r="B370" t="str">
        <f>IFERROR(IF(0=LEN(ReferenceData!$B$370),"",ReferenceData!$B$370),"")</f>
        <v>DG US Equity</v>
      </c>
      <c r="C370" t="str">
        <f>IFERROR(IF(0=LEN(ReferenceData!$C$370),"",ReferenceData!$C$370),"")</f>
        <v>F0946</v>
      </c>
      <c r="D370" t="str">
        <f>IFERROR(IF(0=LEN(ReferenceData!$D$370),"",ReferenceData!$D$370),"")</f>
        <v>TOTAL_GHG_CO2_EMISSIONS</v>
      </c>
      <c r="E370" t="str">
        <f>IFERROR(IF(0=LEN(ReferenceData!$E$370),"",ReferenceData!$E$370),"")</f>
        <v>Dynamic</v>
      </c>
      <c r="F370" t="str">
        <f ca="1">IFERROR(IF(0=LEN(ReferenceData!$F$370),"",ReferenceData!$F$370),"")</f>
        <v/>
      </c>
      <c r="G370">
        <f ca="1">IFERROR(IF(0=LEN(ReferenceData!$G$370),"",ReferenceData!$G$370),"")</f>
        <v>1.7677900390000001</v>
      </c>
      <c r="H370">
        <f ca="1">IFERROR(IF(0=LEN(ReferenceData!$H$370),"",ReferenceData!$H$370),"")</f>
        <v>1.6230300289999999</v>
      </c>
      <c r="I370">
        <f ca="1">IFERROR(IF(0=LEN(ReferenceData!$I$370),"",ReferenceData!$I$370),"")</f>
        <v>1.4622700200000001</v>
      </c>
      <c r="J370" t="str">
        <f ca="1">IFERROR(IF(0=LEN(ReferenceData!$J$370),"",ReferenceData!$J$370),"")</f>
        <v/>
      </c>
    </row>
    <row r="371" spans="1:10" x14ac:dyDescent="0.25">
      <c r="A371" t="str">
        <f>IFERROR(IF(0=LEN(ReferenceData!$A$371),"",ReferenceData!$A$371),"")</f>
        <v xml:space="preserve">                    E-MART Inc</v>
      </c>
      <c r="B371" t="str">
        <f>IFERROR(IF(0=LEN(ReferenceData!$B$371),"",ReferenceData!$B$371),"")</f>
        <v>139480 KS Equity</v>
      </c>
      <c r="C371" t="str">
        <f>IFERROR(IF(0=LEN(ReferenceData!$C$371),"",ReferenceData!$C$371),"")</f>
        <v>F0946</v>
      </c>
      <c r="D371" t="str">
        <f>IFERROR(IF(0=LEN(ReferenceData!$D$371),"",ReferenceData!$D$371),"")</f>
        <v>TOTAL_GHG_CO2_EMISSIONS</v>
      </c>
      <c r="E371" t="str">
        <f>IFERROR(IF(0=LEN(ReferenceData!$E$371),"",ReferenceData!$E$371),"")</f>
        <v>Dynamic</v>
      </c>
      <c r="F371" t="str">
        <f ca="1">IFERROR(IF(0=LEN(ReferenceData!$F$371),"",ReferenceData!$F$371),"")</f>
        <v/>
      </c>
      <c r="G371" t="str">
        <f ca="1">IFERROR(IF(0=LEN(ReferenceData!$G$371),"",ReferenceData!$G$371),"")</f>
        <v/>
      </c>
      <c r="H371" t="str">
        <f ca="1">IFERROR(IF(0=LEN(ReferenceData!$H$371),"",ReferenceData!$H$371),"")</f>
        <v/>
      </c>
      <c r="I371" t="str">
        <f ca="1">IFERROR(IF(0=LEN(ReferenceData!$I$371),"",ReferenceData!$I$371),"")</f>
        <v/>
      </c>
      <c r="J371" t="str">
        <f ca="1">IFERROR(IF(0=LEN(ReferenceData!$J$371),"",ReferenceData!$J$371),"")</f>
        <v/>
      </c>
    </row>
    <row r="372" spans="1:10" x14ac:dyDescent="0.25">
      <c r="A372" t="str">
        <f>IFERROR(IF(0=LEN(ReferenceData!$A$372),"",ReferenceData!$A$372),"")</f>
        <v xml:space="preserve">                    EDEKA ZENTRALE Stiftung &amp; Co K</v>
      </c>
      <c r="B372" t="str">
        <f>IFERROR(IF(0=LEN(ReferenceData!$B$372),"",ReferenceData!$B$372),"")</f>
        <v>EDEK GR Equity</v>
      </c>
      <c r="C372" t="str">
        <f>IFERROR(IF(0=LEN(ReferenceData!$C$372),"",ReferenceData!$C$372),"")</f>
        <v>F0946</v>
      </c>
      <c r="D372" t="str">
        <f>IFERROR(IF(0=LEN(ReferenceData!$D$372),"",ReferenceData!$D$372),"")</f>
        <v>TOTAL_GHG_CO2_EMISSIONS</v>
      </c>
      <c r="E372" t="str">
        <f>IFERROR(IF(0=LEN(ReferenceData!$E$372),"",ReferenceData!$E$372),"")</f>
        <v>Dynamic</v>
      </c>
      <c r="F372" t="str">
        <f ca="1">IFERROR(IF(0=LEN(ReferenceData!$F$372),"",ReferenceData!$F$372),"")</f>
        <v/>
      </c>
      <c r="G372" t="str">
        <f ca="1">IFERROR(IF(0=LEN(ReferenceData!$G$372),"",ReferenceData!$G$372),"")</f>
        <v/>
      </c>
      <c r="H372" t="str">
        <f ca="1">IFERROR(IF(0=LEN(ReferenceData!$H$372),"",ReferenceData!$H$372),"")</f>
        <v/>
      </c>
      <c r="I372" t="str">
        <f ca="1">IFERROR(IF(0=LEN(ReferenceData!$I$372),"",ReferenceData!$I$372),"")</f>
        <v/>
      </c>
      <c r="J372" t="str">
        <f ca="1">IFERROR(IF(0=LEN(ReferenceData!$J$372),"",ReferenceData!$J$372),"")</f>
        <v/>
      </c>
    </row>
    <row r="373" spans="1:10" x14ac:dyDescent="0.25">
      <c r="A373" t="str">
        <f>IFERROR(IF(0=LEN(ReferenceData!$A$373),"",ReferenceData!$A$373),"")</f>
        <v xml:space="preserve">                    El Corte Ingles SA</v>
      </c>
      <c r="B373" t="str">
        <f>IFERROR(IF(0=LEN(ReferenceData!$B$373),"",ReferenceData!$B$373),"")</f>
        <v>1082Z SM Equity</v>
      </c>
      <c r="C373" t="str">
        <f>IFERROR(IF(0=LEN(ReferenceData!$C$373),"",ReferenceData!$C$373),"")</f>
        <v>F0946</v>
      </c>
      <c r="D373" t="str">
        <f>IFERROR(IF(0=LEN(ReferenceData!$D$373),"",ReferenceData!$D$373),"")</f>
        <v>TOTAL_GHG_CO2_EMISSIONS</v>
      </c>
      <c r="E373" t="str">
        <f>IFERROR(IF(0=LEN(ReferenceData!$E$373),"",ReferenceData!$E$373),"")</f>
        <v>Dynamic</v>
      </c>
      <c r="F373" t="str">
        <f ca="1">IFERROR(IF(0=LEN(ReferenceData!$F$373),"",ReferenceData!$F$373),"")</f>
        <v/>
      </c>
      <c r="G373" t="str">
        <f ca="1">IFERROR(IF(0=LEN(ReferenceData!$G$373),"",ReferenceData!$G$373),"")</f>
        <v/>
      </c>
      <c r="H373" t="str">
        <f ca="1">IFERROR(IF(0=LEN(ReferenceData!$H$373),"",ReferenceData!$H$373),"")</f>
        <v/>
      </c>
      <c r="I373" t="str">
        <f ca="1">IFERROR(IF(0=LEN(ReferenceData!$I$373),"",ReferenceData!$I$373),"")</f>
        <v/>
      </c>
      <c r="J373" t="str">
        <f ca="1">IFERROR(IF(0=LEN(ReferenceData!$J$373),"",ReferenceData!$J$373),"")</f>
        <v/>
      </c>
    </row>
    <row r="374" spans="1:10" x14ac:dyDescent="0.25">
      <c r="A374" t="str">
        <f>IFERROR(IF(0=LEN(ReferenceData!$A$374),"",ReferenceData!$A$374),"")</f>
        <v xml:space="preserve">                    Eroski S Coop</v>
      </c>
      <c r="B374" t="str">
        <f>IFERROR(IF(0=LEN(ReferenceData!$B$374),"",ReferenceData!$B$374),"")</f>
        <v>1855Z SM Equity</v>
      </c>
      <c r="C374" t="str">
        <f>IFERROR(IF(0=LEN(ReferenceData!$C$374),"",ReferenceData!$C$374),"")</f>
        <v>F0946</v>
      </c>
      <c r="D374" t="str">
        <f>IFERROR(IF(0=LEN(ReferenceData!$D$374),"",ReferenceData!$D$374),"")</f>
        <v>TOTAL_GHG_CO2_EMISSIONS</v>
      </c>
      <c r="E374" t="str">
        <f>IFERROR(IF(0=LEN(ReferenceData!$E$374),"",ReferenceData!$E$374),"")</f>
        <v>Dynamic</v>
      </c>
      <c r="F374" t="str">
        <f ca="1">IFERROR(IF(0=LEN(ReferenceData!$F$374),"",ReferenceData!$F$374),"")</f>
        <v/>
      </c>
      <c r="G374" t="str">
        <f ca="1">IFERROR(IF(0=LEN(ReferenceData!$G$374),"",ReferenceData!$G$374),"")</f>
        <v/>
      </c>
      <c r="H374" t="str">
        <f ca="1">IFERROR(IF(0=LEN(ReferenceData!$H$374),"",ReferenceData!$H$374),"")</f>
        <v/>
      </c>
      <c r="I374" t="str">
        <f ca="1">IFERROR(IF(0=LEN(ReferenceData!$I$374),"",ReferenceData!$I$374),"")</f>
        <v/>
      </c>
      <c r="J374" t="str">
        <f ca="1">IFERROR(IF(0=LEN(ReferenceData!$J$374),"",ReferenceData!$J$374),"")</f>
        <v/>
      </c>
    </row>
    <row r="375" spans="1:10" x14ac:dyDescent="0.25">
      <c r="A375" t="str">
        <f>IFERROR(IF(0=LEN(ReferenceData!$A$375),"",ReferenceData!$A$375),"")</f>
        <v xml:space="preserve">                    Eurocash SA</v>
      </c>
      <c r="B375" t="str">
        <f>IFERROR(IF(0=LEN(ReferenceData!$B$375),"",ReferenceData!$B$375),"")</f>
        <v>EUR PW Equity</v>
      </c>
      <c r="C375" t="str">
        <f>IFERROR(IF(0=LEN(ReferenceData!$C$375),"",ReferenceData!$C$375),"")</f>
        <v>F0946</v>
      </c>
      <c r="D375" t="str">
        <f>IFERROR(IF(0=LEN(ReferenceData!$D$375),"",ReferenceData!$D$375),"")</f>
        <v>TOTAL_GHG_CO2_EMISSIONS</v>
      </c>
      <c r="E375" t="str">
        <f>IFERROR(IF(0=LEN(ReferenceData!$E$375),"",ReferenceData!$E$375),"")</f>
        <v>Dynamic</v>
      </c>
      <c r="F375" t="str">
        <f ca="1">IFERROR(IF(0=LEN(ReferenceData!$F$375),"",ReferenceData!$F$375),"")</f>
        <v/>
      </c>
      <c r="G375">
        <f ca="1">IFERROR(IF(0=LEN(ReferenceData!$G$375),"",ReferenceData!$G$375),"")</f>
        <v>0.142429001</v>
      </c>
      <c r="H375">
        <f ca="1">IFERROR(IF(0=LEN(ReferenceData!$H$375),"",ReferenceData!$H$375),"")</f>
        <v>0.16709300199999999</v>
      </c>
      <c r="I375">
        <f ca="1">IFERROR(IF(0=LEN(ReferenceData!$I$375),"",ReferenceData!$I$375),"")</f>
        <v>7.3041099999999998E-2</v>
      </c>
      <c r="J375">
        <f ca="1">IFERROR(IF(0=LEN(ReferenceData!$J$375),"",ReferenceData!$J$375),"")</f>
        <v>7.0944701999999998E-2</v>
      </c>
    </row>
    <row r="376" spans="1:10" x14ac:dyDescent="0.25">
      <c r="A376" t="str">
        <f>IFERROR(IF(0=LEN(ReferenceData!$A$376),"",ReferenceData!$A$376),"")</f>
        <v xml:space="preserve">                    Empire Co Ltd</v>
      </c>
      <c r="B376" t="str">
        <f>IFERROR(IF(0=LEN(ReferenceData!$B$376),"",ReferenceData!$B$376),"")</f>
        <v>EMP/A CN Equity</v>
      </c>
      <c r="C376" t="str">
        <f>IFERROR(IF(0=LEN(ReferenceData!$C$376),"",ReferenceData!$C$376),"")</f>
        <v>F0946</v>
      </c>
      <c r="D376" t="str">
        <f>IFERROR(IF(0=LEN(ReferenceData!$D$376),"",ReferenceData!$D$376),"")</f>
        <v>TOTAL_GHG_CO2_EMISSIONS</v>
      </c>
      <c r="E376" t="str">
        <f>IFERROR(IF(0=LEN(ReferenceData!$E$376),"",ReferenceData!$E$376),"")</f>
        <v>Dynamic</v>
      </c>
      <c r="F376" t="str">
        <f ca="1">IFERROR(IF(0=LEN(ReferenceData!$F$376),"",ReferenceData!$F$376),"")</f>
        <v/>
      </c>
      <c r="G376" t="str">
        <f ca="1">IFERROR(IF(0=LEN(ReferenceData!$G$376),"",ReferenceData!$G$376),"")</f>
        <v/>
      </c>
      <c r="H376">
        <f ca="1">IFERROR(IF(0=LEN(ReferenceData!$H$376),"",ReferenceData!$H$376),"")</f>
        <v>0.67431799299999995</v>
      </c>
      <c r="I376" t="str">
        <f ca="1">IFERROR(IF(0=LEN(ReferenceData!$I$376),"",ReferenceData!$I$376),"")</f>
        <v/>
      </c>
      <c r="J376" t="str">
        <f ca="1">IFERROR(IF(0=LEN(ReferenceData!$J$376),"",ReferenceData!$J$376),"")</f>
        <v/>
      </c>
    </row>
    <row r="377" spans="1:10" x14ac:dyDescent="0.25">
      <c r="A377" t="str">
        <f>IFERROR(IF(0=LEN(ReferenceData!$A$377),"",ReferenceData!$A$377),"")</f>
        <v xml:space="preserve">                    Future Enterprises Ltd</v>
      </c>
      <c r="B377" t="str">
        <f>IFERROR(IF(0=LEN(ReferenceData!$B$377),"",ReferenceData!$B$377),"")</f>
        <v>FEL IN Equity</v>
      </c>
      <c r="C377" t="str">
        <f>IFERROR(IF(0=LEN(ReferenceData!$C$377),"",ReferenceData!$C$377),"")</f>
        <v>F0946</v>
      </c>
      <c r="D377" t="str">
        <f>IFERROR(IF(0=LEN(ReferenceData!$D$377),"",ReferenceData!$D$377),"")</f>
        <v>TOTAL_GHG_CO2_EMISSIONS</v>
      </c>
      <c r="E377" t="str">
        <f>IFERROR(IF(0=LEN(ReferenceData!$E$377),"",ReferenceData!$E$377),"")</f>
        <v>Dynamic</v>
      </c>
      <c r="F377" t="str">
        <f ca="1">IFERROR(IF(0=LEN(ReferenceData!$F$377),"",ReferenceData!$F$377),"")</f>
        <v/>
      </c>
      <c r="G377" t="str">
        <f ca="1">IFERROR(IF(0=LEN(ReferenceData!$G$377),"",ReferenceData!$G$377),"")</f>
        <v/>
      </c>
      <c r="H377" t="str">
        <f ca="1">IFERROR(IF(0=LEN(ReferenceData!$H$377),"",ReferenceData!$H$377),"")</f>
        <v/>
      </c>
      <c r="I377" t="str">
        <f ca="1">IFERROR(IF(0=LEN(ReferenceData!$I$377),"",ReferenceData!$I$377),"")</f>
        <v/>
      </c>
      <c r="J377" t="str">
        <f ca="1">IFERROR(IF(0=LEN(ReferenceData!$J$377),"",ReferenceData!$J$377),"")</f>
        <v/>
      </c>
    </row>
    <row r="378" spans="1:10" x14ac:dyDescent="0.25">
      <c r="A378" t="str">
        <f>IFERROR(IF(0=LEN(ReferenceData!$A$378),"",ReferenceData!$A$378),"")</f>
        <v xml:space="preserve">                    Fuji Co Ltd/Ehime</v>
      </c>
      <c r="B378" t="str">
        <f>IFERROR(IF(0=LEN(ReferenceData!$B$378),"",ReferenceData!$B$378),"")</f>
        <v>8278 JP Equity</v>
      </c>
      <c r="C378" t="str">
        <f>IFERROR(IF(0=LEN(ReferenceData!$C$378),"",ReferenceData!$C$378),"")</f>
        <v>F0946</v>
      </c>
      <c r="D378" t="str">
        <f>IFERROR(IF(0=LEN(ReferenceData!$D$378),"",ReferenceData!$D$378),"")</f>
        <v>TOTAL_GHG_CO2_EMISSIONS</v>
      </c>
      <c r="E378" t="str">
        <f>IFERROR(IF(0=LEN(ReferenceData!$E$378),"",ReferenceData!$E$378),"")</f>
        <v>Dynamic</v>
      </c>
      <c r="F378" t="str">
        <f ca="1">IFERROR(IF(0=LEN(ReferenceData!$F$378),"",ReferenceData!$F$378),"")</f>
        <v/>
      </c>
      <c r="G378" t="str">
        <f ca="1">IFERROR(IF(0=LEN(ReferenceData!$G$378),"",ReferenceData!$G$378),"")</f>
        <v/>
      </c>
      <c r="H378" t="str">
        <f ca="1">IFERROR(IF(0=LEN(ReferenceData!$H$378),"",ReferenceData!$H$378),"")</f>
        <v/>
      </c>
      <c r="I378" t="str">
        <f ca="1">IFERROR(IF(0=LEN(ReferenceData!$I$378),"",ReferenceData!$I$378),"")</f>
        <v/>
      </c>
      <c r="J378" t="str">
        <f ca="1">IFERROR(IF(0=LEN(ReferenceData!$J$378),"",ReferenceData!$J$378),"")</f>
        <v/>
      </c>
    </row>
    <row r="379" spans="1:10" x14ac:dyDescent="0.25">
      <c r="A379" t="str">
        <f>IFERROR(IF(0=LEN(ReferenceData!$A$379),"",ReferenceData!$A$379),"")</f>
        <v xml:space="preserve">                    GS Retail Co Ltd</v>
      </c>
      <c r="B379" t="str">
        <f>IFERROR(IF(0=LEN(ReferenceData!$B$379),"",ReferenceData!$B$379),"")</f>
        <v>007070 KS Equity</v>
      </c>
      <c r="C379" t="str">
        <f>IFERROR(IF(0=LEN(ReferenceData!$C$379),"",ReferenceData!$C$379),"")</f>
        <v>F0946</v>
      </c>
      <c r="D379" t="str">
        <f>IFERROR(IF(0=LEN(ReferenceData!$D$379),"",ReferenceData!$D$379),"")</f>
        <v>TOTAL_GHG_CO2_EMISSIONS</v>
      </c>
      <c r="E379" t="str">
        <f>IFERROR(IF(0=LEN(ReferenceData!$E$379),"",ReferenceData!$E$379),"")</f>
        <v>Dynamic</v>
      </c>
      <c r="F379" t="str">
        <f ca="1">IFERROR(IF(0=LEN(ReferenceData!$F$379),"",ReferenceData!$F$379),"")</f>
        <v/>
      </c>
      <c r="G379">
        <f ca="1">IFERROR(IF(0=LEN(ReferenceData!$G$379),"",ReferenceData!$G$379),"")</f>
        <v>0.12158100099999999</v>
      </c>
      <c r="H379">
        <f ca="1">IFERROR(IF(0=LEN(ReferenceData!$H$379),"",ReferenceData!$H$379),"")</f>
        <v>0.11557199899999999</v>
      </c>
      <c r="I379">
        <f ca="1">IFERROR(IF(0=LEN(ReferenceData!$I$379),"",ReferenceData!$I$379),"")</f>
        <v>0.121614998</v>
      </c>
      <c r="J379" t="str">
        <f ca="1">IFERROR(IF(0=LEN(ReferenceData!$J$379),"",ReferenceData!$J$379),"")</f>
        <v/>
      </c>
    </row>
    <row r="380" spans="1:10" x14ac:dyDescent="0.25">
      <c r="A380" t="str">
        <f>IFERROR(IF(0=LEN(ReferenceData!$A$380),"",ReferenceData!$A$380),"")</f>
        <v xml:space="preserve">                    Giant Eagle Inc</v>
      </c>
      <c r="B380" t="str">
        <f>IFERROR(IF(0=LEN(ReferenceData!$B$380),"",ReferenceData!$B$380),"")</f>
        <v>275512Z US Equity</v>
      </c>
      <c r="C380" t="str">
        <f>IFERROR(IF(0=LEN(ReferenceData!$C$380),"",ReferenceData!$C$380),"")</f>
        <v>F0946</v>
      </c>
      <c r="D380" t="str">
        <f>IFERROR(IF(0=LEN(ReferenceData!$D$380),"",ReferenceData!$D$380),"")</f>
        <v>TOTAL_GHG_CO2_EMISSIONS</v>
      </c>
      <c r="E380" t="str">
        <f>IFERROR(IF(0=LEN(ReferenceData!$E$380),"",ReferenceData!$E$380),"")</f>
        <v>Dynamic</v>
      </c>
      <c r="F380" t="str">
        <f ca="1">IFERROR(IF(0=LEN(ReferenceData!$F$380),"",ReferenceData!$F$380),"")</f>
        <v/>
      </c>
      <c r="G380" t="str">
        <f ca="1">IFERROR(IF(0=LEN(ReferenceData!$G$380),"",ReferenceData!$G$380),"")</f>
        <v/>
      </c>
      <c r="H380" t="str">
        <f ca="1">IFERROR(IF(0=LEN(ReferenceData!$H$380),"",ReferenceData!$H$380),"")</f>
        <v/>
      </c>
      <c r="I380" t="str">
        <f ca="1">IFERROR(IF(0=LEN(ReferenceData!$I$380),"",ReferenceData!$I$380),"")</f>
        <v/>
      </c>
      <c r="J380" t="str">
        <f ca="1">IFERROR(IF(0=LEN(ReferenceData!$J$380),"",ReferenceData!$J$380),"")</f>
        <v/>
      </c>
    </row>
    <row r="381" spans="1:10" x14ac:dyDescent="0.25">
      <c r="A381" t="str">
        <f>IFERROR(IF(0=LEN(ReferenceData!$A$381),"",ReferenceData!$A$381),"")</f>
        <v xml:space="preserve">                    Greggs PLC</v>
      </c>
      <c r="B381" t="str">
        <f>IFERROR(IF(0=LEN(ReferenceData!$B$381),"",ReferenceData!$B$381),"")</f>
        <v>GRG LN Equity</v>
      </c>
      <c r="C381" t="str">
        <f>IFERROR(IF(0=LEN(ReferenceData!$C$381),"",ReferenceData!$C$381),"")</f>
        <v>F0946</v>
      </c>
      <c r="D381" t="str">
        <f>IFERROR(IF(0=LEN(ReferenceData!$D$381),"",ReferenceData!$D$381),"")</f>
        <v>TOTAL_GHG_CO2_EMISSIONS</v>
      </c>
      <c r="E381" t="str">
        <f>IFERROR(IF(0=LEN(ReferenceData!$E$381),"",ReferenceData!$E$381),"")</f>
        <v>Dynamic</v>
      </c>
      <c r="F381">
        <f ca="1">IFERROR(IF(0=LEN(ReferenceData!$F$381),"",ReferenceData!$F$381),"")</f>
        <v>8.7527999999999995E-2</v>
      </c>
      <c r="G381">
        <f ca="1">IFERROR(IF(0=LEN(ReferenceData!$G$381),"",ReferenceData!$G$381),"")</f>
        <v>8.2282996999999997E-2</v>
      </c>
      <c r="H381">
        <f ca="1">IFERROR(IF(0=LEN(ReferenceData!$H$381),"",ReferenceData!$H$381),"")</f>
        <v>6.7513000000000004E-2</v>
      </c>
      <c r="I381">
        <f ca="1">IFERROR(IF(0=LEN(ReferenceData!$I$381),"",ReferenceData!$I$381),"")</f>
        <v>9.5961998000000007E-2</v>
      </c>
      <c r="J381">
        <f ca="1">IFERROR(IF(0=LEN(ReferenceData!$J$381),"",ReferenceData!$J$381),"")</f>
        <v>0.101464996</v>
      </c>
    </row>
    <row r="382" spans="1:10" x14ac:dyDescent="0.25">
      <c r="A382" t="str">
        <f>IFERROR(IF(0=LEN(ReferenceData!$A$382),"",ReferenceData!$A$382),"")</f>
        <v xml:space="preserve">                    Grupo Mateus SA</v>
      </c>
      <c r="B382" t="str">
        <f>IFERROR(IF(0=LEN(ReferenceData!$B$382),"",ReferenceData!$B$382),"")</f>
        <v>GMAT3 BZ Equity</v>
      </c>
      <c r="C382" t="str">
        <f>IFERROR(IF(0=LEN(ReferenceData!$C$382),"",ReferenceData!$C$382),"")</f>
        <v>F0946</v>
      </c>
      <c r="D382" t="str">
        <f>IFERROR(IF(0=LEN(ReferenceData!$D$382),"",ReferenceData!$D$382),"")</f>
        <v>TOTAL_GHG_CO2_EMISSIONS</v>
      </c>
      <c r="E382" t="str">
        <f>IFERROR(IF(0=LEN(ReferenceData!$E$382),"",ReferenceData!$E$382),"")</f>
        <v>Dynamic</v>
      </c>
      <c r="F382" t="str">
        <f ca="1">IFERROR(IF(0=LEN(ReferenceData!$F$382),"",ReferenceData!$F$382),"")</f>
        <v/>
      </c>
      <c r="G382" t="str">
        <f ca="1">IFERROR(IF(0=LEN(ReferenceData!$G$382),"",ReferenceData!$G$382),"")</f>
        <v/>
      </c>
      <c r="H382" t="str">
        <f ca="1">IFERROR(IF(0=LEN(ReferenceData!$H$382),"",ReferenceData!$H$382),"")</f>
        <v/>
      </c>
      <c r="I382" t="str">
        <f ca="1">IFERROR(IF(0=LEN(ReferenceData!$I$382),"",ReferenceData!$I$382),"")</f>
        <v/>
      </c>
      <c r="J382" t="str">
        <f ca="1">IFERROR(IF(0=LEN(ReferenceData!$J$382),"",ReferenceData!$J$382),"")</f>
        <v/>
      </c>
    </row>
    <row r="383" spans="1:10" x14ac:dyDescent="0.25">
      <c r="A383" t="str">
        <f>IFERROR(IF(0=LEN(ReferenceData!$A$383),"",ReferenceData!$A$383),"")</f>
        <v xml:space="preserve">                    H E Butt Grocery Co</v>
      </c>
      <c r="B383" t="str">
        <f>IFERROR(IF(0=LEN(ReferenceData!$B$383),"",ReferenceData!$B$383),"")</f>
        <v>9786238Z US Equity</v>
      </c>
      <c r="C383" t="str">
        <f>IFERROR(IF(0=LEN(ReferenceData!$C$383),"",ReferenceData!$C$383),"")</f>
        <v>F0946</v>
      </c>
      <c r="D383" t="str">
        <f>IFERROR(IF(0=LEN(ReferenceData!$D$383),"",ReferenceData!$D$383),"")</f>
        <v>TOTAL_GHG_CO2_EMISSIONS</v>
      </c>
      <c r="E383" t="str">
        <f>IFERROR(IF(0=LEN(ReferenceData!$E$383),"",ReferenceData!$E$383),"")</f>
        <v>Dynamic</v>
      </c>
      <c r="F383" t="str">
        <f ca="1">IFERROR(IF(0=LEN(ReferenceData!$F$383),"",ReferenceData!$F$383),"")</f>
        <v/>
      </c>
      <c r="G383" t="str">
        <f ca="1">IFERROR(IF(0=LEN(ReferenceData!$G$383),"",ReferenceData!$G$383),"")</f>
        <v/>
      </c>
      <c r="H383" t="str">
        <f ca="1">IFERROR(IF(0=LEN(ReferenceData!$H$383),"",ReferenceData!$H$383),"")</f>
        <v/>
      </c>
      <c r="I383" t="str">
        <f ca="1">IFERROR(IF(0=LEN(ReferenceData!$I$383),"",ReferenceData!$I$383),"")</f>
        <v/>
      </c>
      <c r="J383" t="str">
        <f ca="1">IFERROR(IF(0=LEN(ReferenceData!$J$383),"",ReferenceData!$J$383),"")</f>
        <v/>
      </c>
    </row>
    <row r="384" spans="1:10" x14ac:dyDescent="0.25">
      <c r="A384" t="str">
        <f>IFERROR(IF(0=LEN(ReferenceData!$A$384),"",ReferenceData!$A$384),"")</f>
        <v xml:space="preserve">                    H2O Retailing Corp</v>
      </c>
      <c r="B384" t="str">
        <f>IFERROR(IF(0=LEN(ReferenceData!$B$384),"",ReferenceData!$B$384),"")</f>
        <v>8242 JP Equity</v>
      </c>
      <c r="C384" t="str">
        <f>IFERROR(IF(0=LEN(ReferenceData!$C$384),"",ReferenceData!$C$384),"")</f>
        <v>F0946</v>
      </c>
      <c r="D384" t="str">
        <f>IFERROR(IF(0=LEN(ReferenceData!$D$384),"",ReferenceData!$D$384),"")</f>
        <v>TOTAL_GHG_CO2_EMISSIONS</v>
      </c>
      <c r="E384" t="str">
        <f>IFERROR(IF(0=LEN(ReferenceData!$E$384),"",ReferenceData!$E$384),"")</f>
        <v>Dynamic</v>
      </c>
      <c r="F384" t="str">
        <f ca="1">IFERROR(IF(0=LEN(ReferenceData!$F$384),"",ReferenceData!$F$384),"")</f>
        <v/>
      </c>
      <c r="G384">
        <f ca="1">IFERROR(IF(0=LEN(ReferenceData!$G$384),"",ReferenceData!$G$384),"")</f>
        <v>0.215</v>
      </c>
      <c r="H384">
        <f ca="1">IFERROR(IF(0=LEN(ReferenceData!$H$384),"",ReferenceData!$H$384),"")</f>
        <v>0.213218994</v>
      </c>
      <c r="I384">
        <f ca="1">IFERROR(IF(0=LEN(ReferenceData!$I$384),"",ReferenceData!$I$384),"")</f>
        <v>0.19162300099999999</v>
      </c>
      <c r="J384">
        <f ca="1">IFERROR(IF(0=LEN(ReferenceData!$J$384),"",ReferenceData!$J$384),"")</f>
        <v>0.19763600200000001</v>
      </c>
    </row>
    <row r="385" spans="1:10" x14ac:dyDescent="0.25">
      <c r="A385" t="str">
        <f>IFERROR(IF(0=LEN(ReferenceData!$A$385),"",ReferenceData!$A$385),"")</f>
        <v xml:space="preserve">                    HOK-Elanto Liiketoiminta Oy</v>
      </c>
      <c r="B385" t="str">
        <f>IFERROR(IF(0=LEN(ReferenceData!$B$385),"",ReferenceData!$B$385),"")</f>
        <v>6795917Z FH Equity</v>
      </c>
      <c r="C385" t="str">
        <f>IFERROR(IF(0=LEN(ReferenceData!$C$385),"",ReferenceData!$C$385),"")</f>
        <v>F0946</v>
      </c>
      <c r="D385" t="str">
        <f>IFERROR(IF(0=LEN(ReferenceData!$D$385),"",ReferenceData!$D$385),"")</f>
        <v>TOTAL_GHG_CO2_EMISSIONS</v>
      </c>
      <c r="E385" t="str">
        <f>IFERROR(IF(0=LEN(ReferenceData!$E$385),"",ReferenceData!$E$385),"")</f>
        <v>Dynamic</v>
      </c>
      <c r="F385" t="str">
        <f ca="1">IFERROR(IF(0=LEN(ReferenceData!$F$385),"",ReferenceData!$F$385),"")</f>
        <v/>
      </c>
      <c r="G385" t="str">
        <f ca="1">IFERROR(IF(0=LEN(ReferenceData!$G$385),"",ReferenceData!$G$385),"")</f>
        <v/>
      </c>
      <c r="H385" t="str">
        <f ca="1">IFERROR(IF(0=LEN(ReferenceData!$H$385),"",ReferenceData!$H$385),"")</f>
        <v/>
      </c>
      <c r="I385" t="str">
        <f ca="1">IFERROR(IF(0=LEN(ReferenceData!$I$385),"",ReferenceData!$I$385),"")</f>
        <v/>
      </c>
      <c r="J385" t="str">
        <f ca="1">IFERROR(IF(0=LEN(ReferenceData!$J$385),"",ReferenceData!$J$385),"")</f>
        <v/>
      </c>
    </row>
    <row r="386" spans="1:10" x14ac:dyDescent="0.25">
      <c r="A386" t="str">
        <f>IFERROR(IF(0=LEN(ReferenceData!$A$386),"",ReferenceData!$A$386),"")</f>
        <v xml:space="preserve">                    Hy-Vee Inc</v>
      </c>
      <c r="B386" t="str">
        <f>IFERROR(IF(0=LEN(ReferenceData!$B$386),"",ReferenceData!$B$386),"")</f>
        <v>233987Z US Equity</v>
      </c>
      <c r="C386" t="str">
        <f>IFERROR(IF(0=LEN(ReferenceData!$C$386),"",ReferenceData!$C$386),"")</f>
        <v>F0946</v>
      </c>
      <c r="D386" t="str">
        <f>IFERROR(IF(0=LEN(ReferenceData!$D$386),"",ReferenceData!$D$386),"")</f>
        <v>TOTAL_GHG_CO2_EMISSIONS</v>
      </c>
      <c r="E386" t="str">
        <f>IFERROR(IF(0=LEN(ReferenceData!$E$386),"",ReferenceData!$E$386),"")</f>
        <v>Dynamic</v>
      </c>
      <c r="F386" t="str">
        <f ca="1">IFERROR(IF(0=LEN(ReferenceData!$F$386),"",ReferenceData!$F$386),"")</f>
        <v/>
      </c>
      <c r="G386" t="str">
        <f ca="1">IFERROR(IF(0=LEN(ReferenceData!$G$386),"",ReferenceData!$G$386),"")</f>
        <v/>
      </c>
      <c r="H386" t="str">
        <f ca="1">IFERROR(IF(0=LEN(ReferenceData!$H$386),"",ReferenceData!$H$386),"")</f>
        <v/>
      </c>
      <c r="I386" t="str">
        <f ca="1">IFERROR(IF(0=LEN(ReferenceData!$I$386),"",ReferenceData!$I$386),"")</f>
        <v/>
      </c>
      <c r="J386" t="str">
        <f ca="1">IFERROR(IF(0=LEN(ReferenceData!$J$386),"",ReferenceData!$J$386),"")</f>
        <v/>
      </c>
    </row>
    <row r="387" spans="1:10" x14ac:dyDescent="0.25">
      <c r="A387" t="str">
        <f>IFERROR(IF(0=LEN(ReferenceData!$A$387),"",ReferenceData!$A$387),"")</f>
        <v xml:space="preserve">                    Heiwado Co Ltd</v>
      </c>
      <c r="B387" t="str">
        <f>IFERROR(IF(0=LEN(ReferenceData!$B$387),"",ReferenceData!$B$387),"")</f>
        <v>8276 JP Equity</v>
      </c>
      <c r="C387" t="str">
        <f>IFERROR(IF(0=LEN(ReferenceData!$C$387),"",ReferenceData!$C$387),"")</f>
        <v>F0946</v>
      </c>
      <c r="D387" t="str">
        <f>IFERROR(IF(0=LEN(ReferenceData!$D$387),"",ReferenceData!$D$387),"")</f>
        <v>TOTAL_GHG_CO2_EMISSIONS</v>
      </c>
      <c r="E387" t="str">
        <f>IFERROR(IF(0=LEN(ReferenceData!$E$387),"",ReferenceData!$E$387),"")</f>
        <v>Dynamic</v>
      </c>
      <c r="F387" t="str">
        <f ca="1">IFERROR(IF(0=LEN(ReferenceData!$F$387),"",ReferenceData!$F$387),"")</f>
        <v/>
      </c>
      <c r="G387" t="str">
        <f ca="1">IFERROR(IF(0=LEN(ReferenceData!$G$387),"",ReferenceData!$G$387),"")</f>
        <v/>
      </c>
      <c r="H387">
        <f ca="1">IFERROR(IF(0=LEN(ReferenceData!$H$387),"",ReferenceData!$H$387),"")</f>
        <v>0.16636700400000001</v>
      </c>
      <c r="I387" t="str">
        <f ca="1">IFERROR(IF(0=LEN(ReferenceData!$I$387),"",ReferenceData!$I$387),"")</f>
        <v/>
      </c>
      <c r="J387" t="str">
        <f ca="1">IFERROR(IF(0=LEN(ReferenceData!$J$387),"",ReferenceData!$J$387),"")</f>
        <v/>
      </c>
    </row>
    <row r="388" spans="1:10" x14ac:dyDescent="0.25">
      <c r="A388" t="str">
        <f>IFERROR(IF(0=LEN(ReferenceData!$A$388),"",ReferenceData!$A$388),"")</f>
        <v xml:space="preserve">                    ICA AB</v>
      </c>
      <c r="B388" t="str">
        <f>IFERROR(IF(0=LEN(ReferenceData!$B$388),"",ReferenceData!$B$388),"")</f>
        <v>ICAG SS Equity</v>
      </c>
      <c r="C388" t="str">
        <f>IFERROR(IF(0=LEN(ReferenceData!$C$388),"",ReferenceData!$C$388),"")</f>
        <v>F0946</v>
      </c>
      <c r="D388" t="str">
        <f>IFERROR(IF(0=LEN(ReferenceData!$D$388),"",ReferenceData!$D$388),"")</f>
        <v>TOTAL_GHG_CO2_EMISSIONS</v>
      </c>
      <c r="E388" t="str">
        <f>IFERROR(IF(0=LEN(ReferenceData!$E$388),"",ReferenceData!$E$388),"")</f>
        <v>Dynamic</v>
      </c>
      <c r="F388" t="str">
        <f ca="1">IFERROR(IF(0=LEN(ReferenceData!$F$388),"",ReferenceData!$F$388),"")</f>
        <v/>
      </c>
      <c r="G388" t="str">
        <f ca="1">IFERROR(IF(0=LEN(ReferenceData!$G$388),"",ReferenceData!$G$388),"")</f>
        <v/>
      </c>
      <c r="H388" t="str">
        <f ca="1">IFERROR(IF(0=LEN(ReferenceData!$H$388),"",ReferenceData!$H$388),"")</f>
        <v/>
      </c>
      <c r="I388" t="str">
        <f ca="1">IFERROR(IF(0=LEN(ReferenceData!$I$388),"",ReferenceData!$I$388),"")</f>
        <v/>
      </c>
      <c r="J388" t="str">
        <f ca="1">IFERROR(IF(0=LEN(ReferenceData!$J$388),"",ReferenceData!$J$388),"")</f>
        <v/>
      </c>
    </row>
    <row r="389" spans="1:10" x14ac:dyDescent="0.25">
      <c r="A389" t="str">
        <f>IFERROR(IF(0=LEN(ReferenceData!$A$389),"",ReferenceData!$A$389),"")</f>
        <v xml:space="preserve">                    Inageya Co Ltd</v>
      </c>
      <c r="B389" t="str">
        <f>IFERROR(IF(0=LEN(ReferenceData!$B$389),"",ReferenceData!$B$389),"")</f>
        <v>8182 JP Equity</v>
      </c>
      <c r="C389" t="str">
        <f>IFERROR(IF(0=LEN(ReferenceData!$C$389),"",ReferenceData!$C$389),"")</f>
        <v>F0946</v>
      </c>
      <c r="D389" t="str">
        <f>IFERROR(IF(0=LEN(ReferenceData!$D$389),"",ReferenceData!$D$389),"")</f>
        <v>TOTAL_GHG_CO2_EMISSIONS</v>
      </c>
      <c r="E389" t="str">
        <f>IFERROR(IF(0=LEN(ReferenceData!$E$389),"",ReferenceData!$E$389),"")</f>
        <v>Dynamic</v>
      </c>
      <c r="F389" t="str">
        <f ca="1">IFERROR(IF(0=LEN(ReferenceData!$F$389),"",ReferenceData!$F$389),"")</f>
        <v/>
      </c>
      <c r="G389" t="str">
        <f ca="1">IFERROR(IF(0=LEN(ReferenceData!$G$389),"",ReferenceData!$G$389),"")</f>
        <v/>
      </c>
      <c r="H389">
        <f ca="1">IFERROR(IF(0=LEN(ReferenceData!$H$389),"",ReferenceData!$H$389),"")</f>
        <v>8.4480002999999998E-2</v>
      </c>
      <c r="I389">
        <f ca="1">IFERROR(IF(0=LEN(ReferenceData!$I$389),"",ReferenceData!$I$389),"")</f>
        <v>8.6722999999999995E-2</v>
      </c>
      <c r="J389">
        <f ca="1">IFERROR(IF(0=LEN(ReferenceData!$J$389),"",ReferenceData!$J$389),"")</f>
        <v>8.4665001000000004E-2</v>
      </c>
    </row>
    <row r="390" spans="1:10" x14ac:dyDescent="0.25">
      <c r="A390" t="str">
        <f>IFERROR(IF(0=LEN(ReferenceData!$A$390),"",ReferenceData!$A$390),"")</f>
        <v xml:space="preserve">                    Ingles Markets Inc</v>
      </c>
      <c r="B390" t="str">
        <f>IFERROR(IF(0=LEN(ReferenceData!$B$390),"",ReferenceData!$B$390),"")</f>
        <v>IMKTA US Equity</v>
      </c>
      <c r="C390" t="str">
        <f>IFERROR(IF(0=LEN(ReferenceData!$C$390),"",ReferenceData!$C$390),"")</f>
        <v>F0946</v>
      </c>
      <c r="D390" t="str">
        <f>IFERROR(IF(0=LEN(ReferenceData!$D$390),"",ReferenceData!$D$390),"")</f>
        <v>TOTAL_GHG_CO2_EMISSIONS</v>
      </c>
      <c r="E390" t="str">
        <f>IFERROR(IF(0=LEN(ReferenceData!$E$390),"",ReferenceData!$E$390),"")</f>
        <v>Dynamic</v>
      </c>
      <c r="F390" t="str">
        <f ca="1">IFERROR(IF(0=LEN(ReferenceData!$F$390),"",ReferenceData!$F$390),"")</f>
        <v/>
      </c>
      <c r="G390" t="str">
        <f ca="1">IFERROR(IF(0=LEN(ReferenceData!$G$390),"",ReferenceData!$G$390),"")</f>
        <v/>
      </c>
      <c r="H390" t="str">
        <f ca="1">IFERROR(IF(0=LEN(ReferenceData!$H$390),"",ReferenceData!$H$390),"")</f>
        <v/>
      </c>
      <c r="I390" t="str">
        <f ca="1">IFERROR(IF(0=LEN(ReferenceData!$I$390),"",ReferenceData!$I$390),"")</f>
        <v/>
      </c>
      <c r="J390" t="str">
        <f ca="1">IFERROR(IF(0=LEN(ReferenceData!$J$390),"",ReferenceData!$J$390),"")</f>
        <v/>
      </c>
    </row>
    <row r="391" spans="1:10" x14ac:dyDescent="0.25">
      <c r="A391" t="str">
        <f>IFERROR(IF(0=LEN(ReferenceData!$A$391),"",ReferenceData!$A$391),"")</f>
        <v xml:space="preserve">                    Izumi Co Ltd</v>
      </c>
      <c r="B391" t="str">
        <f>IFERROR(IF(0=LEN(ReferenceData!$B$391),"",ReferenceData!$B$391),"")</f>
        <v>8273 JP Equity</v>
      </c>
      <c r="C391" t="str">
        <f>IFERROR(IF(0=LEN(ReferenceData!$C$391),"",ReferenceData!$C$391),"")</f>
        <v>F0946</v>
      </c>
      <c r="D391" t="str">
        <f>IFERROR(IF(0=LEN(ReferenceData!$D$391),"",ReferenceData!$D$391),"")</f>
        <v>TOTAL_GHG_CO2_EMISSIONS</v>
      </c>
      <c r="E391" t="str">
        <f>IFERROR(IF(0=LEN(ReferenceData!$E$391),"",ReferenceData!$E$391),"")</f>
        <v>Dynamic</v>
      </c>
      <c r="F391" t="str">
        <f ca="1">IFERROR(IF(0=LEN(ReferenceData!$F$391),"",ReferenceData!$F$391),"")</f>
        <v/>
      </c>
      <c r="G391" t="str">
        <f ca="1">IFERROR(IF(0=LEN(ReferenceData!$G$391),"",ReferenceData!$G$391),"")</f>
        <v/>
      </c>
      <c r="H391" t="str">
        <f ca="1">IFERROR(IF(0=LEN(ReferenceData!$H$391),"",ReferenceData!$H$391),"")</f>
        <v/>
      </c>
      <c r="I391" t="str">
        <f ca="1">IFERROR(IF(0=LEN(ReferenceData!$I$391),"",ReferenceData!$I$391),"")</f>
        <v/>
      </c>
      <c r="J391" t="str">
        <f ca="1">IFERROR(IF(0=LEN(ReferenceData!$J$391),"",ReferenceData!$J$391),"")</f>
        <v/>
      </c>
    </row>
    <row r="392" spans="1:10" x14ac:dyDescent="0.25">
      <c r="A392" t="str">
        <f>IFERROR(IF(0=LEN(ReferenceData!$A$392),"",ReferenceData!$A$392),"")</f>
        <v xml:space="preserve">                    J Front Retailing Co Ltd</v>
      </c>
      <c r="B392" t="str">
        <f>IFERROR(IF(0=LEN(ReferenceData!$B$392),"",ReferenceData!$B$392),"")</f>
        <v>3086 JP Equity</v>
      </c>
      <c r="C392" t="str">
        <f>IFERROR(IF(0=LEN(ReferenceData!$C$392),"",ReferenceData!$C$392),"")</f>
        <v>F0946</v>
      </c>
      <c r="D392" t="str">
        <f>IFERROR(IF(0=LEN(ReferenceData!$D$392),"",ReferenceData!$D$392),"")</f>
        <v>TOTAL_GHG_CO2_EMISSIONS</v>
      </c>
      <c r="E392" t="str">
        <f>IFERROR(IF(0=LEN(ReferenceData!$E$392),"",ReferenceData!$E$392),"")</f>
        <v>Dynamic</v>
      </c>
      <c r="F392" t="str">
        <f ca="1">IFERROR(IF(0=LEN(ReferenceData!$F$392),"",ReferenceData!$F$392),"")</f>
        <v/>
      </c>
      <c r="G392">
        <f ca="1">IFERROR(IF(0=LEN(ReferenceData!$G$392),"",ReferenceData!$G$392),"")</f>
        <v>0.16369400000000001</v>
      </c>
      <c r="H392">
        <f ca="1">IFERROR(IF(0=LEN(ReferenceData!$H$392),"",ReferenceData!$H$392),"")</f>
        <v>0.14766799899999999</v>
      </c>
      <c r="I392">
        <f ca="1">IFERROR(IF(0=LEN(ReferenceData!$I$392),"",ReferenceData!$I$392),"")</f>
        <v>0.189307999</v>
      </c>
      <c r="J392">
        <f ca="1">IFERROR(IF(0=LEN(ReferenceData!$J$392),"",ReferenceData!$J$392),"")</f>
        <v>0.18042900100000001</v>
      </c>
    </row>
    <row r="393" spans="1:10" x14ac:dyDescent="0.25">
      <c r="A393" t="str">
        <f>IFERROR(IF(0=LEN(ReferenceData!$A$393),"",ReferenceData!$A$393),"")</f>
        <v xml:space="preserve">                    J Sainsbury PLC</v>
      </c>
      <c r="B393" t="str">
        <f>IFERROR(IF(0=LEN(ReferenceData!$B$393),"",ReferenceData!$B$393),"")</f>
        <v>SBRY LN Equity</v>
      </c>
      <c r="C393" t="str">
        <f>IFERROR(IF(0=LEN(ReferenceData!$C$393),"",ReferenceData!$C$393),"")</f>
        <v>F0946</v>
      </c>
      <c r="D393" t="str">
        <f>IFERROR(IF(0=LEN(ReferenceData!$D$393),"",ReferenceData!$D$393),"")</f>
        <v>TOTAL_GHG_CO2_EMISSIONS</v>
      </c>
      <c r="E393" t="str">
        <f>IFERROR(IF(0=LEN(ReferenceData!$E$393),"",ReferenceData!$E$393),"")</f>
        <v>Dynamic</v>
      </c>
      <c r="F393" t="str">
        <f ca="1">IFERROR(IF(0=LEN(ReferenceData!$F$393),"",ReferenceData!$F$393),"")</f>
        <v/>
      </c>
      <c r="G393">
        <f ca="1">IFERROR(IF(0=LEN(ReferenceData!$G$393),"",ReferenceData!$G$393),"")</f>
        <v>0.77611199900000005</v>
      </c>
      <c r="H393">
        <f ca="1">IFERROR(IF(0=LEN(ReferenceData!$H$393),"",ReferenceData!$H$393),"")</f>
        <v>0.85659802299999999</v>
      </c>
      <c r="I393">
        <f ca="1">IFERROR(IF(0=LEN(ReferenceData!$I$393),"",ReferenceData!$I$393),"")</f>
        <v>0.90783197000000004</v>
      </c>
      <c r="J393">
        <f ca="1">IFERROR(IF(0=LEN(ReferenceData!$J$393),"",ReferenceData!$J$393),"")</f>
        <v>1.014710022</v>
      </c>
    </row>
    <row r="394" spans="1:10" x14ac:dyDescent="0.25">
      <c r="A394" t="str">
        <f>IFERROR(IF(0=LEN(ReferenceData!$A$394),"",ReferenceData!$A$394),"")</f>
        <v xml:space="preserve">                    John Lewis Partnership PLC</v>
      </c>
      <c r="B394" t="str">
        <f>IFERROR(IF(0=LEN(ReferenceData!$B$394),"",ReferenceData!$B$394),"")</f>
        <v>6097Z LN Equity</v>
      </c>
      <c r="C394" t="str">
        <f>IFERROR(IF(0=LEN(ReferenceData!$C$394),"",ReferenceData!$C$394),"")</f>
        <v>F0946</v>
      </c>
      <c r="D394" t="str">
        <f>IFERROR(IF(0=LEN(ReferenceData!$D$394),"",ReferenceData!$D$394),"")</f>
        <v>TOTAL_GHG_CO2_EMISSIONS</v>
      </c>
      <c r="E394" t="str">
        <f>IFERROR(IF(0=LEN(ReferenceData!$E$394),"",ReferenceData!$E$394),"")</f>
        <v>Dynamic</v>
      </c>
      <c r="F394" t="str">
        <f ca="1">IFERROR(IF(0=LEN(ReferenceData!$F$394),"",ReferenceData!$F$394),"")</f>
        <v/>
      </c>
      <c r="G394" t="str">
        <f ca="1">IFERROR(IF(0=LEN(ReferenceData!$G$394),"",ReferenceData!$G$394),"")</f>
        <v/>
      </c>
      <c r="H394" t="str">
        <f ca="1">IFERROR(IF(0=LEN(ReferenceData!$H$394),"",ReferenceData!$H$394),"")</f>
        <v/>
      </c>
      <c r="I394" t="str">
        <f ca="1">IFERROR(IF(0=LEN(ReferenceData!$I$394),"",ReferenceData!$I$394),"")</f>
        <v/>
      </c>
      <c r="J394" t="str">
        <f ca="1">IFERROR(IF(0=LEN(ReferenceData!$J$394),"",ReferenceData!$J$394),"")</f>
        <v/>
      </c>
    </row>
    <row r="395" spans="1:10" x14ac:dyDescent="0.25">
      <c r="A395" t="str">
        <f>IFERROR(IF(0=LEN(ReferenceData!$A$395),"",ReferenceData!$A$395),"")</f>
        <v xml:space="preserve">                    JUMBO Groep Holding BV</v>
      </c>
      <c r="B395" t="str">
        <f>IFERROR(IF(0=LEN(ReferenceData!$B$395),"",ReferenceData!$B$395),"")</f>
        <v>3239926Z NA Equity</v>
      </c>
      <c r="C395" t="str">
        <f>IFERROR(IF(0=LEN(ReferenceData!$C$395),"",ReferenceData!$C$395),"")</f>
        <v>F0946</v>
      </c>
      <c r="D395" t="str">
        <f>IFERROR(IF(0=LEN(ReferenceData!$D$395),"",ReferenceData!$D$395),"")</f>
        <v>TOTAL_GHG_CO2_EMISSIONS</v>
      </c>
      <c r="E395" t="str">
        <f>IFERROR(IF(0=LEN(ReferenceData!$E$395),"",ReferenceData!$E$395),"")</f>
        <v>Dynamic</v>
      </c>
      <c r="F395" t="str">
        <f ca="1">IFERROR(IF(0=LEN(ReferenceData!$F$395),"",ReferenceData!$F$395),"")</f>
        <v/>
      </c>
      <c r="G395" t="str">
        <f ca="1">IFERROR(IF(0=LEN(ReferenceData!$G$395),"",ReferenceData!$G$395),"")</f>
        <v/>
      </c>
      <c r="H395" t="str">
        <f ca="1">IFERROR(IF(0=LEN(ReferenceData!$H$395),"",ReferenceData!$H$395),"")</f>
        <v/>
      </c>
      <c r="I395" t="str">
        <f ca="1">IFERROR(IF(0=LEN(ReferenceData!$I$395),"",ReferenceData!$I$395),"")</f>
        <v/>
      </c>
      <c r="J395" t="str">
        <f ca="1">IFERROR(IF(0=LEN(ReferenceData!$J$395),"",ReferenceData!$J$395),"")</f>
        <v/>
      </c>
    </row>
    <row r="396" spans="1:10" x14ac:dyDescent="0.25">
      <c r="A396" t="str">
        <f>IFERROR(IF(0=LEN(ReferenceData!$A$396),"",ReferenceData!$A$396),"")</f>
        <v xml:space="preserve">                    Jeronimo Martins SGPS SA</v>
      </c>
      <c r="B396" t="str">
        <f>IFERROR(IF(0=LEN(ReferenceData!$B$396),"",ReferenceData!$B$396),"")</f>
        <v>JMT PL Equity</v>
      </c>
      <c r="C396" t="str">
        <f>IFERROR(IF(0=LEN(ReferenceData!$C$396),"",ReferenceData!$C$396),"")</f>
        <v>F0946</v>
      </c>
      <c r="D396" t="str">
        <f>IFERROR(IF(0=LEN(ReferenceData!$D$396),"",ReferenceData!$D$396),"")</f>
        <v>TOTAL_GHG_CO2_EMISSIONS</v>
      </c>
      <c r="E396" t="str">
        <f>IFERROR(IF(0=LEN(ReferenceData!$E$396),"",ReferenceData!$E$396),"")</f>
        <v>Dynamic</v>
      </c>
      <c r="F396">
        <f ca="1">IFERROR(IF(0=LEN(ReferenceData!$F$396),"",ReferenceData!$F$396),"")</f>
        <v>0.97779797400000001</v>
      </c>
      <c r="G396">
        <f ca="1">IFERROR(IF(0=LEN(ReferenceData!$G$396),"",ReferenceData!$G$396),"")</f>
        <v>1.0339599610000001</v>
      </c>
      <c r="H396">
        <f ca="1">IFERROR(IF(0=LEN(ReferenceData!$H$396),"",ReferenceData!$H$396),"")</f>
        <v>1.061829956</v>
      </c>
      <c r="I396">
        <f ca="1">IFERROR(IF(0=LEN(ReferenceData!$I$396),"",ReferenceData!$I$396),"")</f>
        <v>1.0605400389999999</v>
      </c>
      <c r="J396">
        <f ca="1">IFERROR(IF(0=LEN(ReferenceData!$J$396),"",ReferenceData!$J$396),"")</f>
        <v>1.0791800540000001</v>
      </c>
    </row>
    <row r="397" spans="1:10" x14ac:dyDescent="0.25">
      <c r="A397" t="str">
        <f>IFERROR(IF(0=LEN(ReferenceData!$A$397),"",ReferenceData!$A$397),"")</f>
        <v xml:space="preserve">                    Koninklijke Ahold Delhaize NV</v>
      </c>
      <c r="B397" t="str">
        <f>IFERROR(IF(0=LEN(ReferenceData!$B$397),"",ReferenceData!$B$397),"")</f>
        <v>AD NA Equity</v>
      </c>
      <c r="C397" t="str">
        <f>IFERROR(IF(0=LEN(ReferenceData!$C$397),"",ReferenceData!$C$397),"")</f>
        <v>F0946</v>
      </c>
      <c r="D397" t="str">
        <f>IFERROR(IF(0=LEN(ReferenceData!$D$397),"",ReferenceData!$D$397),"")</f>
        <v>TOTAL_GHG_CO2_EMISSIONS</v>
      </c>
      <c r="E397" t="str">
        <f>IFERROR(IF(0=LEN(ReferenceData!$E$397),"",ReferenceData!$E$397),"")</f>
        <v>Dynamic</v>
      </c>
      <c r="F397">
        <f ca="1">IFERROR(IF(0=LEN(ReferenceData!$F$397),"",ReferenceData!$F$397),"")</f>
        <v>3.4910000000000001</v>
      </c>
      <c r="G397">
        <f ca="1">IFERROR(IF(0=LEN(ReferenceData!$G$397),"",ReferenceData!$G$397),"")</f>
        <v>3.476</v>
      </c>
      <c r="H397">
        <f ca="1">IFERROR(IF(0=LEN(ReferenceData!$H$397),"",ReferenceData!$H$397),"")</f>
        <v>3.399</v>
      </c>
      <c r="I397">
        <f ca="1">IFERROR(IF(0=LEN(ReferenceData!$I$397),"",ReferenceData!$I$397),"")</f>
        <v>3.625</v>
      </c>
      <c r="J397">
        <f ca="1">IFERROR(IF(0=LEN(ReferenceData!$J$397),"",ReferenceData!$J$397),"")</f>
        <v>3.766</v>
      </c>
    </row>
    <row r="398" spans="1:10" x14ac:dyDescent="0.25">
      <c r="A398" t="str">
        <f>IFERROR(IF(0=LEN(ReferenceData!$A$398),"",ReferenceData!$A$398),"")</f>
        <v xml:space="preserve">                    Kesko Oyj</v>
      </c>
      <c r="B398" t="str">
        <f>IFERROR(IF(0=LEN(ReferenceData!$B$398),"",ReferenceData!$B$398),"")</f>
        <v>KESKOB FH Equity</v>
      </c>
      <c r="C398" t="str">
        <f>IFERROR(IF(0=LEN(ReferenceData!$C$398),"",ReferenceData!$C$398),"")</f>
        <v>F0946</v>
      </c>
      <c r="D398" t="str">
        <f>IFERROR(IF(0=LEN(ReferenceData!$D$398),"",ReferenceData!$D$398),"")</f>
        <v>TOTAL_GHG_CO2_EMISSIONS</v>
      </c>
      <c r="E398" t="str">
        <f>IFERROR(IF(0=LEN(ReferenceData!$E$398),"",ReferenceData!$E$398),"")</f>
        <v>Dynamic</v>
      </c>
      <c r="F398">
        <f ca="1">IFERROR(IF(0=LEN(ReferenceData!$F$398),"",ReferenceData!$F$398),"")</f>
        <v>7.5504997000000004E-2</v>
      </c>
      <c r="G398">
        <f ca="1">IFERROR(IF(0=LEN(ReferenceData!$G$398),"",ReferenceData!$G$398),"")</f>
        <v>9.4171996999999993E-2</v>
      </c>
      <c r="H398">
        <f ca="1">IFERROR(IF(0=LEN(ReferenceData!$H$398),"",ReferenceData!$H$398),"")</f>
        <v>8.9012000999999993E-2</v>
      </c>
      <c r="I398">
        <f ca="1">IFERROR(IF(0=LEN(ReferenceData!$I$398),"",ReferenceData!$I$398),"")</f>
        <v>0.19732200599999999</v>
      </c>
      <c r="J398">
        <f ca="1">IFERROR(IF(0=LEN(ReferenceData!$J$398),"",ReferenceData!$J$398),"")</f>
        <v>0.206869995</v>
      </c>
    </row>
    <row r="399" spans="1:10" x14ac:dyDescent="0.25">
      <c r="A399" t="str">
        <f>IFERROR(IF(0=LEN(ReferenceData!$A$399),"",ReferenceData!$A$399),"")</f>
        <v xml:space="preserve">                    Kroger Co/The</v>
      </c>
      <c r="B399" t="str">
        <f>IFERROR(IF(0=LEN(ReferenceData!$B$399),"",ReferenceData!$B$399),"")</f>
        <v>KR US Equity</v>
      </c>
      <c r="C399" t="str">
        <f>IFERROR(IF(0=LEN(ReferenceData!$C$399),"",ReferenceData!$C$399),"")</f>
        <v>F0946</v>
      </c>
      <c r="D399" t="str">
        <f>IFERROR(IF(0=LEN(ReferenceData!$D$399),"",ReferenceData!$D$399),"")</f>
        <v>TOTAL_GHG_CO2_EMISSIONS</v>
      </c>
      <c r="E399" t="str">
        <f>IFERROR(IF(0=LEN(ReferenceData!$E$399),"",ReferenceData!$E$399),"")</f>
        <v>Dynamic</v>
      </c>
      <c r="F399" t="str">
        <f ca="1">IFERROR(IF(0=LEN(ReferenceData!$F$399),"",ReferenceData!$F$399),"")</f>
        <v/>
      </c>
      <c r="G399">
        <f ca="1">IFERROR(IF(0=LEN(ReferenceData!$G$399),"",ReferenceData!$G$399),"")</f>
        <v>5.0505898440000001</v>
      </c>
      <c r="H399">
        <f ca="1">IFERROR(IF(0=LEN(ReferenceData!$H$399),"",ReferenceData!$H$399),"")</f>
        <v>5.090350098</v>
      </c>
      <c r="I399">
        <f ca="1">IFERROR(IF(0=LEN(ReferenceData!$I$399),"",ReferenceData!$I$399),"")</f>
        <v>5.7497597660000004</v>
      </c>
      <c r="J399">
        <f ca="1">IFERROR(IF(0=LEN(ReferenceData!$J$399),"",ReferenceData!$J$399),"")</f>
        <v>5.9174301759999999</v>
      </c>
    </row>
    <row r="400" spans="1:10" x14ac:dyDescent="0.25">
      <c r="A400" t="str">
        <f>IFERROR(IF(0=LEN(ReferenceData!$A$400),"",ReferenceData!$A$400),"")</f>
        <v xml:space="preserve">                    Lawson Inc</v>
      </c>
      <c r="B400" t="str">
        <f>IFERROR(IF(0=LEN(ReferenceData!$B$400),"",ReferenceData!$B$400),"")</f>
        <v>2651 JP Equity</v>
      </c>
      <c r="C400" t="str">
        <f>IFERROR(IF(0=LEN(ReferenceData!$C$400),"",ReferenceData!$C$400),"")</f>
        <v>F0946</v>
      </c>
      <c r="D400" t="str">
        <f>IFERROR(IF(0=LEN(ReferenceData!$D$400),"",ReferenceData!$D$400),"")</f>
        <v>TOTAL_GHG_CO2_EMISSIONS</v>
      </c>
      <c r="E400" t="str">
        <f>IFERROR(IF(0=LEN(ReferenceData!$E$400),"",ReferenceData!$E$400),"")</f>
        <v>Dynamic</v>
      </c>
      <c r="F400" t="str">
        <f ca="1">IFERROR(IF(0=LEN(ReferenceData!$F$400),"",ReferenceData!$F$400),"")</f>
        <v/>
      </c>
      <c r="G400">
        <f ca="1">IFERROR(IF(0=LEN(ReferenceData!$G$400),"",ReferenceData!$G$400),"")</f>
        <v>1.031319946</v>
      </c>
      <c r="H400">
        <f ca="1">IFERROR(IF(0=LEN(ReferenceData!$H$400),"",ReferenceData!$H$400),"")</f>
        <v>0.98499999999999999</v>
      </c>
      <c r="I400">
        <f ca="1">IFERROR(IF(0=LEN(ReferenceData!$I$400),"",ReferenceData!$I$400),"")</f>
        <v>2.7700000999999998E-2</v>
      </c>
      <c r="J400">
        <f ca="1">IFERROR(IF(0=LEN(ReferenceData!$J$400),"",ReferenceData!$J$400),"")</f>
        <v>3.1200001000000002E-2</v>
      </c>
    </row>
    <row r="401" spans="1:10" x14ac:dyDescent="0.25">
      <c r="A401" t="str">
        <f>IFERROR(IF(0=LEN(ReferenceData!$A$401),"",ReferenceData!$A$401),"")</f>
        <v xml:space="preserve">                    Lenta International Co PJSC</v>
      </c>
      <c r="B401" t="str">
        <f>IFERROR(IF(0=LEN(ReferenceData!$B$401),"",ReferenceData!$B$401),"")</f>
        <v>LNTA LI Equity</v>
      </c>
      <c r="C401" t="str">
        <f>IFERROR(IF(0=LEN(ReferenceData!$C$401),"",ReferenceData!$C$401),"")</f>
        <v>F0946</v>
      </c>
      <c r="D401" t="str">
        <f>IFERROR(IF(0=LEN(ReferenceData!$D$401),"",ReferenceData!$D$401),"")</f>
        <v>TOTAL_GHG_CO2_EMISSIONS</v>
      </c>
      <c r="E401" t="str">
        <f>IFERROR(IF(0=LEN(ReferenceData!$E$401),"",ReferenceData!$E$401),"")</f>
        <v>Dynamic</v>
      </c>
      <c r="F401" t="str">
        <f ca="1">IFERROR(IF(0=LEN(ReferenceData!$F$401),"",ReferenceData!$F$401),"")</f>
        <v/>
      </c>
      <c r="G401" t="str">
        <f ca="1">IFERROR(IF(0=LEN(ReferenceData!$G$401),"",ReferenceData!$G$401),"")</f>
        <v/>
      </c>
      <c r="H401" t="str">
        <f ca="1">IFERROR(IF(0=LEN(ReferenceData!$H$401),"",ReferenceData!$H$401),"")</f>
        <v/>
      </c>
      <c r="I401" t="str">
        <f ca="1">IFERROR(IF(0=LEN(ReferenceData!$I$401),"",ReferenceData!$I$401),"")</f>
        <v/>
      </c>
      <c r="J401" t="str">
        <f ca="1">IFERROR(IF(0=LEN(ReferenceData!$J$401),"",ReferenceData!$J$401),"")</f>
        <v/>
      </c>
    </row>
    <row r="402" spans="1:10" x14ac:dyDescent="0.25">
      <c r="A402" t="str">
        <f>IFERROR(IF(0=LEN(ReferenceData!$A$402),"",ReferenceData!$A$402),"")</f>
        <v xml:space="preserve">                    Lianhua Supermarket Holdings C</v>
      </c>
      <c r="B402" t="str">
        <f>IFERROR(IF(0=LEN(ReferenceData!$B$402),"",ReferenceData!$B$402),"")</f>
        <v>980 HK Equity</v>
      </c>
      <c r="C402" t="str">
        <f>IFERROR(IF(0=LEN(ReferenceData!$C$402),"",ReferenceData!$C$402),"")</f>
        <v>F0946</v>
      </c>
      <c r="D402" t="str">
        <f>IFERROR(IF(0=LEN(ReferenceData!$D$402),"",ReferenceData!$D$402),"")</f>
        <v>TOTAL_GHG_CO2_EMISSIONS</v>
      </c>
      <c r="E402" t="str">
        <f>IFERROR(IF(0=LEN(ReferenceData!$E$402),"",ReferenceData!$E$402),"")</f>
        <v>Dynamic</v>
      </c>
      <c r="F402">
        <f ca="1">IFERROR(IF(0=LEN(ReferenceData!$F$402),"",ReferenceData!$F$402),"")</f>
        <v>0.24692999299999999</v>
      </c>
      <c r="G402">
        <f ca="1">IFERROR(IF(0=LEN(ReferenceData!$G$402),"",ReferenceData!$G$402),"")</f>
        <v>0.28048199499999998</v>
      </c>
      <c r="H402">
        <f ca="1">IFERROR(IF(0=LEN(ReferenceData!$H$402),"",ReferenceData!$H$402),"")</f>
        <v>0.36415798999999999</v>
      </c>
      <c r="I402" t="str">
        <f ca="1">IFERROR(IF(0=LEN(ReferenceData!$I$402),"",ReferenceData!$I$402),"")</f>
        <v/>
      </c>
      <c r="J402">
        <f ca="1">IFERROR(IF(0=LEN(ReferenceData!$J$402),"",ReferenceData!$J$402),"")</f>
        <v>0.26558999599999999</v>
      </c>
    </row>
    <row r="403" spans="1:10" x14ac:dyDescent="0.25">
      <c r="A403" t="str">
        <f>IFERROR(IF(0=LEN(ReferenceData!$A$403),"",ReferenceData!$A$403),"")</f>
        <v xml:space="preserve">                    Lotte Shopping Co Ltd</v>
      </c>
      <c r="B403" t="str">
        <f>IFERROR(IF(0=LEN(ReferenceData!$B$403),"",ReferenceData!$B$403),"")</f>
        <v>023530 KS Equity</v>
      </c>
      <c r="C403" t="str">
        <f>IFERROR(IF(0=LEN(ReferenceData!$C$403),"",ReferenceData!$C$403),"")</f>
        <v>F0946</v>
      </c>
      <c r="D403" t="str">
        <f>IFERROR(IF(0=LEN(ReferenceData!$D$403),"",ReferenceData!$D$403),"")</f>
        <v>TOTAL_GHG_CO2_EMISSIONS</v>
      </c>
      <c r="E403" t="str">
        <f>IFERROR(IF(0=LEN(ReferenceData!$E$403),"",ReferenceData!$E$403),"")</f>
        <v>Dynamic</v>
      </c>
      <c r="F403" t="str">
        <f ca="1">IFERROR(IF(0=LEN(ReferenceData!$F$403),"",ReferenceData!$F$403),"")</f>
        <v/>
      </c>
      <c r="G403" t="str">
        <f ca="1">IFERROR(IF(0=LEN(ReferenceData!$G$403),"",ReferenceData!$G$403),"")</f>
        <v/>
      </c>
      <c r="H403" t="str">
        <f ca="1">IFERROR(IF(0=LEN(ReferenceData!$H$403),"",ReferenceData!$H$403),"")</f>
        <v/>
      </c>
      <c r="I403" t="str">
        <f ca="1">IFERROR(IF(0=LEN(ReferenceData!$I$403),"",ReferenceData!$I$403),"")</f>
        <v/>
      </c>
      <c r="J403" t="str">
        <f ca="1">IFERROR(IF(0=LEN(ReferenceData!$J$403),"",ReferenceData!$J$403),"")</f>
        <v/>
      </c>
    </row>
    <row r="404" spans="1:10" x14ac:dyDescent="0.25">
      <c r="A404" t="str">
        <f>IFERROR(IF(0=LEN(ReferenceData!$A$404),"",ReferenceData!$A$404),"")</f>
        <v xml:space="preserve">                    Life Corp</v>
      </c>
      <c r="B404" t="str">
        <f>IFERROR(IF(0=LEN(ReferenceData!$B$404),"",ReferenceData!$B$404),"")</f>
        <v>8194 JP Equity</v>
      </c>
      <c r="C404" t="str">
        <f>IFERROR(IF(0=LEN(ReferenceData!$C$404),"",ReferenceData!$C$404),"")</f>
        <v>F0946</v>
      </c>
      <c r="D404" t="str">
        <f>IFERROR(IF(0=LEN(ReferenceData!$D$404),"",ReferenceData!$D$404),"")</f>
        <v>TOTAL_GHG_CO2_EMISSIONS</v>
      </c>
      <c r="E404" t="str">
        <f>IFERROR(IF(0=LEN(ReferenceData!$E$404),"",ReferenceData!$E$404),"")</f>
        <v>Dynamic</v>
      </c>
      <c r="F404" t="str">
        <f ca="1">IFERROR(IF(0=LEN(ReferenceData!$F$404),"",ReferenceData!$F$404),"")</f>
        <v/>
      </c>
      <c r="G404" t="str">
        <f ca="1">IFERROR(IF(0=LEN(ReferenceData!$G$404),"",ReferenceData!$G$404),"")</f>
        <v/>
      </c>
      <c r="H404" t="str">
        <f ca="1">IFERROR(IF(0=LEN(ReferenceData!$H$404),"",ReferenceData!$H$404),"")</f>
        <v/>
      </c>
      <c r="I404" t="str">
        <f ca="1">IFERROR(IF(0=LEN(ReferenceData!$I$404),"",ReferenceData!$I$404),"")</f>
        <v/>
      </c>
      <c r="J404" t="str">
        <f ca="1">IFERROR(IF(0=LEN(ReferenceData!$J$404),"",ReferenceData!$J$404),"")</f>
        <v/>
      </c>
    </row>
    <row r="405" spans="1:10" x14ac:dyDescent="0.25">
      <c r="A405" t="str">
        <f>IFERROR(IF(0=LEN(ReferenceData!$A$405),"",ReferenceData!$A$405),"")</f>
        <v xml:space="preserve">                    Loblaw Cos Ltd</v>
      </c>
      <c r="B405" t="str">
        <f>IFERROR(IF(0=LEN(ReferenceData!$B$405),"",ReferenceData!$B$405),"")</f>
        <v>L CN Equity</v>
      </c>
      <c r="C405" t="str">
        <f>IFERROR(IF(0=LEN(ReferenceData!$C$405),"",ReferenceData!$C$405),"")</f>
        <v>F0946</v>
      </c>
      <c r="D405" t="str">
        <f>IFERROR(IF(0=LEN(ReferenceData!$D$405),"",ReferenceData!$D$405),"")</f>
        <v>TOTAL_GHG_CO2_EMISSIONS</v>
      </c>
      <c r="E405" t="str">
        <f>IFERROR(IF(0=LEN(ReferenceData!$E$405),"",ReferenceData!$E$405),"")</f>
        <v>Dynamic</v>
      </c>
      <c r="F405">
        <f ca="1">IFERROR(IF(0=LEN(ReferenceData!$F$405),"",ReferenceData!$F$405),"")</f>
        <v>1.0327500000000001</v>
      </c>
      <c r="G405">
        <f ca="1">IFERROR(IF(0=LEN(ReferenceData!$G$405),"",ReferenceData!$G$405),"")</f>
        <v>0.66583898900000005</v>
      </c>
      <c r="H405">
        <f ca="1">IFERROR(IF(0=LEN(ReferenceData!$H$405),"",ReferenceData!$H$405),"")</f>
        <v>0.72140197800000005</v>
      </c>
      <c r="I405">
        <f ca="1">IFERROR(IF(0=LEN(ReferenceData!$I$405),"",ReferenceData!$I$405),"")</f>
        <v>0.72878900199999996</v>
      </c>
      <c r="J405">
        <f ca="1">IFERROR(IF(0=LEN(ReferenceData!$J$405),"",ReferenceData!$J$405),"")</f>
        <v>0.76890399200000004</v>
      </c>
    </row>
    <row r="406" spans="1:10" x14ac:dyDescent="0.25">
      <c r="A406" t="str">
        <f>IFERROR(IF(0=LEN(ReferenceData!$A$406),"",ReferenceData!$A$406),"")</f>
        <v xml:space="preserve">                    Majid Al Futtaim Holding LLC</v>
      </c>
      <c r="B406" t="str">
        <f>IFERROR(IF(0=LEN(ReferenceData!$B$406),"",ReferenceData!$B$406),"")</f>
        <v>924669Z UH Equity</v>
      </c>
      <c r="C406" t="str">
        <f>IFERROR(IF(0=LEN(ReferenceData!$C$406),"",ReferenceData!$C$406),"")</f>
        <v>F0946</v>
      </c>
      <c r="D406" t="str">
        <f>IFERROR(IF(0=LEN(ReferenceData!$D$406),"",ReferenceData!$D$406),"")</f>
        <v>TOTAL_GHG_CO2_EMISSIONS</v>
      </c>
      <c r="E406" t="str">
        <f>IFERROR(IF(0=LEN(ReferenceData!$E$406),"",ReferenceData!$E$406),"")</f>
        <v>Dynamic</v>
      </c>
      <c r="F406">
        <f ca="1">IFERROR(IF(0=LEN(ReferenceData!$F$406),"",ReferenceData!$F$406),"")</f>
        <v>0.83705798300000001</v>
      </c>
      <c r="G406">
        <f ca="1">IFERROR(IF(0=LEN(ReferenceData!$G$406),"",ReferenceData!$G$406),"")</f>
        <v>0.81380602999999996</v>
      </c>
      <c r="H406">
        <f ca="1">IFERROR(IF(0=LEN(ReferenceData!$H$406),"",ReferenceData!$H$406),"")</f>
        <v>0.80940899700000002</v>
      </c>
      <c r="I406">
        <f ca="1">IFERROR(IF(0=LEN(ReferenceData!$I$406),"",ReferenceData!$I$406),"")</f>
        <v>0.91987402299999999</v>
      </c>
      <c r="J406">
        <f ca="1">IFERROR(IF(0=LEN(ReferenceData!$J$406),"",ReferenceData!$J$406),"")</f>
        <v>0.76419799799999999</v>
      </c>
    </row>
    <row r="407" spans="1:10" x14ac:dyDescent="0.25">
      <c r="A407" t="str">
        <f>IFERROR(IF(0=LEN(ReferenceData!$A$407),"",ReferenceData!$A$407),"")</f>
        <v xml:space="preserve">                    Mercadona SA</v>
      </c>
      <c r="B407" t="str">
        <f>IFERROR(IF(0=LEN(ReferenceData!$B$407),"",ReferenceData!$B$407),"")</f>
        <v>897482Z SM Equity</v>
      </c>
      <c r="C407" t="str">
        <f>IFERROR(IF(0=LEN(ReferenceData!$C$407),"",ReferenceData!$C$407),"")</f>
        <v>F0946</v>
      </c>
      <c r="D407" t="str">
        <f>IFERROR(IF(0=LEN(ReferenceData!$D$407),"",ReferenceData!$D$407),"")</f>
        <v>TOTAL_GHG_CO2_EMISSIONS</v>
      </c>
      <c r="E407" t="str">
        <f>IFERROR(IF(0=LEN(ReferenceData!$E$407),"",ReferenceData!$E$407),"")</f>
        <v>Dynamic</v>
      </c>
      <c r="F407" t="str">
        <f ca="1">IFERROR(IF(0=LEN(ReferenceData!$F$407),"",ReferenceData!$F$407),"")</f>
        <v/>
      </c>
      <c r="G407" t="str">
        <f ca="1">IFERROR(IF(0=LEN(ReferenceData!$G$407),"",ReferenceData!$G$407),"")</f>
        <v/>
      </c>
      <c r="H407" t="str">
        <f ca="1">IFERROR(IF(0=LEN(ReferenceData!$H$407),"",ReferenceData!$H$407),"")</f>
        <v/>
      </c>
      <c r="I407" t="str">
        <f ca="1">IFERROR(IF(0=LEN(ReferenceData!$I$407),"",ReferenceData!$I$407),"")</f>
        <v/>
      </c>
      <c r="J407" t="str">
        <f ca="1">IFERROR(IF(0=LEN(ReferenceData!$J$407),"",ReferenceData!$J$407),"")</f>
        <v/>
      </c>
    </row>
    <row r="408" spans="1:10" x14ac:dyDescent="0.25">
      <c r="A408" t="str">
        <f>IFERROR(IF(0=LEN(ReferenceData!$A$408),"",ReferenceData!$A$408),"")</f>
        <v xml:space="preserve">                    METRO AG</v>
      </c>
      <c r="B408" t="str">
        <f>IFERROR(IF(0=LEN(ReferenceData!$B$408),"",ReferenceData!$B$408),"")</f>
        <v>B4B GR Equity</v>
      </c>
      <c r="C408" t="str">
        <f>IFERROR(IF(0=LEN(ReferenceData!$C$408),"",ReferenceData!$C$408),"")</f>
        <v>F0946</v>
      </c>
      <c r="D408" t="str">
        <f>IFERROR(IF(0=LEN(ReferenceData!$D$408),"",ReferenceData!$D$408),"")</f>
        <v>TOTAL_GHG_CO2_EMISSIONS</v>
      </c>
      <c r="E408" t="str">
        <f>IFERROR(IF(0=LEN(ReferenceData!$E$408),"",ReferenceData!$E$408),"")</f>
        <v>Dynamic</v>
      </c>
      <c r="F408">
        <f ca="1">IFERROR(IF(0=LEN(ReferenceData!$F$408),"",ReferenceData!$F$408),"")</f>
        <v>1.0871600340000001</v>
      </c>
      <c r="G408">
        <f ca="1">IFERROR(IF(0=LEN(ReferenceData!$G$408),"",ReferenceData!$G$408),"")</f>
        <v>1.088619995</v>
      </c>
      <c r="H408">
        <f ca="1">IFERROR(IF(0=LEN(ReferenceData!$H$408),"",ReferenceData!$H$408),"")</f>
        <v>1.145300049</v>
      </c>
      <c r="I408">
        <f ca="1">IFERROR(IF(0=LEN(ReferenceData!$I$408),"",ReferenceData!$I$408),"")</f>
        <v>1.196689941</v>
      </c>
      <c r="J408">
        <f ca="1">IFERROR(IF(0=LEN(ReferenceData!$J$408),"",ReferenceData!$J$408),"")</f>
        <v>1.727170044</v>
      </c>
    </row>
    <row r="409" spans="1:10" x14ac:dyDescent="0.25">
      <c r="A409" t="str">
        <f>IFERROR(IF(0=LEN(ReferenceData!$A$409),"",ReferenceData!$A$409),"")</f>
        <v xml:space="preserve">                    Metro Inc/CN</v>
      </c>
      <c r="B409" t="str">
        <f>IFERROR(IF(0=LEN(ReferenceData!$B$409),"",ReferenceData!$B$409),"")</f>
        <v>MRU CN Equity</v>
      </c>
      <c r="C409" t="str">
        <f>IFERROR(IF(0=LEN(ReferenceData!$C$409),"",ReferenceData!$C$409),"")</f>
        <v>F0946</v>
      </c>
      <c r="D409" t="str">
        <f>IFERROR(IF(0=LEN(ReferenceData!$D$409),"",ReferenceData!$D$409),"")</f>
        <v>TOTAL_GHG_CO2_EMISSIONS</v>
      </c>
      <c r="E409" t="str">
        <f>IFERROR(IF(0=LEN(ReferenceData!$E$409),"",ReferenceData!$E$409),"")</f>
        <v>Dynamic</v>
      </c>
      <c r="F409">
        <f ca="1">IFERROR(IF(0=LEN(ReferenceData!$F$409),"",ReferenceData!$F$409),"")</f>
        <v>0.28141699199999998</v>
      </c>
      <c r="G409">
        <f ca="1">IFERROR(IF(0=LEN(ReferenceData!$G$409),"",ReferenceData!$G$409),"")</f>
        <v>0.27932299799999999</v>
      </c>
      <c r="H409">
        <f ca="1">IFERROR(IF(0=LEN(ReferenceData!$H$409),"",ReferenceData!$H$409),"")</f>
        <v>0.28863299599999998</v>
      </c>
      <c r="I409" t="str">
        <f ca="1">IFERROR(IF(0=LEN(ReferenceData!$I$409),"",ReferenceData!$I$409),"")</f>
        <v/>
      </c>
      <c r="J409" t="str">
        <f ca="1">IFERROR(IF(0=LEN(ReferenceData!$J$409),"",ReferenceData!$J$409),"")</f>
        <v/>
      </c>
    </row>
    <row r="410" spans="1:10" x14ac:dyDescent="0.25">
      <c r="A410" t="str">
        <f>IFERROR(IF(0=LEN(ReferenceData!$A$410),"",ReferenceData!$A$410),"")</f>
        <v xml:space="preserve">                    Migros Ticaret AS</v>
      </c>
      <c r="B410" t="str">
        <f>IFERROR(IF(0=LEN(ReferenceData!$B$410),"",ReferenceData!$B$410),"")</f>
        <v>MGROSTRY EO Equity</v>
      </c>
      <c r="C410" t="str">
        <f>IFERROR(IF(0=LEN(ReferenceData!$C$410),"",ReferenceData!$C$410),"")</f>
        <v>F0946</v>
      </c>
      <c r="D410" t="str">
        <f>IFERROR(IF(0=LEN(ReferenceData!$D$410),"",ReferenceData!$D$410),"")</f>
        <v>TOTAL_GHG_CO2_EMISSIONS</v>
      </c>
      <c r="E410" t="str">
        <f>IFERROR(IF(0=LEN(ReferenceData!$E$410),"",ReferenceData!$E$410),"")</f>
        <v>Dynamic</v>
      </c>
      <c r="F410" t="str">
        <f ca="1">IFERROR(IF(0=LEN(ReferenceData!$F$410),"",ReferenceData!$F$410),"")</f>
        <v/>
      </c>
      <c r="G410">
        <f ca="1">IFERROR(IF(0=LEN(ReferenceData!$G$410),"",ReferenceData!$G$410),"")</f>
        <v>0.50891500899999997</v>
      </c>
      <c r="H410">
        <f ca="1">IFERROR(IF(0=LEN(ReferenceData!$H$410),"",ReferenceData!$H$410),"")</f>
        <v>0.50401501500000001</v>
      </c>
      <c r="I410">
        <f ca="1">IFERROR(IF(0=LEN(ReferenceData!$I$410),"",ReferenceData!$I$410),"")</f>
        <v>0.50867498799999999</v>
      </c>
      <c r="J410">
        <f ca="1">IFERROR(IF(0=LEN(ReferenceData!$J$410),"",ReferenceData!$J$410),"")</f>
        <v>0.44682598899999998</v>
      </c>
    </row>
    <row r="411" spans="1:10" x14ac:dyDescent="0.25">
      <c r="A411" t="str">
        <f>IFERROR(IF(0=LEN(ReferenceData!$A$411),"",ReferenceData!$A$411),"")</f>
        <v xml:space="preserve">                    Magnit PJSC</v>
      </c>
      <c r="B411" t="str">
        <f>IFERROR(IF(0=LEN(ReferenceData!$B$411),"",ReferenceData!$B$411),"")</f>
        <v>MGNT RM Equity</v>
      </c>
      <c r="C411" t="str">
        <f>IFERROR(IF(0=LEN(ReferenceData!$C$411),"",ReferenceData!$C$411),"")</f>
        <v>F0946</v>
      </c>
      <c r="D411" t="str">
        <f>IFERROR(IF(0=LEN(ReferenceData!$D$411),"",ReferenceData!$D$411),"")</f>
        <v>TOTAL_GHG_CO2_EMISSIONS</v>
      </c>
      <c r="E411" t="str">
        <f>IFERROR(IF(0=LEN(ReferenceData!$E$411),"",ReferenceData!$E$411),"")</f>
        <v>Dynamic</v>
      </c>
      <c r="F411" t="str">
        <f ca="1">IFERROR(IF(0=LEN(ReferenceData!$F$411),"",ReferenceData!$F$411),"")</f>
        <v/>
      </c>
      <c r="G411" t="str">
        <f ca="1">IFERROR(IF(0=LEN(ReferenceData!$G$411),"",ReferenceData!$G$411),"")</f>
        <v/>
      </c>
      <c r="H411">
        <f ca="1">IFERROR(IF(0=LEN(ReferenceData!$H$411),"",ReferenceData!$H$411),"")</f>
        <v>2.6</v>
      </c>
      <c r="I411">
        <f ca="1">IFERROR(IF(0=LEN(ReferenceData!$I$411),"",ReferenceData!$I$411),"")</f>
        <v>0.9</v>
      </c>
      <c r="J411">
        <f ca="1">IFERROR(IF(0=LEN(ReferenceData!$J$411),"",ReferenceData!$J$411),"")</f>
        <v>0.8</v>
      </c>
    </row>
    <row r="412" spans="1:10" x14ac:dyDescent="0.25">
      <c r="A412" t="str">
        <f>IFERROR(IF(0=LEN(ReferenceData!$A$412),"",ReferenceData!$A$412),"")</f>
        <v xml:space="preserve">                    Meijer Inc</v>
      </c>
      <c r="B412" t="str">
        <f>IFERROR(IF(0=LEN(ReferenceData!$B$412),"",ReferenceData!$B$412),"")</f>
        <v>240163Z US Equity</v>
      </c>
      <c r="C412" t="str">
        <f>IFERROR(IF(0=LEN(ReferenceData!$C$412),"",ReferenceData!$C$412),"")</f>
        <v>F0946</v>
      </c>
      <c r="D412" t="str">
        <f>IFERROR(IF(0=LEN(ReferenceData!$D$412),"",ReferenceData!$D$412),"")</f>
        <v>TOTAL_GHG_CO2_EMISSIONS</v>
      </c>
      <c r="E412" t="str">
        <f>IFERROR(IF(0=LEN(ReferenceData!$E$412),"",ReferenceData!$E$412),"")</f>
        <v>Dynamic</v>
      </c>
      <c r="F412" t="str">
        <f ca="1">IFERROR(IF(0=LEN(ReferenceData!$F$412),"",ReferenceData!$F$412),"")</f>
        <v/>
      </c>
      <c r="G412" t="str">
        <f ca="1">IFERROR(IF(0=LEN(ReferenceData!$G$412),"",ReferenceData!$G$412),"")</f>
        <v/>
      </c>
      <c r="H412" t="str">
        <f ca="1">IFERROR(IF(0=LEN(ReferenceData!$H$412),"",ReferenceData!$H$412),"")</f>
        <v/>
      </c>
      <c r="I412" t="str">
        <f ca="1">IFERROR(IF(0=LEN(ReferenceData!$I$412),"",ReferenceData!$I$412),"")</f>
        <v/>
      </c>
      <c r="J412" t="str">
        <f ca="1">IFERROR(IF(0=LEN(ReferenceData!$J$412),"",ReferenceData!$J$412),"")</f>
        <v/>
      </c>
    </row>
    <row r="413" spans="1:10" x14ac:dyDescent="0.25">
      <c r="A413" t="str">
        <f>IFERROR(IF(0=LEN(ReferenceData!$A$413),"",ReferenceData!$A$413),"")</f>
        <v xml:space="preserve">                    Metcash Ltd</v>
      </c>
      <c r="B413" t="str">
        <f>IFERROR(IF(0=LEN(ReferenceData!$B$413),"",ReferenceData!$B$413),"")</f>
        <v>MTS AU Equity</v>
      </c>
      <c r="C413" t="str">
        <f>IFERROR(IF(0=LEN(ReferenceData!$C$413),"",ReferenceData!$C$413),"")</f>
        <v>F0946</v>
      </c>
      <c r="D413" t="str">
        <f>IFERROR(IF(0=LEN(ReferenceData!$D$413),"",ReferenceData!$D$413),"")</f>
        <v>TOTAL_GHG_CO2_EMISSIONS</v>
      </c>
      <c r="E413" t="str">
        <f>IFERROR(IF(0=LEN(ReferenceData!$E$413),"",ReferenceData!$E$413),"")</f>
        <v>Dynamic</v>
      </c>
      <c r="F413" t="str">
        <f ca="1">IFERROR(IF(0=LEN(ReferenceData!$F$413),"",ReferenceData!$F$413),"")</f>
        <v/>
      </c>
      <c r="G413">
        <f ca="1">IFERROR(IF(0=LEN(ReferenceData!$G$413),"",ReferenceData!$G$413),"")</f>
        <v>7.7706000999999997E-2</v>
      </c>
      <c r="H413">
        <f ca="1">IFERROR(IF(0=LEN(ReferenceData!$H$413),"",ReferenceData!$H$413),"")</f>
        <v>8.0648002999999996E-2</v>
      </c>
      <c r="I413">
        <f ca="1">IFERROR(IF(0=LEN(ReferenceData!$I$413),"",ReferenceData!$I$413),"")</f>
        <v>8.5241997E-2</v>
      </c>
      <c r="J413">
        <f ca="1">IFERROR(IF(0=LEN(ReferenceData!$J$413),"",ReferenceData!$J$413),"")</f>
        <v>8.7792998999999997E-2</v>
      </c>
    </row>
    <row r="414" spans="1:10" x14ac:dyDescent="0.25">
      <c r="A414" t="str">
        <f>IFERROR(IF(0=LEN(ReferenceData!$A$414),"",ReferenceData!$A$414),"")</f>
        <v xml:space="preserve">                    North West Co Inc/The</v>
      </c>
      <c r="B414" t="str">
        <f>IFERROR(IF(0=LEN(ReferenceData!$B$414),"",ReferenceData!$B$414),"")</f>
        <v>NWC CN Equity</v>
      </c>
      <c r="C414" t="str">
        <f>IFERROR(IF(0=LEN(ReferenceData!$C$414),"",ReferenceData!$C$414),"")</f>
        <v>F0946</v>
      </c>
      <c r="D414" t="str">
        <f>IFERROR(IF(0=LEN(ReferenceData!$D$414),"",ReferenceData!$D$414),"")</f>
        <v>TOTAL_GHG_CO2_EMISSIONS</v>
      </c>
      <c r="E414" t="str">
        <f>IFERROR(IF(0=LEN(ReferenceData!$E$414),"",ReferenceData!$E$414),"")</f>
        <v>Dynamic</v>
      </c>
      <c r="F414" t="str">
        <f ca="1">IFERROR(IF(0=LEN(ReferenceData!$F$414),"",ReferenceData!$F$414),"")</f>
        <v/>
      </c>
      <c r="G414" t="str">
        <f ca="1">IFERROR(IF(0=LEN(ReferenceData!$G$414),"",ReferenceData!$G$414),"")</f>
        <v/>
      </c>
      <c r="H414" t="str">
        <f ca="1">IFERROR(IF(0=LEN(ReferenceData!$H$414),"",ReferenceData!$H$414),"")</f>
        <v/>
      </c>
      <c r="I414" t="str">
        <f ca="1">IFERROR(IF(0=LEN(ReferenceData!$I$414),"",ReferenceData!$I$414),"")</f>
        <v/>
      </c>
      <c r="J414" t="str">
        <f ca="1">IFERROR(IF(0=LEN(ReferenceData!$J$414),"",ReferenceData!$J$414),"")</f>
        <v/>
      </c>
    </row>
    <row r="415" spans="1:10" x14ac:dyDescent="0.25">
      <c r="A415" t="str">
        <f>IFERROR(IF(0=LEN(ReferenceData!$A$415),"",ReferenceData!$A$415),"")</f>
        <v xml:space="preserve">                    Natural Grocers by Vitamin Cot</v>
      </c>
      <c r="B415" t="str">
        <f>IFERROR(IF(0=LEN(ReferenceData!$B$415),"",ReferenceData!$B$415),"")</f>
        <v>NGVC US Equity</v>
      </c>
      <c r="C415" t="str">
        <f>IFERROR(IF(0=LEN(ReferenceData!$C$415),"",ReferenceData!$C$415),"")</f>
        <v>F0946</v>
      </c>
      <c r="D415" t="str">
        <f>IFERROR(IF(0=LEN(ReferenceData!$D$415),"",ReferenceData!$D$415),"")</f>
        <v>TOTAL_GHG_CO2_EMISSIONS</v>
      </c>
      <c r="E415" t="str">
        <f>IFERROR(IF(0=LEN(ReferenceData!$E$415),"",ReferenceData!$E$415),"")</f>
        <v>Dynamic</v>
      </c>
      <c r="F415" t="str">
        <f ca="1">IFERROR(IF(0=LEN(ReferenceData!$F$415),"",ReferenceData!$F$415),"")</f>
        <v/>
      </c>
      <c r="G415" t="str">
        <f ca="1">IFERROR(IF(0=LEN(ReferenceData!$G$415),"",ReferenceData!$G$415),"")</f>
        <v/>
      </c>
      <c r="H415" t="str">
        <f ca="1">IFERROR(IF(0=LEN(ReferenceData!$H$415),"",ReferenceData!$H$415),"")</f>
        <v/>
      </c>
      <c r="I415" t="str">
        <f ca="1">IFERROR(IF(0=LEN(ReferenceData!$I$415),"",ReferenceData!$I$415),"")</f>
        <v/>
      </c>
      <c r="J415" t="str">
        <f ca="1">IFERROR(IF(0=LEN(ReferenceData!$J$415),"",ReferenceData!$J$415),"")</f>
        <v/>
      </c>
    </row>
    <row r="416" spans="1:10" x14ac:dyDescent="0.25">
      <c r="A416" t="str">
        <f>IFERROR(IF(0=LEN(ReferenceData!$A$416),"",ReferenceData!$A$416),"")</f>
        <v xml:space="preserve">                    O'Key Group SA</v>
      </c>
      <c r="B416" t="str">
        <f>IFERROR(IF(0=LEN(ReferenceData!$B$416),"",ReferenceData!$B$416),"")</f>
        <v>OKEY LI Equity</v>
      </c>
      <c r="C416" t="str">
        <f>IFERROR(IF(0=LEN(ReferenceData!$C$416),"",ReferenceData!$C$416),"")</f>
        <v>F0946</v>
      </c>
      <c r="D416" t="str">
        <f>IFERROR(IF(0=LEN(ReferenceData!$D$416),"",ReferenceData!$D$416),"")</f>
        <v>TOTAL_GHG_CO2_EMISSIONS</v>
      </c>
      <c r="E416" t="str">
        <f>IFERROR(IF(0=LEN(ReferenceData!$E$416),"",ReferenceData!$E$416),"")</f>
        <v>Dynamic</v>
      </c>
      <c r="F416" t="str">
        <f ca="1">IFERROR(IF(0=LEN(ReferenceData!$F$416),"",ReferenceData!$F$416),"")</f>
        <v/>
      </c>
      <c r="G416" t="str">
        <f ca="1">IFERROR(IF(0=LEN(ReferenceData!$G$416),"",ReferenceData!$G$416),"")</f>
        <v/>
      </c>
      <c r="H416" t="str">
        <f ca="1">IFERROR(IF(0=LEN(ReferenceData!$H$416),"",ReferenceData!$H$416),"")</f>
        <v/>
      </c>
      <c r="I416" t="str">
        <f ca="1">IFERROR(IF(0=LEN(ReferenceData!$I$416),"",ReferenceData!$I$416),"")</f>
        <v/>
      </c>
      <c r="J416" t="str">
        <f ca="1">IFERROR(IF(0=LEN(ReferenceData!$J$416),"",ReferenceData!$J$416),"")</f>
        <v/>
      </c>
    </row>
    <row r="417" spans="1:10" x14ac:dyDescent="0.25">
      <c r="A417" t="str">
        <f>IFERROR(IF(0=LEN(ReferenceData!$A$417),"",ReferenceData!$A$417),"")</f>
        <v xml:space="preserve">                    Ocado Group PLC</v>
      </c>
      <c r="B417" t="str">
        <f>IFERROR(IF(0=LEN(ReferenceData!$B$417),"",ReferenceData!$B$417),"")</f>
        <v>OCDO LN Equity</v>
      </c>
      <c r="C417" t="str">
        <f>IFERROR(IF(0=LEN(ReferenceData!$C$417),"",ReferenceData!$C$417),"")</f>
        <v>F0946</v>
      </c>
      <c r="D417" t="str">
        <f>IFERROR(IF(0=LEN(ReferenceData!$D$417),"",ReferenceData!$D$417),"")</f>
        <v>TOTAL_GHG_CO2_EMISSIONS</v>
      </c>
      <c r="E417" t="str">
        <f>IFERROR(IF(0=LEN(ReferenceData!$E$417),"",ReferenceData!$E$417),"")</f>
        <v>Dynamic</v>
      </c>
      <c r="F417" t="str">
        <f ca="1">IFERROR(IF(0=LEN(ReferenceData!$F$417),"",ReferenceData!$F$417),"")</f>
        <v/>
      </c>
      <c r="G417">
        <f ca="1">IFERROR(IF(0=LEN(ReferenceData!$G$417),"",ReferenceData!$G$417),"")</f>
        <v>0.117460999</v>
      </c>
      <c r="H417">
        <f ca="1">IFERROR(IF(0=LEN(ReferenceData!$H$417),"",ReferenceData!$H$417),"")</f>
        <v>0.108681999</v>
      </c>
      <c r="I417">
        <f ca="1">IFERROR(IF(0=LEN(ReferenceData!$I$417),"",ReferenceData!$I$417),"")</f>
        <v>0.10931300400000001</v>
      </c>
      <c r="J417">
        <f ca="1">IFERROR(IF(0=LEN(ReferenceData!$J$417),"",ReferenceData!$J$417),"")</f>
        <v>0.112728996</v>
      </c>
    </row>
    <row r="418" spans="1:10" x14ac:dyDescent="0.25">
      <c r="A418" t="str">
        <f>IFERROR(IF(0=LEN(ReferenceData!$A$418),"",ReferenceData!$A$418),"")</f>
        <v xml:space="preserve">                    Pan Pacific International Hold</v>
      </c>
      <c r="B418" t="str">
        <f>IFERROR(IF(0=LEN(ReferenceData!$B$418),"",ReferenceData!$B$418),"")</f>
        <v>7532 JP Equity</v>
      </c>
      <c r="C418" t="str">
        <f>IFERROR(IF(0=LEN(ReferenceData!$C$418),"",ReferenceData!$C$418),"")</f>
        <v>F0946</v>
      </c>
      <c r="D418" t="str">
        <f>IFERROR(IF(0=LEN(ReferenceData!$D$418),"",ReferenceData!$D$418),"")</f>
        <v>TOTAL_GHG_CO2_EMISSIONS</v>
      </c>
      <c r="E418" t="str">
        <f>IFERROR(IF(0=LEN(ReferenceData!$E$418),"",ReferenceData!$E$418),"")</f>
        <v>Dynamic</v>
      </c>
      <c r="F418" t="str">
        <f ca="1">IFERROR(IF(0=LEN(ReferenceData!$F$418),"",ReferenceData!$F$418),"")</f>
        <v/>
      </c>
      <c r="G418" t="str">
        <f ca="1">IFERROR(IF(0=LEN(ReferenceData!$G$418),"",ReferenceData!$G$418),"")</f>
        <v/>
      </c>
      <c r="H418">
        <f ca="1">IFERROR(IF(0=LEN(ReferenceData!$H$418),"",ReferenceData!$H$418),"")</f>
        <v>0.55542297399999996</v>
      </c>
      <c r="I418">
        <f ca="1">IFERROR(IF(0=LEN(ReferenceData!$I$418),"",ReferenceData!$I$418),"")</f>
        <v>0.58657299799999996</v>
      </c>
      <c r="J418">
        <f ca="1">IFERROR(IF(0=LEN(ReferenceData!$J$418),"",ReferenceData!$J$418),"")</f>
        <v>0.36479998800000002</v>
      </c>
    </row>
    <row r="419" spans="1:10" x14ac:dyDescent="0.25">
      <c r="A419" t="str">
        <f>IFERROR(IF(0=LEN(ReferenceData!$A$419),"",ReferenceData!$A$419),"")</f>
        <v xml:space="preserve">                    President Chain Store Corp</v>
      </c>
      <c r="B419" t="str">
        <f>IFERROR(IF(0=LEN(ReferenceData!$B$419),"",ReferenceData!$B$419),"")</f>
        <v>2912 TT Equity</v>
      </c>
      <c r="C419" t="str">
        <f>IFERROR(IF(0=LEN(ReferenceData!$C$419),"",ReferenceData!$C$419),"")</f>
        <v>F0946</v>
      </c>
      <c r="D419" t="str">
        <f>IFERROR(IF(0=LEN(ReferenceData!$D$419),"",ReferenceData!$D$419),"")</f>
        <v>TOTAL_GHG_CO2_EMISSIONS</v>
      </c>
      <c r="E419" t="str">
        <f>IFERROR(IF(0=LEN(ReferenceData!$E$419),"",ReferenceData!$E$419),"")</f>
        <v>Dynamic</v>
      </c>
      <c r="F419" t="str">
        <f ca="1">IFERROR(IF(0=LEN(ReferenceData!$F$419),"",ReferenceData!$F$419),"")</f>
        <v/>
      </c>
      <c r="G419">
        <f ca="1">IFERROR(IF(0=LEN(ReferenceData!$G$419),"",ReferenceData!$G$419),"")</f>
        <v>0.49618600499999999</v>
      </c>
      <c r="H419">
        <f ca="1">IFERROR(IF(0=LEN(ReferenceData!$H$419),"",ReferenceData!$H$419),"")</f>
        <v>0.50327600100000003</v>
      </c>
      <c r="I419">
        <f ca="1">IFERROR(IF(0=LEN(ReferenceData!$I$419),"",ReferenceData!$I$419),"")</f>
        <v>0.47676800499999999</v>
      </c>
      <c r="J419">
        <f ca="1">IFERROR(IF(0=LEN(ReferenceData!$J$419),"",ReferenceData!$J$419),"")</f>
        <v>0.601911011</v>
      </c>
    </row>
    <row r="420" spans="1:10" x14ac:dyDescent="0.25">
      <c r="A420" t="str">
        <f>IFERROR(IF(0=LEN(ReferenceData!$A$420),"",ReferenceData!$A$420),"")</f>
        <v xml:space="preserve">                    Puljanka dd Pula</v>
      </c>
      <c r="B420" t="str">
        <f>IFERROR(IF(0=LEN(ReferenceData!$B$420),"",ReferenceData!$B$420),"")</f>
        <v>PLJKRA CZ Equity</v>
      </c>
      <c r="C420" t="str">
        <f>IFERROR(IF(0=LEN(ReferenceData!$C$420),"",ReferenceData!$C$420),"")</f>
        <v>F0946</v>
      </c>
      <c r="D420" t="str">
        <f>IFERROR(IF(0=LEN(ReferenceData!$D$420),"",ReferenceData!$D$420),"")</f>
        <v>TOTAL_GHG_CO2_EMISSIONS</v>
      </c>
      <c r="E420" t="str">
        <f>IFERROR(IF(0=LEN(ReferenceData!$E$420),"",ReferenceData!$E$420),"")</f>
        <v>Dynamic</v>
      </c>
      <c r="F420" t="str">
        <f ca="1">IFERROR(IF(0=LEN(ReferenceData!$F$420),"",ReferenceData!$F$420),"")</f>
        <v/>
      </c>
      <c r="G420" t="str">
        <f ca="1">IFERROR(IF(0=LEN(ReferenceData!$G$420),"",ReferenceData!$G$420),"")</f>
        <v/>
      </c>
      <c r="H420" t="str">
        <f ca="1">IFERROR(IF(0=LEN(ReferenceData!$H$420),"",ReferenceData!$H$420),"")</f>
        <v/>
      </c>
      <c r="I420" t="str">
        <f ca="1">IFERROR(IF(0=LEN(ReferenceData!$I$420),"",ReferenceData!$I$420),"")</f>
        <v/>
      </c>
      <c r="J420" t="str">
        <f ca="1">IFERROR(IF(0=LEN(ReferenceData!$J$420),"",ReferenceData!$J$420),"")</f>
        <v/>
      </c>
    </row>
    <row r="421" spans="1:10" x14ac:dyDescent="0.25">
      <c r="A421" t="str">
        <f>IFERROR(IF(0=LEN(ReferenceData!$A$421),"",ReferenceData!$A$421),"")</f>
        <v xml:space="preserve">                    Pick n Pay Stores Ltd</v>
      </c>
      <c r="B421" t="str">
        <f>IFERROR(IF(0=LEN(ReferenceData!$B$421),"",ReferenceData!$B$421),"")</f>
        <v>PIK SJ Equity</v>
      </c>
      <c r="C421" t="str">
        <f>IFERROR(IF(0=LEN(ReferenceData!$C$421),"",ReferenceData!$C$421),"")</f>
        <v>F0946</v>
      </c>
      <c r="D421" t="str">
        <f>IFERROR(IF(0=LEN(ReferenceData!$D$421),"",ReferenceData!$D$421),"")</f>
        <v>TOTAL_GHG_CO2_EMISSIONS</v>
      </c>
      <c r="E421" t="str">
        <f>IFERROR(IF(0=LEN(ReferenceData!$E$421),"",ReferenceData!$E$421),"")</f>
        <v>Dynamic</v>
      </c>
      <c r="F421">
        <f ca="1">IFERROR(IF(0=LEN(ReferenceData!$F$421),"",ReferenceData!$F$421),"")</f>
        <v>1.1433399660000001</v>
      </c>
      <c r="G421">
        <f ca="1">IFERROR(IF(0=LEN(ReferenceData!$G$421),"",ReferenceData!$G$421),"")</f>
        <v>0.97136700399999998</v>
      </c>
      <c r="H421">
        <f ca="1">IFERROR(IF(0=LEN(ReferenceData!$H$421),"",ReferenceData!$H$421),"")</f>
        <v>0.88959497099999996</v>
      </c>
      <c r="I421">
        <f ca="1">IFERROR(IF(0=LEN(ReferenceData!$I$421),"",ReferenceData!$I$421),"")</f>
        <v>0.98722997999999995</v>
      </c>
      <c r="J421">
        <f ca="1">IFERROR(IF(0=LEN(ReferenceData!$J$421),"",ReferenceData!$J$421),"")</f>
        <v>0.82656402600000001</v>
      </c>
    </row>
    <row r="422" spans="1:10" x14ac:dyDescent="0.25">
      <c r="A422" t="str">
        <f>IFERROR(IF(0=LEN(ReferenceData!$A$422),"",ReferenceData!$A$422),"")</f>
        <v xml:space="preserve">                    Renrenle Commercial Group Co L</v>
      </c>
      <c r="B422" t="str">
        <f>IFERROR(IF(0=LEN(ReferenceData!$B$422),"",ReferenceData!$B$422),"")</f>
        <v>002336 CH Equity</v>
      </c>
      <c r="C422" t="str">
        <f>IFERROR(IF(0=LEN(ReferenceData!$C$422),"",ReferenceData!$C$422),"")</f>
        <v>F0946</v>
      </c>
      <c r="D422" t="str">
        <f>IFERROR(IF(0=LEN(ReferenceData!$D$422),"",ReferenceData!$D$422),"")</f>
        <v>TOTAL_GHG_CO2_EMISSIONS</v>
      </c>
      <c r="E422" t="str">
        <f>IFERROR(IF(0=LEN(ReferenceData!$E$422),"",ReferenceData!$E$422),"")</f>
        <v>Dynamic</v>
      </c>
      <c r="F422" t="str">
        <f ca="1">IFERROR(IF(0=LEN(ReferenceData!$F$422),"",ReferenceData!$F$422),"")</f>
        <v/>
      </c>
      <c r="G422" t="str">
        <f ca="1">IFERROR(IF(0=LEN(ReferenceData!$G$422),"",ReferenceData!$G$422),"")</f>
        <v/>
      </c>
      <c r="H422" t="str">
        <f ca="1">IFERROR(IF(0=LEN(ReferenceData!$H$422),"",ReferenceData!$H$422),"")</f>
        <v/>
      </c>
      <c r="I422" t="str">
        <f ca="1">IFERROR(IF(0=LEN(ReferenceData!$I$422),"",ReferenceData!$I$422),"")</f>
        <v/>
      </c>
      <c r="J422" t="str">
        <f ca="1">IFERROR(IF(0=LEN(ReferenceData!$J$422),"",ReferenceData!$J$422),"")</f>
        <v/>
      </c>
    </row>
    <row r="423" spans="1:10" x14ac:dyDescent="0.25">
      <c r="A423" t="str">
        <f>IFERROR(IF(0=LEN(ReferenceData!$A$423),"",ReferenceData!$A$423),"")</f>
        <v xml:space="preserve">                    REWE-Handelsgruppe Gmbh</v>
      </c>
      <c r="B423" t="str">
        <f>IFERROR(IF(0=LEN(ReferenceData!$B$423),"",ReferenceData!$B$423),"")</f>
        <v>1002Z GR Equity</v>
      </c>
      <c r="C423" t="str">
        <f>IFERROR(IF(0=LEN(ReferenceData!$C$423),"",ReferenceData!$C$423),"")</f>
        <v>F0946</v>
      </c>
      <c r="D423" t="str">
        <f>IFERROR(IF(0=LEN(ReferenceData!$D$423),"",ReferenceData!$D$423),"")</f>
        <v>TOTAL_GHG_CO2_EMISSIONS</v>
      </c>
      <c r="E423" t="str">
        <f>IFERROR(IF(0=LEN(ReferenceData!$E$423),"",ReferenceData!$E$423),"")</f>
        <v>Dynamic</v>
      </c>
      <c r="F423" t="str">
        <f ca="1">IFERROR(IF(0=LEN(ReferenceData!$F$423),"",ReferenceData!$F$423),"")</f>
        <v/>
      </c>
      <c r="G423" t="str">
        <f ca="1">IFERROR(IF(0=LEN(ReferenceData!$G$423),"",ReferenceData!$G$423),"")</f>
        <v/>
      </c>
      <c r="H423" t="str">
        <f ca="1">IFERROR(IF(0=LEN(ReferenceData!$H$423),"",ReferenceData!$H$423),"")</f>
        <v/>
      </c>
      <c r="I423" t="str">
        <f ca="1">IFERROR(IF(0=LEN(ReferenceData!$I$423),"",ReferenceData!$I$423),"")</f>
        <v/>
      </c>
      <c r="J423" t="str">
        <f ca="1">IFERROR(IF(0=LEN(ReferenceData!$J$423),"",ReferenceData!$J$423),"")</f>
        <v/>
      </c>
    </row>
    <row r="424" spans="1:10" x14ac:dyDescent="0.25">
      <c r="A424" t="str">
        <f>IFERROR(IF(0=LEN(ReferenceData!$A$424),"",ReferenceData!$A$424),"")</f>
        <v xml:space="preserve">                    Robinsons Retail Holdings Inc</v>
      </c>
      <c r="B424" t="str">
        <f>IFERROR(IF(0=LEN(ReferenceData!$B$424),"",ReferenceData!$B$424),"")</f>
        <v>RRHI PM Equity</v>
      </c>
      <c r="C424" t="str">
        <f>IFERROR(IF(0=LEN(ReferenceData!$C$424),"",ReferenceData!$C$424),"")</f>
        <v>F0946</v>
      </c>
      <c r="D424" t="str">
        <f>IFERROR(IF(0=LEN(ReferenceData!$D$424),"",ReferenceData!$D$424),"")</f>
        <v>TOTAL_GHG_CO2_EMISSIONS</v>
      </c>
      <c r="E424" t="str">
        <f>IFERROR(IF(0=LEN(ReferenceData!$E$424),"",ReferenceData!$E$424),"")</f>
        <v>Dynamic</v>
      </c>
      <c r="F424" t="str">
        <f ca="1">IFERROR(IF(0=LEN(ReferenceData!$F$424),"",ReferenceData!$F$424),"")</f>
        <v/>
      </c>
      <c r="G424">
        <f ca="1">IFERROR(IF(0=LEN(ReferenceData!$G$424),"",ReferenceData!$G$424),"")</f>
        <v>0.36916400199999999</v>
      </c>
      <c r="H424" t="str">
        <f ca="1">IFERROR(IF(0=LEN(ReferenceData!$H$424),"",ReferenceData!$H$424),"")</f>
        <v/>
      </c>
      <c r="I424" t="str">
        <f ca="1">IFERROR(IF(0=LEN(ReferenceData!$I$424),"",ReferenceData!$I$424),"")</f>
        <v/>
      </c>
      <c r="J424">
        <f ca="1">IFERROR(IF(0=LEN(ReferenceData!$J$424),"",ReferenceData!$J$424),"")</f>
        <v>0.17317500299999999</v>
      </c>
    </row>
    <row r="425" spans="1:10" x14ac:dyDescent="0.25">
      <c r="A425" t="str">
        <f>IFERROR(IF(0=LEN(ReferenceData!$A$425),"",ReferenceData!$A$425),"")</f>
        <v xml:space="preserve">                    Roundy's Inc</v>
      </c>
      <c r="B425" t="str">
        <f>IFERROR(IF(0=LEN(ReferenceData!$B$425),"",ReferenceData!$B$425),"")</f>
        <v>RNDY US Equity</v>
      </c>
      <c r="C425" t="str">
        <f>IFERROR(IF(0=LEN(ReferenceData!$C$425),"",ReferenceData!$C$425),"")</f>
        <v>F0946</v>
      </c>
      <c r="D425" t="str">
        <f>IFERROR(IF(0=LEN(ReferenceData!$D$425),"",ReferenceData!$D$425),"")</f>
        <v>TOTAL_GHG_CO2_EMISSIONS</v>
      </c>
      <c r="E425" t="str">
        <f>IFERROR(IF(0=LEN(ReferenceData!$E$425),"",ReferenceData!$E$425),"")</f>
        <v>Dynamic</v>
      </c>
      <c r="F425" t="str">
        <f ca="1">IFERROR(IF(0=LEN(ReferenceData!$F$425),"",ReferenceData!$F$425),"")</f>
        <v/>
      </c>
      <c r="G425" t="str">
        <f ca="1">IFERROR(IF(0=LEN(ReferenceData!$G$425),"",ReferenceData!$G$425),"")</f>
        <v/>
      </c>
      <c r="H425" t="str">
        <f ca="1">IFERROR(IF(0=LEN(ReferenceData!$H$425),"",ReferenceData!$H$425),"")</f>
        <v/>
      </c>
      <c r="I425" t="str">
        <f ca="1">IFERROR(IF(0=LEN(ReferenceData!$I$425),"",ReferenceData!$I$425),"")</f>
        <v/>
      </c>
      <c r="J425" t="str">
        <f ca="1">IFERROR(IF(0=LEN(ReferenceData!$J$425),"",ReferenceData!$J$425),"")</f>
        <v/>
      </c>
    </row>
    <row r="426" spans="1:10" x14ac:dyDescent="0.25">
      <c r="A426" t="str">
        <f>IFERROR(IF(0=LEN(ReferenceData!$A$426),"",ReferenceData!$A$426),"")</f>
        <v xml:space="preserve">                    Sendas Distribuidora S/A</v>
      </c>
      <c r="B426" t="str">
        <f>IFERROR(IF(0=LEN(ReferenceData!$B$426),"",ReferenceData!$B$426),"")</f>
        <v>ASAI3 BZ Equity</v>
      </c>
      <c r="C426" t="str">
        <f>IFERROR(IF(0=LEN(ReferenceData!$C$426),"",ReferenceData!$C$426),"")</f>
        <v>F0946</v>
      </c>
      <c r="D426" t="str">
        <f>IFERROR(IF(0=LEN(ReferenceData!$D$426),"",ReferenceData!$D$426),"")</f>
        <v>TOTAL_GHG_CO2_EMISSIONS</v>
      </c>
      <c r="E426" t="str">
        <f>IFERROR(IF(0=LEN(ReferenceData!$E$426),"",ReferenceData!$E$426),"")</f>
        <v>Dynamic</v>
      </c>
      <c r="F426">
        <f ca="1">IFERROR(IF(0=LEN(ReferenceData!$F$426),"",ReferenceData!$F$426),"")</f>
        <v>0.113592003</v>
      </c>
      <c r="G426">
        <f ca="1">IFERROR(IF(0=LEN(ReferenceData!$G$426),"",ReferenceData!$G$426),"")</f>
        <v>0.15711999500000001</v>
      </c>
      <c r="H426">
        <f ca="1">IFERROR(IF(0=LEN(ReferenceData!$H$426),"",ReferenceData!$H$426),"")</f>
        <v>0.14114300499999999</v>
      </c>
      <c r="I426" t="str">
        <f ca="1">IFERROR(IF(0=LEN(ReferenceData!$I$426),"",ReferenceData!$I$426),"")</f>
        <v/>
      </c>
      <c r="J426" t="str">
        <f ca="1">IFERROR(IF(0=LEN(ReferenceData!$J$426),"",ReferenceData!$J$426),"")</f>
        <v/>
      </c>
    </row>
    <row r="427" spans="1:10" x14ac:dyDescent="0.25">
      <c r="A427" t="str">
        <f>IFERROR(IF(0=LEN(ReferenceData!$A$427),"",ReferenceData!$A$427),"")</f>
        <v xml:space="preserve">                    Shanghai Bailian Group Co Ltd</v>
      </c>
      <c r="B427" t="str">
        <f>IFERROR(IF(0=LEN(ReferenceData!$B$427),"",ReferenceData!$B$427),"")</f>
        <v>900923 CH Equity</v>
      </c>
      <c r="C427" t="str">
        <f>IFERROR(IF(0=LEN(ReferenceData!$C$427),"",ReferenceData!$C$427),"")</f>
        <v>F0946</v>
      </c>
      <c r="D427" t="str">
        <f>IFERROR(IF(0=LEN(ReferenceData!$D$427),"",ReferenceData!$D$427),"")</f>
        <v>TOTAL_GHG_CO2_EMISSIONS</v>
      </c>
      <c r="E427" t="str">
        <f>IFERROR(IF(0=LEN(ReferenceData!$E$427),"",ReferenceData!$E$427),"")</f>
        <v>Dynamic</v>
      </c>
      <c r="F427" t="str">
        <f ca="1">IFERROR(IF(0=LEN(ReferenceData!$F$427),"",ReferenceData!$F$427),"")</f>
        <v/>
      </c>
      <c r="G427" t="str">
        <f ca="1">IFERROR(IF(0=LEN(ReferenceData!$G$427),"",ReferenceData!$G$427),"")</f>
        <v/>
      </c>
      <c r="H427" t="str">
        <f ca="1">IFERROR(IF(0=LEN(ReferenceData!$H$427),"",ReferenceData!$H$427),"")</f>
        <v/>
      </c>
      <c r="I427" t="str">
        <f ca="1">IFERROR(IF(0=LEN(ReferenceData!$I$427),"",ReferenceData!$I$427),"")</f>
        <v/>
      </c>
      <c r="J427" t="str">
        <f ca="1">IFERROR(IF(0=LEN(ReferenceData!$J$427),"",ReferenceData!$J$427),"")</f>
        <v/>
      </c>
    </row>
    <row r="428" spans="1:10" x14ac:dyDescent="0.25">
      <c r="A428" t="str">
        <f>IFERROR(IF(0=LEN(ReferenceData!$A$428),"",ReferenceData!$A$428),"")</f>
        <v xml:space="preserve">                    Shanghai Bailian Group Co Ltd</v>
      </c>
      <c r="B428" t="str">
        <f>IFERROR(IF(0=LEN(ReferenceData!$B$428),"",ReferenceData!$B$428),"")</f>
        <v>600827 CH Equity</v>
      </c>
      <c r="C428" t="str">
        <f>IFERROR(IF(0=LEN(ReferenceData!$C$428),"",ReferenceData!$C$428),"")</f>
        <v>F0946</v>
      </c>
      <c r="D428" t="str">
        <f>IFERROR(IF(0=LEN(ReferenceData!$D$428),"",ReferenceData!$D$428),"")</f>
        <v>TOTAL_GHG_CO2_EMISSIONS</v>
      </c>
      <c r="E428" t="str">
        <f>IFERROR(IF(0=LEN(ReferenceData!$E$428),"",ReferenceData!$E$428),"")</f>
        <v>Dynamic</v>
      </c>
      <c r="F428" t="str">
        <f ca="1">IFERROR(IF(0=LEN(ReferenceData!$F$428),"",ReferenceData!$F$428),"")</f>
        <v/>
      </c>
      <c r="G428" t="str">
        <f ca="1">IFERROR(IF(0=LEN(ReferenceData!$G$428),"",ReferenceData!$G$428),"")</f>
        <v/>
      </c>
      <c r="H428" t="str">
        <f ca="1">IFERROR(IF(0=LEN(ReferenceData!$H$428),"",ReferenceData!$H$428),"")</f>
        <v/>
      </c>
      <c r="I428" t="str">
        <f ca="1">IFERROR(IF(0=LEN(ReferenceData!$I$428),"",ReferenceData!$I$428),"")</f>
        <v/>
      </c>
      <c r="J428" t="str">
        <f ca="1">IFERROR(IF(0=LEN(ReferenceData!$J$428),"",ReferenceData!$J$428),"")</f>
        <v/>
      </c>
    </row>
    <row r="429" spans="1:10" x14ac:dyDescent="0.25">
      <c r="A429" t="str">
        <f>IFERROR(IF(0=LEN(ReferenceData!$A$429),"",ReferenceData!$A$429),"")</f>
        <v xml:space="preserve">                    Shoprite Holdings Ltd</v>
      </c>
      <c r="B429" t="str">
        <f>IFERROR(IF(0=LEN(ReferenceData!$B$429),"",ReferenceData!$B$429),"")</f>
        <v>SHP SJ Equity</v>
      </c>
      <c r="C429" t="str">
        <f>IFERROR(IF(0=LEN(ReferenceData!$C$429),"",ReferenceData!$C$429),"")</f>
        <v>F0946</v>
      </c>
      <c r="D429" t="str">
        <f>IFERROR(IF(0=LEN(ReferenceData!$D$429),"",ReferenceData!$D$429),"")</f>
        <v>TOTAL_GHG_CO2_EMISSIONS</v>
      </c>
      <c r="E429" t="str">
        <f>IFERROR(IF(0=LEN(ReferenceData!$E$429),"",ReferenceData!$E$429),"")</f>
        <v>Dynamic</v>
      </c>
      <c r="F429" t="str">
        <f ca="1">IFERROR(IF(0=LEN(ReferenceData!$F$429),"",ReferenceData!$F$429),"")</f>
        <v/>
      </c>
      <c r="G429">
        <f ca="1">IFERROR(IF(0=LEN(ReferenceData!$G$429),"",ReferenceData!$G$429),"")</f>
        <v>2.460899902</v>
      </c>
      <c r="H429">
        <f ca="1">IFERROR(IF(0=LEN(ReferenceData!$H$429),"",ReferenceData!$H$429),"")</f>
        <v>2.4421000980000001</v>
      </c>
      <c r="I429">
        <f ca="1">IFERROR(IF(0=LEN(ReferenceData!$I$429),"",ReferenceData!$I$429),"")</f>
        <v>2.569709961</v>
      </c>
      <c r="J429">
        <f ca="1">IFERROR(IF(0=LEN(ReferenceData!$J$429),"",ReferenceData!$J$429),"")</f>
        <v>2.2823601070000001</v>
      </c>
    </row>
    <row r="430" spans="1:10" x14ac:dyDescent="0.25">
      <c r="A430" t="str">
        <f>IFERROR(IF(0=LEN(ReferenceData!$A$430),"",ReferenceData!$A$430),"")</f>
        <v xml:space="preserve">                    Siam Makro PCL</v>
      </c>
      <c r="B430" t="str">
        <f>IFERROR(IF(0=LEN(ReferenceData!$B$430),"",ReferenceData!$B$430),"")</f>
        <v>MAKRO TB Equity</v>
      </c>
      <c r="C430" t="str">
        <f>IFERROR(IF(0=LEN(ReferenceData!$C$430),"",ReferenceData!$C$430),"")</f>
        <v>F0946</v>
      </c>
      <c r="D430" t="str">
        <f>IFERROR(IF(0=LEN(ReferenceData!$D$430),"",ReferenceData!$D$430),"")</f>
        <v>TOTAL_GHG_CO2_EMISSIONS</v>
      </c>
      <c r="E430" t="str">
        <f>IFERROR(IF(0=LEN(ReferenceData!$E$430),"",ReferenceData!$E$430),"")</f>
        <v>Dynamic</v>
      </c>
      <c r="F430">
        <f ca="1">IFERROR(IF(0=LEN(ReferenceData!$F$430),"",ReferenceData!$F$430),"")</f>
        <v>0.71808697499999996</v>
      </c>
      <c r="G430">
        <f ca="1">IFERROR(IF(0=LEN(ReferenceData!$G$430),"",ReferenceData!$G$430),"")</f>
        <v>0.25151699799999999</v>
      </c>
      <c r="H430">
        <f ca="1">IFERROR(IF(0=LEN(ReferenceData!$H$430),"",ReferenceData!$H$430),"")</f>
        <v>0.23347599799999999</v>
      </c>
      <c r="I430">
        <f ca="1">IFERROR(IF(0=LEN(ReferenceData!$I$430),"",ReferenceData!$I$430),"")</f>
        <v>0.26287500000000003</v>
      </c>
      <c r="J430">
        <f ca="1">IFERROR(IF(0=LEN(ReferenceData!$J$430),"",ReferenceData!$J$430),"")</f>
        <v>0.259622986</v>
      </c>
    </row>
    <row r="431" spans="1:10" x14ac:dyDescent="0.25">
      <c r="A431" t="str">
        <f>IFERROR(IF(0=LEN(ReferenceData!$A$431),"",ReferenceData!$A$431),"")</f>
        <v xml:space="preserve">                    SpartanNash Co</v>
      </c>
      <c r="B431" t="str">
        <f>IFERROR(IF(0=LEN(ReferenceData!$B$431),"",ReferenceData!$B$431),"")</f>
        <v>SPTN US Equity</v>
      </c>
      <c r="C431" t="str">
        <f>IFERROR(IF(0=LEN(ReferenceData!$C$431),"",ReferenceData!$C$431),"")</f>
        <v>F0946</v>
      </c>
      <c r="D431" t="str">
        <f>IFERROR(IF(0=LEN(ReferenceData!$D$431),"",ReferenceData!$D$431),"")</f>
        <v>TOTAL_GHG_CO2_EMISSIONS</v>
      </c>
      <c r="E431" t="str">
        <f>IFERROR(IF(0=LEN(ReferenceData!$E$431),"",ReferenceData!$E$431),"")</f>
        <v>Dynamic</v>
      </c>
      <c r="F431" t="str">
        <f ca="1">IFERROR(IF(0=LEN(ReferenceData!$F$431),"",ReferenceData!$F$431),"")</f>
        <v/>
      </c>
      <c r="G431" t="str">
        <f ca="1">IFERROR(IF(0=LEN(ReferenceData!$G$431),"",ReferenceData!$G$431),"")</f>
        <v/>
      </c>
      <c r="H431" t="str">
        <f ca="1">IFERROR(IF(0=LEN(ReferenceData!$H$431),"",ReferenceData!$H$431),"")</f>
        <v/>
      </c>
      <c r="I431" t="str">
        <f ca="1">IFERROR(IF(0=LEN(ReferenceData!$I$431),"",ReferenceData!$I$431),"")</f>
        <v/>
      </c>
      <c r="J431" t="str">
        <f ca="1">IFERROR(IF(0=LEN(ReferenceData!$J$431),"",ReferenceData!$J$431),"")</f>
        <v/>
      </c>
    </row>
    <row r="432" spans="1:10" x14ac:dyDescent="0.25">
      <c r="A432" t="str">
        <f>IFERROR(IF(0=LEN(ReferenceData!$A$432),"",ReferenceData!$A$432),"")</f>
        <v xml:space="preserve">                    Sumber Alfaria Trijaya Tbk PT</v>
      </c>
      <c r="B432" t="str">
        <f>IFERROR(IF(0=LEN(ReferenceData!$B$432),"",ReferenceData!$B$432),"")</f>
        <v>AMRT IJ Equity</v>
      </c>
      <c r="C432" t="str">
        <f>IFERROR(IF(0=LEN(ReferenceData!$C$432),"",ReferenceData!$C$432),"")</f>
        <v>F0946</v>
      </c>
      <c r="D432" t="str">
        <f>IFERROR(IF(0=LEN(ReferenceData!$D$432),"",ReferenceData!$D$432),"")</f>
        <v>TOTAL_GHG_CO2_EMISSIONS</v>
      </c>
      <c r="E432" t="str">
        <f>IFERROR(IF(0=LEN(ReferenceData!$E$432),"",ReferenceData!$E$432),"")</f>
        <v>Dynamic</v>
      </c>
      <c r="F432">
        <f ca="1">IFERROR(IF(0=LEN(ReferenceData!$F$432),"",ReferenceData!$F$432),"")</f>
        <v>6.8444500000000002E-3</v>
      </c>
      <c r="G432">
        <f ca="1">IFERROR(IF(0=LEN(ReferenceData!$G$432),"",ReferenceData!$G$432),"")</f>
        <v>6.2876199999999998E-3</v>
      </c>
      <c r="H432">
        <f ca="1">IFERROR(IF(0=LEN(ReferenceData!$H$432),"",ReferenceData!$H$432),"")</f>
        <v>6.3629799999999999E-3</v>
      </c>
      <c r="I432" t="str">
        <f ca="1">IFERROR(IF(0=LEN(ReferenceData!$I$432),"",ReferenceData!$I$432),"")</f>
        <v/>
      </c>
      <c r="J432" t="str">
        <f ca="1">IFERROR(IF(0=LEN(ReferenceData!$J$432),"",ReferenceData!$J$432),"")</f>
        <v/>
      </c>
    </row>
    <row r="433" spans="1:10" x14ac:dyDescent="0.25">
      <c r="A433" t="str">
        <f>IFERROR(IF(0=LEN(ReferenceData!$A$433),"",ReferenceData!$A$433),"")</f>
        <v xml:space="preserve">                    Sun Art Retail Group Ltd</v>
      </c>
      <c r="B433" t="str">
        <f>IFERROR(IF(0=LEN(ReferenceData!$B$433),"",ReferenceData!$B$433),"")</f>
        <v>6808 HK Equity</v>
      </c>
      <c r="C433" t="str">
        <f>IFERROR(IF(0=LEN(ReferenceData!$C$433),"",ReferenceData!$C$433),"")</f>
        <v>F0946</v>
      </c>
      <c r="D433" t="str">
        <f>IFERROR(IF(0=LEN(ReferenceData!$D$433),"",ReferenceData!$D$433),"")</f>
        <v>TOTAL_GHG_CO2_EMISSIONS</v>
      </c>
      <c r="E433" t="str">
        <f>IFERROR(IF(0=LEN(ReferenceData!$E$433),"",ReferenceData!$E$433),"")</f>
        <v>Dynamic</v>
      </c>
      <c r="F433" t="str">
        <f ca="1">IFERROR(IF(0=LEN(ReferenceData!$F$433),"",ReferenceData!$F$433),"")</f>
        <v/>
      </c>
      <c r="G433" t="str">
        <f ca="1">IFERROR(IF(0=LEN(ReferenceData!$G$433),"",ReferenceData!$G$433),"")</f>
        <v/>
      </c>
      <c r="H433">
        <f ca="1">IFERROR(IF(0=LEN(ReferenceData!$H$433),"",ReferenceData!$H$433),"")</f>
        <v>2.155340088</v>
      </c>
      <c r="I433">
        <f ca="1">IFERROR(IF(0=LEN(ReferenceData!$I$433),"",ReferenceData!$I$433),"")</f>
        <v>2.5606599120000002</v>
      </c>
      <c r="J433">
        <f ca="1">IFERROR(IF(0=LEN(ReferenceData!$J$433),"",ReferenceData!$J$433),"")</f>
        <v>2.41897998</v>
      </c>
    </row>
    <row r="434" spans="1:10" x14ac:dyDescent="0.25">
      <c r="A434" t="str">
        <f>IFERROR(IF(0=LEN(ReferenceData!$A$434),"",ReferenceData!$A$434),"")</f>
        <v xml:space="preserve">                    Sonae SGPS SA</v>
      </c>
      <c r="B434" t="str">
        <f>IFERROR(IF(0=LEN(ReferenceData!$B$434),"",ReferenceData!$B$434),"")</f>
        <v>SON PL Equity</v>
      </c>
      <c r="C434" t="str">
        <f>IFERROR(IF(0=LEN(ReferenceData!$C$434),"",ReferenceData!$C$434),"")</f>
        <v>F0946</v>
      </c>
      <c r="D434" t="str">
        <f>IFERROR(IF(0=LEN(ReferenceData!$D$434),"",ReferenceData!$D$434),"")</f>
        <v>TOTAL_GHG_CO2_EMISSIONS</v>
      </c>
      <c r="E434" t="str">
        <f>IFERROR(IF(0=LEN(ReferenceData!$E$434),"",ReferenceData!$E$434),"")</f>
        <v>Dynamic</v>
      </c>
      <c r="F434">
        <f ca="1">IFERROR(IF(0=LEN(ReferenceData!$F$434),"",ReferenceData!$F$434),"")</f>
        <v>0.216164993</v>
      </c>
      <c r="G434">
        <f ca="1">IFERROR(IF(0=LEN(ReferenceData!$G$434),"",ReferenceData!$G$434),"")</f>
        <v>0.13448500099999999</v>
      </c>
      <c r="H434">
        <f ca="1">IFERROR(IF(0=LEN(ReferenceData!$H$434),"",ReferenceData!$H$434),"")</f>
        <v>0.16330600000000001</v>
      </c>
      <c r="I434">
        <f ca="1">IFERROR(IF(0=LEN(ReferenceData!$I$434),"",ReferenceData!$I$434),"")</f>
        <v>0.200656006</v>
      </c>
      <c r="J434">
        <f ca="1">IFERROR(IF(0=LEN(ReferenceData!$J$434),"",ReferenceData!$J$434),"")</f>
        <v>0.245253006</v>
      </c>
    </row>
    <row r="435" spans="1:10" x14ac:dyDescent="0.25">
      <c r="A435" t="str">
        <f>IFERROR(IF(0=LEN(ReferenceData!$A$435),"",ReferenceData!$A$435),"")</f>
        <v xml:space="preserve">                    Stater Bros Holdings Inc</v>
      </c>
      <c r="B435" t="str">
        <f>IFERROR(IF(0=LEN(ReferenceData!$B$435),"",ReferenceData!$B$435),"")</f>
        <v>5733Z US Equity</v>
      </c>
      <c r="C435" t="str">
        <f>IFERROR(IF(0=LEN(ReferenceData!$C$435),"",ReferenceData!$C$435),"")</f>
        <v>F0946</v>
      </c>
      <c r="D435" t="str">
        <f>IFERROR(IF(0=LEN(ReferenceData!$D$435),"",ReferenceData!$D$435),"")</f>
        <v>TOTAL_GHG_CO2_EMISSIONS</v>
      </c>
      <c r="E435" t="str">
        <f>IFERROR(IF(0=LEN(ReferenceData!$E$435),"",ReferenceData!$E$435),"")</f>
        <v>Dynamic</v>
      </c>
      <c r="F435" t="str">
        <f ca="1">IFERROR(IF(0=LEN(ReferenceData!$F$435),"",ReferenceData!$F$435),"")</f>
        <v/>
      </c>
      <c r="G435" t="str">
        <f ca="1">IFERROR(IF(0=LEN(ReferenceData!$G$435),"",ReferenceData!$G$435),"")</f>
        <v/>
      </c>
      <c r="H435" t="str">
        <f ca="1">IFERROR(IF(0=LEN(ReferenceData!$H$435),"",ReferenceData!$H$435),"")</f>
        <v/>
      </c>
      <c r="I435" t="str">
        <f ca="1">IFERROR(IF(0=LEN(ReferenceData!$I$435),"",ReferenceData!$I$435),"")</f>
        <v/>
      </c>
      <c r="J435" t="str">
        <f ca="1">IFERROR(IF(0=LEN(ReferenceData!$J$435),"",ReferenceData!$J$435),"")</f>
        <v/>
      </c>
    </row>
    <row r="436" spans="1:10" x14ac:dyDescent="0.25">
      <c r="A436" t="str">
        <f>IFERROR(IF(0=LEN(ReferenceData!$A$436),"",ReferenceData!$A$436),"")</f>
        <v xml:space="preserve">                    Tallinna Kaubamaja Grupp AS</v>
      </c>
      <c r="B436" t="str">
        <f>IFERROR(IF(0=LEN(ReferenceData!$B$436),"",ReferenceData!$B$436),"")</f>
        <v>TKM1T ET Equity</v>
      </c>
      <c r="C436" t="str">
        <f>IFERROR(IF(0=LEN(ReferenceData!$C$436),"",ReferenceData!$C$436),"")</f>
        <v>F0946</v>
      </c>
      <c r="D436" t="str">
        <f>IFERROR(IF(0=LEN(ReferenceData!$D$436),"",ReferenceData!$D$436),"")</f>
        <v>TOTAL_GHG_CO2_EMISSIONS</v>
      </c>
      <c r="E436" t="str">
        <f>IFERROR(IF(0=LEN(ReferenceData!$E$436),"",ReferenceData!$E$436),"")</f>
        <v>Dynamic</v>
      </c>
      <c r="F436">
        <f ca="1">IFERROR(IF(0=LEN(ReferenceData!$F$436),"",ReferenceData!$F$436),"")</f>
        <v>5.2799999E-2</v>
      </c>
      <c r="G436">
        <f ca="1">IFERROR(IF(0=LEN(ReferenceData!$G$436),"",ReferenceData!$G$436),"")</f>
        <v>5.5599997999999998E-2</v>
      </c>
      <c r="H436">
        <f ca="1">IFERROR(IF(0=LEN(ReferenceData!$H$436),"",ReferenceData!$H$436),"")</f>
        <v>8.1248001E-2</v>
      </c>
      <c r="I436">
        <f ca="1">IFERROR(IF(0=LEN(ReferenceData!$I$436),"",ReferenceData!$I$436),"")</f>
        <v>7.1800003000000001E-2</v>
      </c>
      <c r="J436">
        <f ca="1">IFERROR(IF(0=LEN(ReferenceData!$J$436),"",ReferenceData!$J$436),"")</f>
        <v>9.4800002999999994E-2</v>
      </c>
    </row>
    <row r="437" spans="1:10" x14ac:dyDescent="0.25">
      <c r="A437" t="str">
        <f>IFERROR(IF(0=LEN(ReferenceData!$A$437),"",ReferenceData!$A$437),"")</f>
        <v xml:space="preserve">                    Target Corp</v>
      </c>
      <c r="B437" t="str">
        <f>IFERROR(IF(0=LEN(ReferenceData!$B$437),"",ReferenceData!$B$437),"")</f>
        <v>TGT US Equity</v>
      </c>
      <c r="C437" t="str">
        <f>IFERROR(IF(0=LEN(ReferenceData!$C$437),"",ReferenceData!$C$437),"")</f>
        <v>F0946</v>
      </c>
      <c r="D437" t="str">
        <f>IFERROR(IF(0=LEN(ReferenceData!$D$437),"",ReferenceData!$D$437),"")</f>
        <v>TOTAL_GHG_CO2_EMISSIONS</v>
      </c>
      <c r="E437" t="str">
        <f>IFERROR(IF(0=LEN(ReferenceData!$E$437),"",ReferenceData!$E$437),"")</f>
        <v>Dynamic</v>
      </c>
      <c r="F437" t="str">
        <f ca="1">IFERROR(IF(0=LEN(ReferenceData!$F$437),"",ReferenceData!$F$437),"")</f>
        <v/>
      </c>
      <c r="G437">
        <f ca="1">IFERROR(IF(0=LEN(ReferenceData!$G$437),"",ReferenceData!$G$437),"")</f>
        <v>2.159459961</v>
      </c>
      <c r="H437">
        <f ca="1">IFERROR(IF(0=LEN(ReferenceData!$H$437),"",ReferenceData!$H$437),"")</f>
        <v>2.192080078</v>
      </c>
      <c r="I437">
        <f ca="1">IFERROR(IF(0=LEN(ReferenceData!$I$437),"",ReferenceData!$I$437),"")</f>
        <v>2.4332299800000001</v>
      </c>
      <c r="J437">
        <f ca="1">IFERROR(IF(0=LEN(ReferenceData!$J$437),"",ReferenceData!$J$437),"")</f>
        <v>2.9175500489999999</v>
      </c>
    </row>
    <row r="438" spans="1:10" x14ac:dyDescent="0.25">
      <c r="A438" t="str">
        <f>IFERROR(IF(0=LEN(ReferenceData!$A$438),"",ReferenceData!$A$438),"")</f>
        <v xml:space="preserve">                    Tops Holding LLC/DE</v>
      </c>
      <c r="B438" t="str">
        <f>IFERROR(IF(0=LEN(ReferenceData!$B$438),"",ReferenceData!$B$438),"")</f>
        <v>3867081Z US Equity</v>
      </c>
      <c r="C438" t="str">
        <f>IFERROR(IF(0=LEN(ReferenceData!$C$438),"",ReferenceData!$C$438),"")</f>
        <v>F0946</v>
      </c>
      <c r="D438" t="str">
        <f>IFERROR(IF(0=LEN(ReferenceData!$D$438),"",ReferenceData!$D$438),"")</f>
        <v>TOTAL_GHG_CO2_EMISSIONS</v>
      </c>
      <c r="E438" t="str">
        <f>IFERROR(IF(0=LEN(ReferenceData!$E$438),"",ReferenceData!$E$438),"")</f>
        <v>Dynamic</v>
      </c>
      <c r="F438" t="str">
        <f ca="1">IFERROR(IF(0=LEN(ReferenceData!$F$438),"",ReferenceData!$F$438),"")</f>
        <v/>
      </c>
      <c r="G438" t="str">
        <f ca="1">IFERROR(IF(0=LEN(ReferenceData!$G$438),"",ReferenceData!$G$438),"")</f>
        <v/>
      </c>
      <c r="H438" t="str">
        <f ca="1">IFERROR(IF(0=LEN(ReferenceData!$H$438),"",ReferenceData!$H$438),"")</f>
        <v/>
      </c>
      <c r="I438" t="str">
        <f ca="1">IFERROR(IF(0=LEN(ReferenceData!$I$438),"",ReferenceData!$I$438),"")</f>
        <v/>
      </c>
      <c r="J438" t="str">
        <f ca="1">IFERROR(IF(0=LEN(ReferenceData!$J$438),"",ReferenceData!$J$438),"")</f>
        <v/>
      </c>
    </row>
    <row r="439" spans="1:10" x14ac:dyDescent="0.25">
      <c r="A439" t="str">
        <f>IFERROR(IF(0=LEN(ReferenceData!$A$439),"",ReferenceData!$A$439),"")</f>
        <v xml:space="preserve">                    Tengelmann Warenhandelsgesells</v>
      </c>
      <c r="B439" t="str">
        <f>IFERROR(IF(0=LEN(ReferenceData!$B$439),"",ReferenceData!$B$439),"")</f>
        <v>TGLW GR Equity</v>
      </c>
      <c r="C439" t="str">
        <f>IFERROR(IF(0=LEN(ReferenceData!$C$439),"",ReferenceData!$C$439),"")</f>
        <v>F0946</v>
      </c>
      <c r="D439" t="str">
        <f>IFERROR(IF(0=LEN(ReferenceData!$D$439),"",ReferenceData!$D$439),"")</f>
        <v>TOTAL_GHG_CO2_EMISSIONS</v>
      </c>
      <c r="E439" t="str">
        <f>IFERROR(IF(0=LEN(ReferenceData!$E$439),"",ReferenceData!$E$439),"")</f>
        <v>Dynamic</v>
      </c>
      <c r="F439" t="str">
        <f ca="1">IFERROR(IF(0=LEN(ReferenceData!$F$439),"",ReferenceData!$F$439),"")</f>
        <v/>
      </c>
      <c r="G439" t="str">
        <f ca="1">IFERROR(IF(0=LEN(ReferenceData!$G$439),"",ReferenceData!$G$439),"")</f>
        <v/>
      </c>
      <c r="H439" t="str">
        <f ca="1">IFERROR(IF(0=LEN(ReferenceData!$H$439),"",ReferenceData!$H$439),"")</f>
        <v/>
      </c>
      <c r="I439" t="str">
        <f ca="1">IFERROR(IF(0=LEN(ReferenceData!$I$439),"",ReferenceData!$I$439),"")</f>
        <v/>
      </c>
      <c r="J439" t="str">
        <f ca="1">IFERROR(IF(0=LEN(ReferenceData!$J$439),"",ReferenceData!$J$439),"")</f>
        <v/>
      </c>
    </row>
    <row r="440" spans="1:10" x14ac:dyDescent="0.25">
      <c r="A440" t="str">
        <f>IFERROR(IF(0=LEN(ReferenceData!$A$440),"",ReferenceData!$A$440),"")</f>
        <v xml:space="preserve">                    Tesco PLC</v>
      </c>
      <c r="B440" t="str">
        <f>IFERROR(IF(0=LEN(ReferenceData!$B$440),"",ReferenceData!$B$440),"")</f>
        <v>TSCO LN Equity</v>
      </c>
      <c r="C440" t="str">
        <f>IFERROR(IF(0=LEN(ReferenceData!$C$440),"",ReferenceData!$C$440),"")</f>
        <v>F0946</v>
      </c>
      <c r="D440" t="str">
        <f>IFERROR(IF(0=LEN(ReferenceData!$D$440),"",ReferenceData!$D$440),"")</f>
        <v>TOTAL_GHG_CO2_EMISSIONS</v>
      </c>
      <c r="E440" t="str">
        <f>IFERROR(IF(0=LEN(ReferenceData!$E$440),"",ReferenceData!$E$440),"")</f>
        <v>Dynamic</v>
      </c>
      <c r="F440">
        <f ca="1">IFERROR(IF(0=LEN(ReferenceData!$F$440),"",ReferenceData!$F$440),"")</f>
        <v>1.6148100590000001</v>
      </c>
      <c r="G440">
        <f ca="1">IFERROR(IF(0=LEN(ReferenceData!$G$440),"",ReferenceData!$G$440),"")</f>
        <v>1.752439941</v>
      </c>
      <c r="H440">
        <f ca="1">IFERROR(IF(0=LEN(ReferenceData!$H$440),"",ReferenceData!$H$440),"")</f>
        <v>1.7713699949999999</v>
      </c>
      <c r="I440">
        <f ca="1">IFERROR(IF(0=LEN(ReferenceData!$I$440),"",ReferenceData!$I$440),"")</f>
        <v>2.8491799320000002</v>
      </c>
      <c r="J440">
        <f ca="1">IFERROR(IF(0=LEN(ReferenceData!$J$440),"",ReferenceData!$J$440),"")</f>
        <v>3.1603798830000001</v>
      </c>
    </row>
    <row r="441" spans="1:10" x14ac:dyDescent="0.25">
      <c r="A441" t="str">
        <f>IFERROR(IF(0=LEN(ReferenceData!$A$441),"",ReferenceData!$A$441),"")</f>
        <v xml:space="preserve">                    Valor Holdings Co Ltd</v>
      </c>
      <c r="B441" t="str">
        <f>IFERROR(IF(0=LEN(ReferenceData!$B$441),"",ReferenceData!$B$441),"")</f>
        <v>9956 JP Equity</v>
      </c>
      <c r="C441" t="str">
        <f>IFERROR(IF(0=LEN(ReferenceData!$C$441),"",ReferenceData!$C$441),"")</f>
        <v>F0946</v>
      </c>
      <c r="D441" t="str">
        <f>IFERROR(IF(0=LEN(ReferenceData!$D$441),"",ReferenceData!$D$441),"")</f>
        <v>TOTAL_GHG_CO2_EMISSIONS</v>
      </c>
      <c r="E441" t="str">
        <f>IFERROR(IF(0=LEN(ReferenceData!$E$441),"",ReferenceData!$E$441),"")</f>
        <v>Dynamic</v>
      </c>
      <c r="F441" t="str">
        <f ca="1">IFERROR(IF(0=LEN(ReferenceData!$F$441),"",ReferenceData!$F$441),"")</f>
        <v/>
      </c>
      <c r="G441" t="str">
        <f ca="1">IFERROR(IF(0=LEN(ReferenceData!$G$441),"",ReferenceData!$G$441),"")</f>
        <v/>
      </c>
      <c r="H441" t="str">
        <f ca="1">IFERROR(IF(0=LEN(ReferenceData!$H$441),"",ReferenceData!$H$441),"")</f>
        <v/>
      </c>
      <c r="I441" t="str">
        <f ca="1">IFERROR(IF(0=LEN(ReferenceData!$I$441),"",ReferenceData!$I$441),"")</f>
        <v/>
      </c>
      <c r="J441" t="str">
        <f ca="1">IFERROR(IF(0=LEN(ReferenceData!$J$441),"",ReferenceData!$J$441),"")</f>
        <v/>
      </c>
    </row>
    <row r="442" spans="1:10" x14ac:dyDescent="0.25">
      <c r="A442" t="str">
        <f>IFERROR(IF(0=LEN(ReferenceData!$A$442),"",ReferenceData!$A$442),"")</f>
        <v xml:space="preserve">                    Village Super Market Inc</v>
      </c>
      <c r="B442" t="str">
        <f>IFERROR(IF(0=LEN(ReferenceData!$B$442),"",ReferenceData!$B$442),"")</f>
        <v>VLGEA US Equity</v>
      </c>
      <c r="C442" t="str">
        <f>IFERROR(IF(0=LEN(ReferenceData!$C$442),"",ReferenceData!$C$442),"")</f>
        <v>F0946</v>
      </c>
      <c r="D442" t="str">
        <f>IFERROR(IF(0=LEN(ReferenceData!$D$442),"",ReferenceData!$D$442),"")</f>
        <v>TOTAL_GHG_CO2_EMISSIONS</v>
      </c>
      <c r="E442" t="str">
        <f>IFERROR(IF(0=LEN(ReferenceData!$E$442),"",ReferenceData!$E$442),"")</f>
        <v>Dynamic</v>
      </c>
      <c r="F442" t="str">
        <f ca="1">IFERROR(IF(0=LEN(ReferenceData!$F$442),"",ReferenceData!$F$442),"")</f>
        <v/>
      </c>
      <c r="G442" t="str">
        <f ca="1">IFERROR(IF(0=LEN(ReferenceData!$G$442),"",ReferenceData!$G$442),"")</f>
        <v/>
      </c>
      <c r="H442" t="str">
        <f ca="1">IFERROR(IF(0=LEN(ReferenceData!$H$442),"",ReferenceData!$H$442),"")</f>
        <v/>
      </c>
      <c r="I442" t="str">
        <f ca="1">IFERROR(IF(0=LEN(ReferenceData!$I$442),"",ReferenceData!$I$442),"")</f>
        <v/>
      </c>
      <c r="J442" t="str">
        <f ca="1">IFERROR(IF(0=LEN(ReferenceData!$J$442),"",ReferenceData!$J$442),"")</f>
        <v/>
      </c>
    </row>
    <row r="443" spans="1:10" x14ac:dyDescent="0.25">
      <c r="A443" t="str">
        <f>IFERROR(IF(0=LEN(ReferenceData!$A$443),"",ReferenceData!$A$443),"")</f>
        <v xml:space="preserve">                    Wal-Mart de Mexico SAB de CV</v>
      </c>
      <c r="B443" t="str">
        <f>IFERROR(IF(0=LEN(ReferenceData!$B$443),"",ReferenceData!$B$443),"")</f>
        <v>WALMEX* MM Equity</v>
      </c>
      <c r="C443" t="str">
        <f>IFERROR(IF(0=LEN(ReferenceData!$C$443),"",ReferenceData!$C$443),"")</f>
        <v>F0946</v>
      </c>
      <c r="D443" t="str">
        <f>IFERROR(IF(0=LEN(ReferenceData!$D$443),"",ReferenceData!$D$443),"")</f>
        <v>TOTAL_GHG_CO2_EMISSIONS</v>
      </c>
      <c r="E443" t="str">
        <f>IFERROR(IF(0=LEN(ReferenceData!$E$443),"",ReferenceData!$E$443),"")</f>
        <v>Dynamic</v>
      </c>
      <c r="F443">
        <f ca="1">IFERROR(IF(0=LEN(ReferenceData!$F$443),"",ReferenceData!$F$443),"")</f>
        <v>1.333</v>
      </c>
      <c r="G443">
        <f ca="1">IFERROR(IF(0=LEN(ReferenceData!$G$443),"",ReferenceData!$G$443),"")</f>
        <v>1.41</v>
      </c>
      <c r="H443">
        <f ca="1">IFERROR(IF(0=LEN(ReferenceData!$H$443),"",ReferenceData!$H$443),"")</f>
        <v>1.4661300049999999</v>
      </c>
      <c r="I443">
        <f ca="1">IFERROR(IF(0=LEN(ReferenceData!$I$443),"",ReferenceData!$I$443),"")</f>
        <v>1.6319999999999999</v>
      </c>
      <c r="J443">
        <f ca="1">IFERROR(IF(0=LEN(ReferenceData!$J$443),"",ReferenceData!$J$443),"")</f>
        <v>1.1636300049999999</v>
      </c>
    </row>
    <row r="444" spans="1:10" x14ac:dyDescent="0.25">
      <c r="A444" t="str">
        <f>IFERROR(IF(0=LEN(ReferenceData!$A$444),"",ReferenceData!$A$444),"")</f>
        <v xml:space="preserve">                    Walmart Inc</v>
      </c>
      <c r="B444" t="str">
        <f>IFERROR(IF(0=LEN(ReferenceData!$B$444),"",ReferenceData!$B$444),"")</f>
        <v>WMT US Equity</v>
      </c>
      <c r="C444" t="str">
        <f>IFERROR(IF(0=LEN(ReferenceData!$C$444),"",ReferenceData!$C$444),"")</f>
        <v>F0946</v>
      </c>
      <c r="D444" t="str">
        <f>IFERROR(IF(0=LEN(ReferenceData!$D$444),"",ReferenceData!$D$444),"")</f>
        <v>TOTAL_GHG_CO2_EMISSIONS</v>
      </c>
      <c r="E444" t="str">
        <f>IFERROR(IF(0=LEN(ReferenceData!$E$444),"",ReferenceData!$E$444),"")</f>
        <v>Dynamic</v>
      </c>
      <c r="F444" t="str">
        <f ca="1">IFERROR(IF(0=LEN(ReferenceData!$F$444),"",ReferenceData!$F$444),"")</f>
        <v/>
      </c>
      <c r="G444">
        <f ca="1">IFERROR(IF(0=LEN(ReferenceData!$G$444),"",ReferenceData!$G$444),"")</f>
        <v>16.787400389999998</v>
      </c>
      <c r="H444">
        <f ca="1">IFERROR(IF(0=LEN(ReferenceData!$H$444),"",ReferenceData!$H$444),"")</f>
        <v>18.268300780000001</v>
      </c>
      <c r="I444">
        <f ca="1">IFERROR(IF(0=LEN(ReferenceData!$I$444),"",ReferenceData!$I$444),"")</f>
        <v>18.6755</v>
      </c>
      <c r="J444">
        <f ca="1">IFERROR(IF(0=LEN(ReferenceData!$J$444),"",ReferenceData!$J$444),"")</f>
        <v>19.158999999999999</v>
      </c>
    </row>
    <row r="445" spans="1:10" x14ac:dyDescent="0.25">
      <c r="A445" t="str">
        <f>IFERROR(IF(0=LEN(ReferenceData!$A$445),"",ReferenceData!$A$445),"")</f>
        <v xml:space="preserve">                    Wegmans Food Markets Inc</v>
      </c>
      <c r="B445" t="str">
        <f>IFERROR(IF(0=LEN(ReferenceData!$B$445),"",ReferenceData!$B$445),"")</f>
        <v>4449Z US Equity</v>
      </c>
      <c r="C445" t="str">
        <f>IFERROR(IF(0=LEN(ReferenceData!$C$445),"",ReferenceData!$C$445),"")</f>
        <v>F0946</v>
      </c>
      <c r="D445" t="str">
        <f>IFERROR(IF(0=LEN(ReferenceData!$D$445),"",ReferenceData!$D$445),"")</f>
        <v>TOTAL_GHG_CO2_EMISSIONS</v>
      </c>
      <c r="E445" t="str">
        <f>IFERROR(IF(0=LEN(ReferenceData!$E$445),"",ReferenceData!$E$445),"")</f>
        <v>Dynamic</v>
      </c>
      <c r="F445" t="str">
        <f ca="1">IFERROR(IF(0=LEN(ReferenceData!$F$445),"",ReferenceData!$F$445),"")</f>
        <v/>
      </c>
      <c r="G445" t="str">
        <f ca="1">IFERROR(IF(0=LEN(ReferenceData!$G$445),"",ReferenceData!$G$445),"")</f>
        <v/>
      </c>
      <c r="H445" t="str">
        <f ca="1">IFERROR(IF(0=LEN(ReferenceData!$H$445),"",ReferenceData!$H$445),"")</f>
        <v/>
      </c>
      <c r="I445" t="str">
        <f ca="1">IFERROR(IF(0=LEN(ReferenceData!$I$445),"",ReferenceData!$I$445),"")</f>
        <v/>
      </c>
      <c r="J445" t="str">
        <f ca="1">IFERROR(IF(0=LEN(ReferenceData!$J$445),"",ReferenceData!$J$445),"")</f>
        <v/>
      </c>
    </row>
    <row r="446" spans="1:10" x14ac:dyDescent="0.25">
      <c r="A446" t="str">
        <f>IFERROR(IF(0=LEN(ReferenceData!$A$446),"",ReferenceData!$A$446),"")</f>
        <v xml:space="preserve">                    Woolworths Group Ltd</v>
      </c>
      <c r="B446" t="str">
        <f>IFERROR(IF(0=LEN(ReferenceData!$B$446),"",ReferenceData!$B$446),"")</f>
        <v>WOW AU Equity</v>
      </c>
      <c r="C446" t="str">
        <f>IFERROR(IF(0=LEN(ReferenceData!$C$446),"",ReferenceData!$C$446),"")</f>
        <v>F0946</v>
      </c>
      <c r="D446" t="str">
        <f>IFERROR(IF(0=LEN(ReferenceData!$D$446),"",ReferenceData!$D$446),"")</f>
        <v>TOTAL_GHG_CO2_EMISSIONS</v>
      </c>
      <c r="E446" t="str">
        <f>IFERROR(IF(0=LEN(ReferenceData!$E$446),"",ReferenceData!$E$446),"")</f>
        <v>Dynamic</v>
      </c>
      <c r="F446" t="str">
        <f ca="1">IFERROR(IF(0=LEN(ReferenceData!$F$446),"",ReferenceData!$F$446),"")</f>
        <v/>
      </c>
      <c r="G446">
        <f ca="1">IFERROR(IF(0=LEN(ReferenceData!$G$446),"",ReferenceData!$G$446),"")</f>
        <v>2.0100400390000002</v>
      </c>
      <c r="H446">
        <f ca="1">IFERROR(IF(0=LEN(ReferenceData!$H$446),"",ReferenceData!$H$446),"")</f>
        <v>2.3374799799999999</v>
      </c>
      <c r="I446">
        <f ca="1">IFERROR(IF(0=LEN(ReferenceData!$I$446),"",ReferenceData!$I$446),"")</f>
        <v>2.5551799320000002</v>
      </c>
      <c r="J446">
        <f ca="1">IFERROR(IF(0=LEN(ReferenceData!$J$446),"",ReferenceData!$J$446),"")</f>
        <v>2.8009899900000002</v>
      </c>
    </row>
    <row r="447" spans="1:10" x14ac:dyDescent="0.25">
      <c r="A447" t="str">
        <f>IFERROR(IF(0=LEN(ReferenceData!$A$447),"",ReferenceData!$A$447),"")</f>
        <v xml:space="preserve">                    Woolworths Holdings Ltd/South</v>
      </c>
      <c r="B447" t="str">
        <f>IFERROR(IF(0=LEN(ReferenceData!$B$447),"",ReferenceData!$B$447),"")</f>
        <v>WHL SJ Equity</v>
      </c>
      <c r="C447" t="str">
        <f>IFERROR(IF(0=LEN(ReferenceData!$C$447),"",ReferenceData!$C$447),"")</f>
        <v>F0946</v>
      </c>
      <c r="D447" t="str">
        <f>IFERROR(IF(0=LEN(ReferenceData!$D$447),"",ReferenceData!$D$447),"")</f>
        <v>TOTAL_GHG_CO2_EMISSIONS</v>
      </c>
      <c r="E447" t="str">
        <f>IFERROR(IF(0=LEN(ReferenceData!$E$447),"",ReferenceData!$E$447),"")</f>
        <v>Dynamic</v>
      </c>
      <c r="F447" t="str">
        <f ca="1">IFERROR(IF(0=LEN(ReferenceData!$F$447),"",ReferenceData!$F$447),"")</f>
        <v/>
      </c>
      <c r="G447" t="str">
        <f ca="1">IFERROR(IF(0=LEN(ReferenceData!$G$447),"",ReferenceData!$G$447),"")</f>
        <v/>
      </c>
      <c r="H447">
        <f ca="1">IFERROR(IF(0=LEN(ReferenceData!$H$447),"",ReferenceData!$H$447),"")</f>
        <v>0.47107901000000002</v>
      </c>
      <c r="I447">
        <f ca="1">IFERROR(IF(0=LEN(ReferenceData!$I$447),"",ReferenceData!$I$447),"")</f>
        <v>0.49795199600000001</v>
      </c>
      <c r="J447">
        <f ca="1">IFERROR(IF(0=LEN(ReferenceData!$J$447),"",ReferenceData!$J$447),"")</f>
        <v>0.53656298800000002</v>
      </c>
    </row>
    <row r="448" spans="1:10" x14ac:dyDescent="0.25">
      <c r="A448" t="str">
        <f>IFERROR(IF(0=LEN(ReferenceData!$A$448),"",ReferenceData!$A$448),"")</f>
        <v xml:space="preserve">                    Weis Markets Inc</v>
      </c>
      <c r="B448" t="str">
        <f>IFERROR(IF(0=LEN(ReferenceData!$B$448),"",ReferenceData!$B$448),"")</f>
        <v>WMK US Equity</v>
      </c>
      <c r="C448" t="str">
        <f>IFERROR(IF(0=LEN(ReferenceData!$C$448),"",ReferenceData!$C$448),"")</f>
        <v>F0946</v>
      </c>
      <c r="D448" t="str">
        <f>IFERROR(IF(0=LEN(ReferenceData!$D$448),"",ReferenceData!$D$448),"")</f>
        <v>TOTAL_GHG_CO2_EMISSIONS</v>
      </c>
      <c r="E448" t="str">
        <f>IFERROR(IF(0=LEN(ReferenceData!$E$448),"",ReferenceData!$E$448),"")</f>
        <v>Dynamic</v>
      </c>
      <c r="F448" t="str">
        <f ca="1">IFERROR(IF(0=LEN(ReferenceData!$F$448),"",ReferenceData!$F$448),"")</f>
        <v/>
      </c>
      <c r="G448">
        <f ca="1">IFERROR(IF(0=LEN(ReferenceData!$G$448),"",ReferenceData!$G$448),"")</f>
        <v>0.25288900800000003</v>
      </c>
      <c r="H448">
        <f ca="1">IFERROR(IF(0=LEN(ReferenceData!$H$448),"",ReferenceData!$H$448),"")</f>
        <v>0.26326098599999997</v>
      </c>
      <c r="I448">
        <f ca="1">IFERROR(IF(0=LEN(ReferenceData!$I$448),"",ReferenceData!$I$448),"")</f>
        <v>0.26618798799999999</v>
      </c>
      <c r="J448">
        <f ca="1">IFERROR(IF(0=LEN(ReferenceData!$J$448),"",ReferenceData!$J$448),"")</f>
        <v>0.29005999799999999</v>
      </c>
    </row>
    <row r="449" spans="1:10" x14ac:dyDescent="0.25">
      <c r="A449" t="str">
        <f>IFERROR(IF(0=LEN(ReferenceData!$A$449),"",ReferenceData!$A$449),"")</f>
        <v xml:space="preserve">                    Wesfarmers Ltd</v>
      </c>
      <c r="B449" t="str">
        <f>IFERROR(IF(0=LEN(ReferenceData!$B$449),"",ReferenceData!$B$449),"")</f>
        <v>WES AU Equity</v>
      </c>
      <c r="C449" t="str">
        <f>IFERROR(IF(0=LEN(ReferenceData!$C$449),"",ReferenceData!$C$449),"")</f>
        <v>F0946</v>
      </c>
      <c r="D449" t="str">
        <f>IFERROR(IF(0=LEN(ReferenceData!$D$449),"",ReferenceData!$D$449),"")</f>
        <v>TOTAL_GHG_CO2_EMISSIONS</v>
      </c>
      <c r="E449" t="str">
        <f>IFERROR(IF(0=LEN(ReferenceData!$E$449),"",ReferenceData!$E$449),"")</f>
        <v>Dynamic</v>
      </c>
      <c r="F449" t="str">
        <f ca="1">IFERROR(IF(0=LEN(ReferenceData!$F$449),"",ReferenceData!$F$449),"")</f>
        <v/>
      </c>
      <c r="G449" t="str">
        <f ca="1">IFERROR(IF(0=LEN(ReferenceData!$G$449),"",ReferenceData!$G$449),"")</f>
        <v/>
      </c>
      <c r="H449">
        <f ca="1">IFERROR(IF(0=LEN(ReferenceData!$H$449),"",ReferenceData!$H$449),"")</f>
        <v>1.476</v>
      </c>
      <c r="I449">
        <f ca="1">IFERROR(IF(0=LEN(ReferenceData!$I$449),"",ReferenceData!$I$449),"")</f>
        <v>1.601849976</v>
      </c>
      <c r="J449">
        <f ca="1">IFERROR(IF(0=LEN(ReferenceData!$J$449),"",ReferenceData!$J$449),"")</f>
        <v>1.5580000000000001</v>
      </c>
    </row>
    <row r="450" spans="1:10" x14ac:dyDescent="0.25">
      <c r="A450" t="str">
        <f>IFERROR(IF(0=LEN(ReferenceData!$A$450),"",ReferenceData!$A$450),"")</f>
        <v xml:space="preserve">                    X5 Retail Group NV</v>
      </c>
      <c r="B450" t="str">
        <f>IFERROR(IF(0=LEN(ReferenceData!$B$450),"",ReferenceData!$B$450),"")</f>
        <v>FIVE LI Equity</v>
      </c>
      <c r="C450" t="str">
        <f>IFERROR(IF(0=LEN(ReferenceData!$C$450),"",ReferenceData!$C$450),"")</f>
        <v>F0946</v>
      </c>
      <c r="D450" t="str">
        <f>IFERROR(IF(0=LEN(ReferenceData!$D$450),"",ReferenceData!$D$450),"")</f>
        <v>TOTAL_GHG_CO2_EMISSIONS</v>
      </c>
      <c r="E450" t="str">
        <f>IFERROR(IF(0=LEN(ReferenceData!$E$450),"",ReferenceData!$E$450),"")</f>
        <v>Dynamic</v>
      </c>
      <c r="F450">
        <f ca="1">IFERROR(IF(0=LEN(ReferenceData!$F$450),"",ReferenceData!$F$450),"")</f>
        <v>3.5286699220000002</v>
      </c>
      <c r="G450">
        <f ca="1">IFERROR(IF(0=LEN(ReferenceData!$G$450),"",ReferenceData!$G$450),"")</f>
        <v>3.551080078</v>
      </c>
      <c r="H450">
        <f ca="1">IFERROR(IF(0=LEN(ReferenceData!$H$450),"",ReferenceData!$H$450),"")</f>
        <v>2.808629883</v>
      </c>
      <c r="I450">
        <f ca="1">IFERROR(IF(0=LEN(ReferenceData!$I$450),"",ReferenceData!$I$450),"")</f>
        <v>2.8740000000000001</v>
      </c>
      <c r="J450">
        <f ca="1">IFERROR(IF(0=LEN(ReferenceData!$J$450),"",ReferenceData!$J$450),"")</f>
        <v>2.5830000000000002</v>
      </c>
    </row>
    <row r="451" spans="1:10" x14ac:dyDescent="0.25">
      <c r="A451" t="str">
        <f>IFERROR(IF(0=LEN(ReferenceData!$A$451),"",ReferenceData!$A$451),"")</f>
        <v xml:space="preserve">                    Yaoko Co Ltd</v>
      </c>
      <c r="B451" t="str">
        <f>IFERROR(IF(0=LEN(ReferenceData!$B$451),"",ReferenceData!$B$451),"")</f>
        <v>8279 JP Equity</v>
      </c>
      <c r="C451" t="str">
        <f>IFERROR(IF(0=LEN(ReferenceData!$C$451),"",ReferenceData!$C$451),"")</f>
        <v>F0946</v>
      </c>
      <c r="D451" t="str">
        <f>IFERROR(IF(0=LEN(ReferenceData!$D$451),"",ReferenceData!$D$451),"")</f>
        <v>TOTAL_GHG_CO2_EMISSIONS</v>
      </c>
      <c r="E451" t="str">
        <f>IFERROR(IF(0=LEN(ReferenceData!$E$451),"",ReferenceData!$E$451),"")</f>
        <v>Dynamic</v>
      </c>
      <c r="F451" t="str">
        <f ca="1">IFERROR(IF(0=LEN(ReferenceData!$F$451),"",ReferenceData!$F$451),"")</f>
        <v/>
      </c>
      <c r="G451" t="str">
        <f ca="1">IFERROR(IF(0=LEN(ReferenceData!$G$451),"",ReferenceData!$G$451),"")</f>
        <v/>
      </c>
      <c r="H451" t="str">
        <f ca="1">IFERROR(IF(0=LEN(ReferenceData!$H$451),"",ReferenceData!$H$451),"")</f>
        <v/>
      </c>
      <c r="I451" t="str">
        <f ca="1">IFERROR(IF(0=LEN(ReferenceData!$I$451),"",ReferenceData!$I$451),"")</f>
        <v/>
      </c>
      <c r="J451" t="str">
        <f ca="1">IFERROR(IF(0=LEN(ReferenceData!$J$451),"",ReferenceData!$J$451),"")</f>
        <v/>
      </c>
    </row>
    <row r="452" spans="1:10" x14ac:dyDescent="0.25">
      <c r="A452" t="str">
        <f>IFERROR(IF(0=LEN(ReferenceData!$A$452),"",ReferenceData!$A$452),"")</f>
        <v xml:space="preserve">                    Yonghui Superstores Co Ltd</v>
      </c>
      <c r="B452" t="str">
        <f>IFERROR(IF(0=LEN(ReferenceData!$B$452),"",ReferenceData!$B$452),"")</f>
        <v>601933 CH Equity</v>
      </c>
      <c r="C452" t="str">
        <f>IFERROR(IF(0=LEN(ReferenceData!$C$452),"",ReferenceData!$C$452),"")</f>
        <v>F0946</v>
      </c>
      <c r="D452" t="str">
        <f>IFERROR(IF(0=LEN(ReferenceData!$D$452),"",ReferenceData!$D$452),"")</f>
        <v>TOTAL_GHG_CO2_EMISSIONS</v>
      </c>
      <c r="E452" t="str">
        <f>IFERROR(IF(0=LEN(ReferenceData!$E$452),"",ReferenceData!$E$452),"")</f>
        <v>Dynamic</v>
      </c>
      <c r="F452" t="str">
        <f ca="1">IFERROR(IF(0=LEN(ReferenceData!$F$452),"",ReferenceData!$F$452),"")</f>
        <v/>
      </c>
      <c r="G452" t="str">
        <f ca="1">IFERROR(IF(0=LEN(ReferenceData!$G$452),"",ReferenceData!$G$452),"")</f>
        <v/>
      </c>
      <c r="H452" t="str">
        <f ca="1">IFERROR(IF(0=LEN(ReferenceData!$H$452),"",ReferenceData!$H$452),"")</f>
        <v/>
      </c>
      <c r="I452" t="str">
        <f ca="1">IFERROR(IF(0=LEN(ReferenceData!$I$452),"",ReferenceData!$I$452),"")</f>
        <v/>
      </c>
      <c r="J452" t="str">
        <f ca="1">IFERROR(IF(0=LEN(ReferenceData!$J$452),"",ReferenceData!$J$452),"")</f>
        <v/>
      </c>
    </row>
    <row r="453" spans="1:10" x14ac:dyDescent="0.25">
      <c r="A453" t="str">
        <f>IFERROR(IF(0=LEN(ReferenceData!$A$453),"",ReferenceData!$A$453),"")</f>
        <v xml:space="preserve">                    Zhongbai Holdings Group Co Ltd</v>
      </c>
      <c r="B453" t="str">
        <f>IFERROR(IF(0=LEN(ReferenceData!$B$453),"",ReferenceData!$B$453),"")</f>
        <v>000759 CH Equity</v>
      </c>
      <c r="C453" t="str">
        <f>IFERROR(IF(0=LEN(ReferenceData!$C$453),"",ReferenceData!$C$453),"")</f>
        <v>F0946</v>
      </c>
      <c r="D453" t="str">
        <f>IFERROR(IF(0=LEN(ReferenceData!$D$453),"",ReferenceData!$D$453),"")</f>
        <v>TOTAL_GHG_CO2_EMISSIONS</v>
      </c>
      <c r="E453" t="str">
        <f>IFERROR(IF(0=LEN(ReferenceData!$E$453),"",ReferenceData!$E$453),"")</f>
        <v>Dynamic</v>
      </c>
      <c r="F453" t="str">
        <f ca="1">IFERROR(IF(0=LEN(ReferenceData!$F$453),"",ReferenceData!$F$453),"")</f>
        <v/>
      </c>
      <c r="G453" t="str">
        <f ca="1">IFERROR(IF(0=LEN(ReferenceData!$G$453),"",ReferenceData!$G$453),"")</f>
        <v/>
      </c>
      <c r="H453" t="str">
        <f ca="1">IFERROR(IF(0=LEN(ReferenceData!$H$453),"",ReferenceData!$H$453),"")</f>
        <v/>
      </c>
      <c r="I453" t="str">
        <f ca="1">IFERROR(IF(0=LEN(ReferenceData!$I$453),"",ReferenceData!$I$453),"")</f>
        <v/>
      </c>
      <c r="J453" t="str">
        <f ca="1">IFERROR(IF(0=LEN(ReferenceData!$J$453),"",ReferenceData!$J$453),"")</f>
        <v/>
      </c>
    </row>
    <row r="454" spans="1:10" x14ac:dyDescent="0.25">
      <c r="A454" t="str">
        <f>IFERROR(IF(0=LEN(ReferenceData!$A$454),"",ReferenceData!$A$454),"")</f>
        <v xml:space="preserve">        Energy</v>
      </c>
      <c r="B454" t="str">
        <f>IFERROR(IF(0=LEN(ReferenceData!$B$454),"",ReferenceData!$B$454),"")</f>
        <v/>
      </c>
      <c r="C454" t="str">
        <f>IFERROR(IF(0=LEN(ReferenceData!$C$454),"",ReferenceData!$C$454),"")</f>
        <v/>
      </c>
      <c r="D454" t="str">
        <f>IFERROR(IF(0=LEN(ReferenceData!$D$454),"",ReferenceData!$D$454),"")</f>
        <v/>
      </c>
      <c r="E454" t="str">
        <f>IFERROR(IF(0=LEN(ReferenceData!$E$454),"",ReferenceData!$E$454),"")</f>
        <v>Sum</v>
      </c>
      <c r="F454" t="str">
        <f>IFERROR(IF(0=LEN(ReferenceData!$F$454),"",ReferenceData!$F$454),"")</f>
        <v/>
      </c>
      <c r="G454" t="str">
        <f>IFERROR(IF(0=LEN(ReferenceData!$G$454),"",ReferenceData!$G$454),"")</f>
        <v/>
      </c>
      <c r="H454" t="str">
        <f>IFERROR(IF(0=LEN(ReferenceData!$H$454),"",ReferenceData!$H$454),"")</f>
        <v/>
      </c>
      <c r="I454" t="str">
        <f>IFERROR(IF(0=LEN(ReferenceData!$I$454),"",ReferenceData!$I$454),"")</f>
        <v/>
      </c>
      <c r="J454" t="str">
        <f>IFERROR(IF(0=LEN(ReferenceData!$J$454),"",ReferenceData!$J$454),"")</f>
        <v/>
      </c>
    </row>
    <row r="455" spans="1:10" x14ac:dyDescent="0.25">
      <c r="A455" t="str">
        <f>IFERROR(IF(0=LEN(ReferenceData!$A$455),"",ReferenceData!$A$455),"")</f>
        <v xml:space="preserve">            Oil &amp; Gas</v>
      </c>
      <c r="B455" t="str">
        <f>IFERROR(IF(0=LEN(ReferenceData!$B$455),"",ReferenceData!$B$455),"")</f>
        <v/>
      </c>
      <c r="C455" t="str">
        <f>IFERROR(IF(0=LEN(ReferenceData!$C$455),"",ReferenceData!$C$455),"")</f>
        <v/>
      </c>
      <c r="D455" t="str">
        <f>IFERROR(IF(0=LEN(ReferenceData!$D$455),"",ReferenceData!$D$455),"")</f>
        <v/>
      </c>
      <c r="E455" t="str">
        <f>IFERROR(IF(0=LEN(ReferenceData!$E$455),"",ReferenceData!$E$455),"")</f>
        <v>Sum</v>
      </c>
      <c r="F455" t="str">
        <f>IFERROR(IF(0=LEN(ReferenceData!$F$455),"",ReferenceData!$F$455),"")</f>
        <v>(BI export error occurred)</v>
      </c>
      <c r="G455" t="str">
        <f>IFERROR(IF(0=LEN(ReferenceData!$G$455),"",ReferenceData!$G$455),"")</f>
        <v>(BI export error occurred)</v>
      </c>
      <c r="H455" t="str">
        <f>IFERROR(IF(0=LEN(ReferenceData!$H$455),"",ReferenceData!$H$455),"")</f>
        <v>(BI export error occurred)</v>
      </c>
      <c r="I455" t="str">
        <f>IFERROR(IF(0=LEN(ReferenceData!$I$455),"",ReferenceData!$I$455),"")</f>
        <v>(BI export error occurred)</v>
      </c>
      <c r="J455" t="str">
        <f>IFERROR(IF(0=LEN(ReferenceData!$J$455),"",ReferenceData!$J$455),"")</f>
        <v>(BI export error occurred)</v>
      </c>
    </row>
    <row r="456" spans="1:10" x14ac:dyDescent="0.25">
      <c r="A456" t="str">
        <f>IFERROR(IF(0=LEN(ReferenceData!$A$456),"",ReferenceData!$A$456),"")</f>
        <v xml:space="preserve">        Financials</v>
      </c>
      <c r="B456" t="str">
        <f>IFERROR(IF(0=LEN(ReferenceData!$B$456),"",ReferenceData!$B$456),"")</f>
        <v/>
      </c>
      <c r="C456" t="str">
        <f>IFERROR(IF(0=LEN(ReferenceData!$C$456),"",ReferenceData!$C$456),"")</f>
        <v/>
      </c>
      <c r="D456" t="str">
        <f>IFERROR(IF(0=LEN(ReferenceData!$D$456),"",ReferenceData!$D$456),"")</f>
        <v/>
      </c>
      <c r="E456" t="str">
        <f>IFERROR(IF(0=LEN(ReferenceData!$E$456),"",ReferenceData!$E$456),"")</f>
        <v>Sum</v>
      </c>
      <c r="F456">
        <f ca="1">IFERROR(IF(0=LEN(ReferenceData!$F$456),"",ReferenceData!$F$456),"")</f>
        <v>2.3662440190000007</v>
      </c>
      <c r="G456">
        <f ca="1">IFERROR(IF(0=LEN(ReferenceData!$G$456),"",ReferenceData!$G$456),"")</f>
        <v>4.8063159640000004</v>
      </c>
      <c r="H456">
        <f ca="1">IFERROR(IF(0=LEN(ReferenceData!$H$456),"",ReferenceData!$H$456),"")</f>
        <v>4.9603239589999992</v>
      </c>
      <c r="I456">
        <f ca="1">IFERROR(IF(0=LEN(ReferenceData!$I$456),"",ReferenceData!$I$456),"")</f>
        <v>5.7051321680000004</v>
      </c>
      <c r="J456">
        <f ca="1">IFERROR(IF(0=LEN(ReferenceData!$J$456),"",ReferenceData!$J$456),"")</f>
        <v>6.1995196020000005</v>
      </c>
    </row>
    <row r="457" spans="1:10" x14ac:dyDescent="0.25">
      <c r="A457" t="str">
        <f>IFERROR(IF(0=LEN(ReferenceData!$A$457),"",ReferenceData!$A$457),"")</f>
        <v xml:space="preserve">            Banks</v>
      </c>
      <c r="B457" t="str">
        <f>IFERROR(IF(0=LEN(ReferenceData!$B$457),"",ReferenceData!$B$457),"")</f>
        <v/>
      </c>
      <c r="C457" t="str">
        <f>IFERROR(IF(0=LEN(ReferenceData!$C$457),"",ReferenceData!$C$457),"")</f>
        <v/>
      </c>
      <c r="D457" t="str">
        <f>IFERROR(IF(0=LEN(ReferenceData!$D$457),"",ReferenceData!$D$457),"")</f>
        <v/>
      </c>
      <c r="E457" t="str">
        <f>IFERROR(IF(0=LEN(ReferenceData!$E$457),"",ReferenceData!$E$457),"")</f>
        <v>Sum</v>
      </c>
      <c r="F457">
        <f ca="1">IFERROR(IF(0=LEN(ReferenceData!$F$457),"",ReferenceData!$F$457),"")</f>
        <v>2.3662440190000007</v>
      </c>
      <c r="G457">
        <f ca="1">IFERROR(IF(0=LEN(ReferenceData!$G$457),"",ReferenceData!$G$457),"")</f>
        <v>4.8063159640000004</v>
      </c>
      <c r="H457">
        <f ca="1">IFERROR(IF(0=LEN(ReferenceData!$H$457),"",ReferenceData!$H$457),"")</f>
        <v>4.9603239589999992</v>
      </c>
      <c r="I457">
        <f ca="1">IFERROR(IF(0=LEN(ReferenceData!$I$457),"",ReferenceData!$I$457),"")</f>
        <v>5.7051321680000004</v>
      </c>
      <c r="J457">
        <f ca="1">IFERROR(IF(0=LEN(ReferenceData!$J$457),"",ReferenceData!$J$457),"")</f>
        <v>6.1995196020000005</v>
      </c>
    </row>
    <row r="458" spans="1:10" x14ac:dyDescent="0.25">
      <c r="A458" t="str">
        <f>IFERROR(IF(0=LEN(ReferenceData!$A$458),"",ReferenceData!$A$458),"")</f>
        <v xml:space="preserve">                Diversified Banks</v>
      </c>
      <c r="B458" t="str">
        <f>IFERROR(IF(0=LEN(ReferenceData!$B$458),"",ReferenceData!$B$458),"")</f>
        <v/>
      </c>
      <c r="C458" t="str">
        <f>IFERROR(IF(0=LEN(ReferenceData!$C$458),"",ReferenceData!$C$458),"")</f>
        <v/>
      </c>
      <c r="D458" t="str">
        <f>IFERROR(IF(0=LEN(ReferenceData!$D$458),"",ReferenceData!$D$458),"")</f>
        <v/>
      </c>
      <c r="E458" t="str">
        <f>IFERROR(IF(0=LEN(ReferenceData!$E$458),"",ReferenceData!$E$458),"")</f>
        <v>Sum</v>
      </c>
      <c r="F458">
        <f ca="1">IFERROR(IF(0=LEN(ReferenceData!$F$458),"",ReferenceData!$F$458),"")</f>
        <v>2.3662440190000007</v>
      </c>
      <c r="G458">
        <f ca="1">IFERROR(IF(0=LEN(ReferenceData!$G$458),"",ReferenceData!$G$458),"")</f>
        <v>4.8063159640000004</v>
      </c>
      <c r="H458">
        <f ca="1">IFERROR(IF(0=LEN(ReferenceData!$H$458),"",ReferenceData!$H$458),"")</f>
        <v>4.9603239589999992</v>
      </c>
      <c r="I458">
        <f ca="1">IFERROR(IF(0=LEN(ReferenceData!$I$458),"",ReferenceData!$I$458),"")</f>
        <v>5.7051321680000004</v>
      </c>
      <c r="J458">
        <f ca="1">IFERROR(IF(0=LEN(ReferenceData!$J$458),"",ReferenceData!$J$458),"")</f>
        <v>6.1995196020000005</v>
      </c>
    </row>
    <row r="459" spans="1:10" x14ac:dyDescent="0.25">
      <c r="A459" t="str">
        <f>IFERROR(IF(0=LEN(ReferenceData!$A$459),"",ReferenceData!$A$459),"")</f>
        <v xml:space="preserve">                    Banco Santander SA</v>
      </c>
      <c r="B459" t="str">
        <f>IFERROR(IF(0=LEN(ReferenceData!$B$459),"",ReferenceData!$B$459),"")</f>
        <v>SAN SM Equity</v>
      </c>
      <c r="C459" t="str">
        <f>IFERROR(IF(0=LEN(ReferenceData!$C$459),"",ReferenceData!$C$459),"")</f>
        <v>F0946</v>
      </c>
      <c r="D459" t="str">
        <f>IFERROR(IF(0=LEN(ReferenceData!$D$459),"",ReferenceData!$D$459),"")</f>
        <v>TOTAL_GHG_CO2_EMISSIONS</v>
      </c>
      <c r="E459" t="str">
        <f>IFERROR(IF(0=LEN(ReferenceData!$E$459),"",ReferenceData!$E$459),"")</f>
        <v>Dynamic</v>
      </c>
      <c r="F459">
        <f ca="1">IFERROR(IF(0=LEN(ReferenceData!$F$459),"",ReferenceData!$F$459),"")</f>
        <v>0.239873001</v>
      </c>
      <c r="G459">
        <f ca="1">IFERROR(IF(0=LEN(ReferenceData!$G$459),"",ReferenceData!$G$459),"")</f>
        <v>0.295286987</v>
      </c>
      <c r="H459">
        <f ca="1">IFERROR(IF(0=LEN(ReferenceData!$H$459),"",ReferenceData!$H$459),"")</f>
        <v>0.307033997</v>
      </c>
      <c r="I459">
        <f ca="1">IFERROR(IF(0=LEN(ReferenceData!$I$459),"",ReferenceData!$I$459),"")</f>
        <v>0.34472900400000001</v>
      </c>
      <c r="J459">
        <f ca="1">IFERROR(IF(0=LEN(ReferenceData!$J$459),"",ReferenceData!$J$459),"")</f>
        <v>0.39590899699999998</v>
      </c>
    </row>
    <row r="460" spans="1:10" x14ac:dyDescent="0.25">
      <c r="A460" t="str">
        <f>IFERROR(IF(0=LEN(ReferenceData!$A$460),"",ReferenceData!$A$460),"")</f>
        <v xml:space="preserve">                    Bank of America Corp</v>
      </c>
      <c r="B460" t="str">
        <f>IFERROR(IF(0=LEN(ReferenceData!$B$460),"",ReferenceData!$B$460),"")</f>
        <v>BAC US Equity</v>
      </c>
      <c r="C460" t="str">
        <f>IFERROR(IF(0=LEN(ReferenceData!$C$460),"",ReferenceData!$C$460),"")</f>
        <v>F0946</v>
      </c>
      <c r="D460" t="str">
        <f>IFERROR(IF(0=LEN(ReferenceData!$D$460),"",ReferenceData!$D$460),"")</f>
        <v>TOTAL_GHG_CO2_EMISSIONS</v>
      </c>
      <c r="E460" t="str">
        <f>IFERROR(IF(0=LEN(ReferenceData!$E$460),"",ReferenceData!$E$460),"")</f>
        <v>Dynamic</v>
      </c>
      <c r="F460" t="str">
        <f ca="1">IFERROR(IF(0=LEN(ReferenceData!$F$460),"",ReferenceData!$F$460),"")</f>
        <v/>
      </c>
      <c r="G460">
        <f ca="1">IFERROR(IF(0=LEN(ReferenceData!$G$460),"",ReferenceData!$G$460),"")</f>
        <v>0.65898199499999999</v>
      </c>
      <c r="H460">
        <f ca="1">IFERROR(IF(0=LEN(ReferenceData!$H$460),"",ReferenceData!$H$460),"")</f>
        <v>0.71102502400000001</v>
      </c>
      <c r="I460">
        <f ca="1">IFERROR(IF(0=LEN(ReferenceData!$I$460),"",ReferenceData!$I$460),"")</f>
        <v>0.79140997300000004</v>
      </c>
      <c r="J460">
        <f ca="1">IFERROR(IF(0=LEN(ReferenceData!$J$460),"",ReferenceData!$J$460),"")</f>
        <v>0.87631097400000002</v>
      </c>
    </row>
    <row r="461" spans="1:10" x14ac:dyDescent="0.25">
      <c r="A461" t="str">
        <f>IFERROR(IF(0=LEN(ReferenceData!$A$461),"",ReferenceData!$A$461),"")</f>
        <v xml:space="preserve">                    Barclays PLC</v>
      </c>
      <c r="B461" t="str">
        <f>IFERROR(IF(0=LEN(ReferenceData!$B$461),"",ReferenceData!$B$461),"")</f>
        <v>BARC LN Equity</v>
      </c>
      <c r="C461" t="str">
        <f>IFERROR(IF(0=LEN(ReferenceData!$C$461),"",ReferenceData!$C$461),"")</f>
        <v>F0946</v>
      </c>
      <c r="D461" t="str">
        <f>IFERROR(IF(0=LEN(ReferenceData!$D$461),"",ReferenceData!$D$461),"")</f>
        <v>TOTAL_GHG_CO2_EMISSIONS</v>
      </c>
      <c r="E461" t="str">
        <f>IFERROR(IF(0=LEN(ReferenceData!$E$461),"",ReferenceData!$E$461),"")</f>
        <v>Dynamic</v>
      </c>
      <c r="F461">
        <f ca="1">IFERROR(IF(0=LEN(ReferenceData!$F$461),"",ReferenceData!$F$461),"")</f>
        <v>0.12340000199999999</v>
      </c>
      <c r="G461">
        <f ca="1">IFERROR(IF(0=LEN(ReferenceData!$G$461),"",ReferenceData!$G$461),"")</f>
        <v>0.14621200600000001</v>
      </c>
      <c r="H461">
        <f ca="1">IFERROR(IF(0=LEN(ReferenceData!$H$461),"",ReferenceData!$H$461),"")</f>
        <v>0.178371002</v>
      </c>
      <c r="I461">
        <f ca="1">IFERROR(IF(0=LEN(ReferenceData!$I$461),"",ReferenceData!$I$461),"")</f>
        <v>0.21001899700000001</v>
      </c>
      <c r="J461">
        <f ca="1">IFERROR(IF(0=LEN(ReferenceData!$J$461),"",ReferenceData!$J$461),"")</f>
        <v>0.22289799499999999</v>
      </c>
    </row>
    <row r="462" spans="1:10" x14ac:dyDescent="0.25">
      <c r="A462" t="str">
        <f>IFERROR(IF(0=LEN(ReferenceData!$A$462),"",ReferenceData!$A$462),"")</f>
        <v xml:space="preserve">                    BNP Paribas SA</v>
      </c>
      <c r="B462" t="str">
        <f>IFERROR(IF(0=LEN(ReferenceData!$B$462),"",ReferenceData!$B$462),"")</f>
        <v>BNP FP Equity</v>
      </c>
      <c r="C462" t="str">
        <f>IFERROR(IF(0=LEN(ReferenceData!$C$462),"",ReferenceData!$C$462),"")</f>
        <v>F0946</v>
      </c>
      <c r="D462" t="str">
        <f>IFERROR(IF(0=LEN(ReferenceData!$D$462),"",ReferenceData!$D$462),"")</f>
        <v>TOTAL_GHG_CO2_EMISSIONS</v>
      </c>
      <c r="E462" t="str">
        <f>IFERROR(IF(0=LEN(ReferenceData!$E$462),"",ReferenceData!$E$462),"")</f>
        <v>Dynamic</v>
      </c>
      <c r="F462">
        <f ca="1">IFERROR(IF(0=LEN(ReferenceData!$F$462),"",ReferenceData!$F$462),"")</f>
        <v>0.24263900799999999</v>
      </c>
      <c r="G462">
        <f ca="1">IFERROR(IF(0=LEN(ReferenceData!$G$462),"",ReferenceData!$G$462),"")</f>
        <v>0.25161700399999998</v>
      </c>
      <c r="H462">
        <f ca="1">IFERROR(IF(0=LEN(ReferenceData!$H$462),"",ReferenceData!$H$462),"")</f>
        <v>0.28287200899999998</v>
      </c>
      <c r="I462">
        <f ca="1">IFERROR(IF(0=LEN(ReferenceData!$I$462),"",ReferenceData!$I$462),"")</f>
        <v>0.34197601300000002</v>
      </c>
      <c r="J462">
        <f ca="1">IFERROR(IF(0=LEN(ReferenceData!$J$462),"",ReferenceData!$J$462),"")</f>
        <v>0.35105099499999998</v>
      </c>
    </row>
    <row r="463" spans="1:10" x14ac:dyDescent="0.25">
      <c r="A463" t="str">
        <f>IFERROR(IF(0=LEN(ReferenceData!$A$463),"",ReferenceData!$A$463),"")</f>
        <v xml:space="preserve">                    Citigroup Inc</v>
      </c>
      <c r="B463" t="str">
        <f>IFERROR(IF(0=LEN(ReferenceData!$B$463),"",ReferenceData!$B$463),"")</f>
        <v>C US Equity</v>
      </c>
      <c r="C463" t="str">
        <f>IFERROR(IF(0=LEN(ReferenceData!$C$463),"",ReferenceData!$C$463),"")</f>
        <v>F0946</v>
      </c>
      <c r="D463" t="str">
        <f>IFERROR(IF(0=LEN(ReferenceData!$D$463),"",ReferenceData!$D$463),"")</f>
        <v>TOTAL_GHG_CO2_EMISSIONS</v>
      </c>
      <c r="E463" t="str">
        <f>IFERROR(IF(0=LEN(ReferenceData!$E$463),"",ReferenceData!$E$463),"")</f>
        <v>Dynamic</v>
      </c>
      <c r="F463">
        <f ca="1">IFERROR(IF(0=LEN(ReferenceData!$F$463),"",ReferenceData!$F$463),"")</f>
        <v>0.510553009</v>
      </c>
      <c r="G463">
        <f ca="1">IFERROR(IF(0=LEN(ReferenceData!$G$463),"",ReferenceData!$G$463),"")</f>
        <v>0.50799398799999995</v>
      </c>
      <c r="H463">
        <f ca="1">IFERROR(IF(0=LEN(ReferenceData!$H$463),"",ReferenceData!$H$463),"")</f>
        <v>0.52645898400000002</v>
      </c>
      <c r="I463">
        <f ca="1">IFERROR(IF(0=LEN(ReferenceData!$I$463),"",ReferenceData!$I$463),"")</f>
        <v>0.61690002399999999</v>
      </c>
      <c r="J463">
        <f ca="1">IFERROR(IF(0=LEN(ReferenceData!$J$463),"",ReferenceData!$J$463),"")</f>
        <v>0.65765197799999997</v>
      </c>
    </row>
    <row r="464" spans="1:10" x14ac:dyDescent="0.25">
      <c r="A464" t="str">
        <f>IFERROR(IF(0=LEN(ReferenceData!$A$464),"",ReferenceData!$A$464),"")</f>
        <v xml:space="preserve">                    Credit Suisse Group AG</v>
      </c>
      <c r="B464" t="str">
        <f>IFERROR(IF(0=LEN(ReferenceData!$B$464),"",ReferenceData!$B$464),"")</f>
        <v>CSGN SW Equity</v>
      </c>
      <c r="C464" t="str">
        <f>IFERROR(IF(0=LEN(ReferenceData!$C$464),"",ReferenceData!$C$464),"")</f>
        <v>F0946</v>
      </c>
      <c r="D464" t="str">
        <f>IFERROR(IF(0=LEN(ReferenceData!$D$464),"",ReferenceData!$D$464),"")</f>
        <v>TOTAL_GHG_CO2_EMISSIONS</v>
      </c>
      <c r="E464" t="str">
        <f>IFERROR(IF(0=LEN(ReferenceData!$E$464),"",ReferenceData!$E$464),"")</f>
        <v>Dynamic</v>
      </c>
      <c r="F464">
        <f ca="1">IFERROR(IF(0=LEN(ReferenceData!$F$464),"",ReferenceData!$F$464),"")</f>
        <v>8.3097000000000004E-2</v>
      </c>
      <c r="G464">
        <f ca="1">IFERROR(IF(0=LEN(ReferenceData!$G$464),"",ReferenceData!$G$464),"")</f>
        <v>9.2473999000000001E-2</v>
      </c>
      <c r="H464">
        <f ca="1">IFERROR(IF(0=LEN(ReferenceData!$H$464),"",ReferenceData!$H$464),"")</f>
        <v>0.11184999900000001</v>
      </c>
      <c r="I464">
        <f ca="1">IFERROR(IF(0=LEN(ReferenceData!$I$464),"",ReferenceData!$I$464),"")</f>
        <v>0.158</v>
      </c>
      <c r="J464">
        <f ca="1">IFERROR(IF(0=LEN(ReferenceData!$J$464),"",ReferenceData!$J$464),"")</f>
        <v>0.16957000699999999</v>
      </c>
    </row>
    <row r="465" spans="1:10" x14ac:dyDescent="0.25">
      <c r="A465" t="str">
        <f>IFERROR(IF(0=LEN(ReferenceData!$A$465),"",ReferenceData!$A$465),"")</f>
        <v xml:space="preserve">                    Deutsche Bank AG</v>
      </c>
      <c r="B465" t="str">
        <f>IFERROR(IF(0=LEN(ReferenceData!$B$465),"",ReferenceData!$B$465),"")</f>
        <v>DBK GR Equity</v>
      </c>
      <c r="C465" t="str">
        <f>IFERROR(IF(0=LEN(ReferenceData!$C$465),"",ReferenceData!$C$465),"")</f>
        <v>F0946</v>
      </c>
      <c r="D465" t="str">
        <f>IFERROR(IF(0=LEN(ReferenceData!$D$465),"",ReferenceData!$D$465),"")</f>
        <v>TOTAL_GHG_CO2_EMISSIONS</v>
      </c>
      <c r="E465" t="str">
        <f>IFERROR(IF(0=LEN(ReferenceData!$E$465),"",ReferenceData!$E$465),"")</f>
        <v>Dynamic</v>
      </c>
      <c r="F465">
        <f ca="1">IFERROR(IF(0=LEN(ReferenceData!$F$465),"",ReferenceData!$F$465),"")</f>
        <v>0.15579800399999999</v>
      </c>
      <c r="G465">
        <f ca="1">IFERROR(IF(0=LEN(ReferenceData!$G$465),"",ReferenceData!$G$465),"")</f>
        <v>0.20017500299999999</v>
      </c>
      <c r="H465">
        <f ca="1">IFERROR(IF(0=LEN(ReferenceData!$H$465),"",ReferenceData!$H$465),"")</f>
        <v>0.24874600199999999</v>
      </c>
      <c r="I465">
        <f ca="1">IFERROR(IF(0=LEN(ReferenceData!$I$465),"",ReferenceData!$I$465),"")</f>
        <v>0.308605988</v>
      </c>
      <c r="J465">
        <f ca="1">IFERROR(IF(0=LEN(ReferenceData!$J$465),"",ReferenceData!$J$465),"")</f>
        <v>0.32993701199999997</v>
      </c>
    </row>
    <row r="466" spans="1:10" x14ac:dyDescent="0.25">
      <c r="A466" t="str">
        <f>IFERROR(IF(0=LEN(ReferenceData!$A$466),"",ReferenceData!$A$466),"")</f>
        <v xml:space="preserve">                    Goldman Sachs Group Inc/The</v>
      </c>
      <c r="B466" t="str">
        <f>IFERROR(IF(0=LEN(ReferenceData!$B$466),"",ReferenceData!$B$466),"")</f>
        <v>GS US Equity</v>
      </c>
      <c r="C466" t="str">
        <f>IFERROR(IF(0=LEN(ReferenceData!$C$466),"",ReferenceData!$C$466),"")</f>
        <v>F0946</v>
      </c>
      <c r="D466" t="str">
        <f>IFERROR(IF(0=LEN(ReferenceData!$D$466),"",ReferenceData!$D$466),"")</f>
        <v>TOTAL_GHG_CO2_EMISSIONS</v>
      </c>
      <c r="E466" t="str">
        <f>IFERROR(IF(0=LEN(ReferenceData!$E$466),"",ReferenceData!$E$466),"")</f>
        <v>Dynamic</v>
      </c>
      <c r="F466">
        <f ca="1">IFERROR(IF(0=LEN(ReferenceData!$F$466),"",ReferenceData!$F$466),"")</f>
        <v>0.17013099700000001</v>
      </c>
      <c r="G466">
        <f ca="1">IFERROR(IF(0=LEN(ReferenceData!$G$466),"",ReferenceData!$G$466),"")</f>
        <v>0.15596299699999999</v>
      </c>
      <c r="H466">
        <f ca="1">IFERROR(IF(0=LEN(ReferenceData!$H$466),"",ReferenceData!$H$466),"")</f>
        <v>0.15100100699999999</v>
      </c>
      <c r="I466">
        <f ca="1">IFERROR(IF(0=LEN(ReferenceData!$I$466),"",ReferenceData!$I$466),"")</f>
        <v>0.178921997</v>
      </c>
      <c r="J466">
        <f ca="1">IFERROR(IF(0=LEN(ReferenceData!$J$466),"",ReferenceData!$J$466),"")</f>
        <v>0.19629099999999999</v>
      </c>
    </row>
    <row r="467" spans="1:10" x14ac:dyDescent="0.25">
      <c r="A467" t="str">
        <f>IFERROR(IF(0=LEN(ReferenceData!$A$467),"",ReferenceData!$A$467),"")</f>
        <v xml:space="preserve">                    HSBC Holdings PLC</v>
      </c>
      <c r="B467" t="str">
        <f>IFERROR(IF(0=LEN(ReferenceData!$B$467),"",ReferenceData!$B$467),"")</f>
        <v>HSBA LN Equity</v>
      </c>
      <c r="C467" t="str">
        <f>IFERROR(IF(0=LEN(ReferenceData!$C$467),"",ReferenceData!$C$467),"")</f>
        <v>F0946</v>
      </c>
      <c r="D467" t="str">
        <f>IFERROR(IF(0=LEN(ReferenceData!$D$467),"",ReferenceData!$D$467),"")</f>
        <v>TOTAL_GHG_CO2_EMISSIONS</v>
      </c>
      <c r="E467" t="str">
        <f>IFERROR(IF(0=LEN(ReferenceData!$E$467),"",ReferenceData!$E$467),"")</f>
        <v>Dynamic</v>
      </c>
      <c r="F467">
        <f ca="1">IFERROR(IF(0=LEN(ReferenceData!$F$467),"",ReferenceData!$F$467),"")</f>
        <v>0.36599999999999999</v>
      </c>
      <c r="G467">
        <f ca="1">IFERROR(IF(0=LEN(ReferenceData!$G$467),"",ReferenceData!$G$467),"")</f>
        <v>0.40799999999999997</v>
      </c>
      <c r="H467">
        <f ca="1">IFERROR(IF(0=LEN(ReferenceData!$H$467),"",ReferenceData!$H$467),"")</f>
        <v>0.41622601300000001</v>
      </c>
      <c r="I467">
        <f ca="1">IFERROR(IF(0=LEN(ReferenceData!$I$467),"",ReferenceData!$I$467),"")</f>
        <v>0.48301998899999998</v>
      </c>
      <c r="J467">
        <f ca="1">IFERROR(IF(0=LEN(ReferenceData!$J$467),"",ReferenceData!$J$467),"")</f>
        <v>0.52036602799999998</v>
      </c>
    </row>
    <row r="468" spans="1:10" x14ac:dyDescent="0.25">
      <c r="A468" t="str">
        <f>IFERROR(IF(0=LEN(ReferenceData!$A$468),"",ReferenceData!$A$468),"")</f>
        <v xml:space="preserve">                    Itau Unibanco Holding SA</v>
      </c>
      <c r="B468" t="str">
        <f>IFERROR(IF(0=LEN(ReferenceData!$B$468),"",ReferenceData!$B$468),"")</f>
        <v>ITUB4 BZ Equity</v>
      </c>
      <c r="C468" t="str">
        <f>IFERROR(IF(0=LEN(ReferenceData!$C$468),"",ReferenceData!$C$468),"")</f>
        <v>F0946</v>
      </c>
      <c r="D468" t="str">
        <f>IFERROR(IF(0=LEN(ReferenceData!$D$468),"",ReferenceData!$D$468),"")</f>
        <v>TOTAL_GHG_CO2_EMISSIONS</v>
      </c>
      <c r="E468" t="str">
        <f>IFERROR(IF(0=LEN(ReferenceData!$E$468),"",ReferenceData!$E$468),"")</f>
        <v>Dynamic</v>
      </c>
      <c r="F468">
        <f ca="1">IFERROR(IF(0=LEN(ReferenceData!$F$468),"",ReferenceData!$F$468),"")</f>
        <v>3.8125999000000001E-2</v>
      </c>
      <c r="G468">
        <f ca="1">IFERROR(IF(0=LEN(ReferenceData!$G$468),"",ReferenceData!$G$468),"")</f>
        <v>6.8644996999999999E-2</v>
      </c>
      <c r="H468">
        <f ca="1">IFERROR(IF(0=LEN(ReferenceData!$H$468),"",ReferenceData!$H$468),"")</f>
        <v>4.2811900999999999E-2</v>
      </c>
      <c r="I468">
        <f ca="1">IFERROR(IF(0=LEN(ReferenceData!$I$468),"",ReferenceData!$I$468),"")</f>
        <v>5.2860198999999997E-2</v>
      </c>
      <c r="J468">
        <f ca="1">IFERROR(IF(0=LEN(ReferenceData!$J$468),"",ReferenceData!$J$468),"")</f>
        <v>6.0335602000000002E-2</v>
      </c>
    </row>
    <row r="469" spans="1:10" x14ac:dyDescent="0.25">
      <c r="A469" t="str">
        <f>IFERROR(IF(0=LEN(ReferenceData!$A$469),"",ReferenceData!$A$469),"")</f>
        <v xml:space="preserve">                    JPMorgan Chase &amp; Co</v>
      </c>
      <c r="B469" t="str">
        <f>IFERROR(IF(0=LEN(ReferenceData!$B$469),"",ReferenceData!$B$469),"")</f>
        <v>JPM US Equity</v>
      </c>
      <c r="C469" t="str">
        <f>IFERROR(IF(0=LEN(ReferenceData!$C$469),"",ReferenceData!$C$469),"")</f>
        <v>F0946</v>
      </c>
      <c r="D469" t="str">
        <f>IFERROR(IF(0=LEN(ReferenceData!$D$469),"",ReferenceData!$D$469),"")</f>
        <v>TOTAL_GHG_CO2_EMISSIONS</v>
      </c>
      <c r="E469" t="str">
        <f>IFERROR(IF(0=LEN(ReferenceData!$E$469),"",ReferenceData!$E$469),"")</f>
        <v>Dynamic</v>
      </c>
      <c r="F469" t="str">
        <f ca="1">IFERROR(IF(0=LEN(ReferenceData!$F$469),"",ReferenceData!$F$469),"")</f>
        <v/>
      </c>
      <c r="G469">
        <f ca="1">IFERROR(IF(0=LEN(ReferenceData!$G$469),"",ReferenceData!$G$469),"")</f>
        <v>0.84042498799999998</v>
      </c>
      <c r="H469">
        <f ca="1">IFERROR(IF(0=LEN(ReferenceData!$H$469),"",ReferenceData!$H$469),"")</f>
        <v>0.73017102099999998</v>
      </c>
      <c r="I469">
        <f ca="1">IFERROR(IF(0=LEN(ReferenceData!$I$469),"",ReferenceData!$I$469),"")</f>
        <v>0.77395397899999996</v>
      </c>
      <c r="J469">
        <f ca="1">IFERROR(IF(0=LEN(ReferenceData!$J$469),"",ReferenceData!$J$469),"")</f>
        <v>0.822559021</v>
      </c>
    </row>
    <row r="470" spans="1:10" x14ac:dyDescent="0.25">
      <c r="A470" t="str">
        <f>IFERROR(IF(0=LEN(ReferenceData!$A$470),"",ReferenceData!$A$470),"")</f>
        <v xml:space="preserve">                    Mitsubishi UFJ Financial Group</v>
      </c>
      <c r="B470" t="str">
        <f>IFERROR(IF(0=LEN(ReferenceData!$B$470),"",ReferenceData!$B$470),"")</f>
        <v>8306 JP Equity</v>
      </c>
      <c r="C470" t="str">
        <f>IFERROR(IF(0=LEN(ReferenceData!$C$470),"",ReferenceData!$C$470),"")</f>
        <v>F0946</v>
      </c>
      <c r="D470" t="str">
        <f>IFERROR(IF(0=LEN(ReferenceData!$D$470),"",ReferenceData!$D$470),"")</f>
        <v>TOTAL_GHG_CO2_EMISSIONS</v>
      </c>
      <c r="E470" t="str">
        <f>IFERROR(IF(0=LEN(ReferenceData!$E$470),"",ReferenceData!$E$470),"")</f>
        <v>Dynamic</v>
      </c>
      <c r="F470" t="str">
        <f ca="1">IFERROR(IF(0=LEN(ReferenceData!$F$470),"",ReferenceData!$F$470),"")</f>
        <v/>
      </c>
      <c r="G470">
        <f ca="1">IFERROR(IF(0=LEN(ReferenceData!$G$470),"",ReferenceData!$G$470),"")</f>
        <v>0.239927002</v>
      </c>
      <c r="H470">
        <f ca="1">IFERROR(IF(0=LEN(ReferenceData!$H$470),"",ReferenceData!$H$470),"")</f>
        <v>0.208871002</v>
      </c>
      <c r="I470">
        <f ca="1">IFERROR(IF(0=LEN(ReferenceData!$I$470),"",ReferenceData!$I$470),"")</f>
        <v>0.23135800200000001</v>
      </c>
      <c r="J470">
        <f ca="1">IFERROR(IF(0=LEN(ReferenceData!$J$470),"",ReferenceData!$J$470),"")</f>
        <v>0.233261993</v>
      </c>
    </row>
    <row r="471" spans="1:10" x14ac:dyDescent="0.25">
      <c r="A471" t="str">
        <f>IFERROR(IF(0=LEN(ReferenceData!$A$471),"",ReferenceData!$A$471),"")</f>
        <v xml:space="preserve">                    Mizuho Financial Group Inc</v>
      </c>
      <c r="B471" t="str">
        <f>IFERROR(IF(0=LEN(ReferenceData!$B$471),"",ReferenceData!$B$471),"")</f>
        <v>8411 JP Equity</v>
      </c>
      <c r="C471" t="str">
        <f>IFERROR(IF(0=LEN(ReferenceData!$C$471),"",ReferenceData!$C$471),"")</f>
        <v>F0946</v>
      </c>
      <c r="D471" t="str">
        <f>IFERROR(IF(0=LEN(ReferenceData!$D$471),"",ReferenceData!$D$471),"")</f>
        <v>TOTAL_GHG_CO2_EMISSIONS</v>
      </c>
      <c r="E471" t="str">
        <f>IFERROR(IF(0=LEN(ReferenceData!$E$471),"",ReferenceData!$E$471),"")</f>
        <v>Dynamic</v>
      </c>
      <c r="F471" t="str">
        <f ca="1">IFERROR(IF(0=LEN(ReferenceData!$F$471),"",ReferenceData!$F$471),"")</f>
        <v/>
      </c>
      <c r="G471">
        <f ca="1">IFERROR(IF(0=LEN(ReferenceData!$G$471),"",ReferenceData!$G$471),"")</f>
        <v>0.149171005</v>
      </c>
      <c r="H471">
        <f ca="1">IFERROR(IF(0=LEN(ReferenceData!$H$471),"",ReferenceData!$H$471),"")</f>
        <v>0.17577099600000001</v>
      </c>
      <c r="I471">
        <f ca="1">IFERROR(IF(0=LEN(ReferenceData!$I$471),"",ReferenceData!$I$471),"")</f>
        <v>0.19190499899999999</v>
      </c>
      <c r="J471">
        <f ca="1">IFERROR(IF(0=LEN(ReferenceData!$J$471),"",ReferenceData!$J$471),"")</f>
        <v>0.220854996</v>
      </c>
    </row>
    <row r="472" spans="1:10" x14ac:dyDescent="0.25">
      <c r="A472" t="str">
        <f>IFERROR(IF(0=LEN(ReferenceData!$A$472),"",ReferenceData!$A$472),"")</f>
        <v xml:space="preserve">                    Morgan Stanley</v>
      </c>
      <c r="B472" t="str">
        <f>IFERROR(IF(0=LEN(ReferenceData!$B$472),"",ReferenceData!$B$472),"")</f>
        <v>MS US Equity</v>
      </c>
      <c r="C472" t="str">
        <f>IFERROR(IF(0=LEN(ReferenceData!$C$472),"",ReferenceData!$C$472),"")</f>
        <v>F0946</v>
      </c>
      <c r="D472" t="str">
        <f>IFERROR(IF(0=LEN(ReferenceData!$D$472),"",ReferenceData!$D$472),"")</f>
        <v>TOTAL_GHG_CO2_EMISSIONS</v>
      </c>
      <c r="E472" t="str">
        <f>IFERROR(IF(0=LEN(ReferenceData!$E$472),"",ReferenceData!$E$472),"")</f>
        <v>Dynamic</v>
      </c>
      <c r="F472" t="str">
        <f ca="1">IFERROR(IF(0=LEN(ReferenceData!$F$472),"",ReferenceData!$F$472),"")</f>
        <v/>
      </c>
      <c r="G472">
        <f ca="1">IFERROR(IF(0=LEN(ReferenceData!$G$472),"",ReferenceData!$G$472),"")</f>
        <v>0.211199997</v>
      </c>
      <c r="H472">
        <f ca="1">IFERROR(IF(0=LEN(ReferenceData!$H$472),"",ReferenceData!$H$472),"")</f>
        <v>0.203399994</v>
      </c>
      <c r="I472">
        <f ca="1">IFERROR(IF(0=LEN(ReferenceData!$I$472),"",ReferenceData!$I$472),"")</f>
        <v>0.22810000599999999</v>
      </c>
      <c r="J472">
        <f ca="1">IFERROR(IF(0=LEN(ReferenceData!$J$472),"",ReferenceData!$J$472),"")</f>
        <v>0.239100006</v>
      </c>
    </row>
    <row r="473" spans="1:10" x14ac:dyDescent="0.25">
      <c r="A473" t="str">
        <f>IFERROR(IF(0=LEN(ReferenceData!$A$473),"",ReferenceData!$A$473),"")</f>
        <v xml:space="preserve">                    NatWest Group PLC</v>
      </c>
      <c r="B473" t="str">
        <f>IFERROR(IF(0=LEN(ReferenceData!$B$473),"",ReferenceData!$B$473),"")</f>
        <v>NWG LN Equity</v>
      </c>
      <c r="C473" t="str">
        <f>IFERROR(IF(0=LEN(ReferenceData!$C$473),"",ReferenceData!$C$473),"")</f>
        <v>F0946</v>
      </c>
      <c r="D473" t="str">
        <f>IFERROR(IF(0=LEN(ReferenceData!$D$473),"",ReferenceData!$D$473),"")</f>
        <v>TOTAL_GHG_CO2_EMISSIONS</v>
      </c>
      <c r="E473" t="str">
        <f>IFERROR(IF(0=LEN(ReferenceData!$E$473),"",ReferenceData!$E$473),"")</f>
        <v>Dynamic</v>
      </c>
      <c r="F473">
        <f ca="1">IFERROR(IF(0=LEN(ReferenceData!$F$473),"",ReferenceData!$F$473),"")</f>
        <v>7.9216002999999993E-2</v>
      </c>
      <c r="G473">
        <f ca="1">IFERROR(IF(0=LEN(ReferenceData!$G$473),"",ReferenceData!$G$473),"")</f>
        <v>8.8166999999999995E-2</v>
      </c>
      <c r="H473">
        <f ca="1">IFERROR(IF(0=LEN(ReferenceData!$H$473),"",ReferenceData!$H$473),"")</f>
        <v>0.112054001</v>
      </c>
      <c r="I473">
        <f ca="1">IFERROR(IF(0=LEN(ReferenceData!$I$473),"",ReferenceData!$I$473),"")</f>
        <v>0.14840199300000001</v>
      </c>
      <c r="J473">
        <f ca="1">IFERROR(IF(0=LEN(ReferenceData!$J$473),"",ReferenceData!$J$473),"")</f>
        <v>0.19613800100000001</v>
      </c>
    </row>
    <row r="474" spans="1:10" x14ac:dyDescent="0.25">
      <c r="A474" t="str">
        <f>IFERROR(IF(0=LEN(ReferenceData!$A$474),"",ReferenceData!$A$474),"")</f>
        <v xml:space="preserve">                    Nomura Holdings Inc</v>
      </c>
      <c r="B474" t="str">
        <f>IFERROR(IF(0=LEN(ReferenceData!$B$474),"",ReferenceData!$B$474),"")</f>
        <v>8604 JP Equity</v>
      </c>
      <c r="C474" t="str">
        <f>IFERROR(IF(0=LEN(ReferenceData!$C$474),"",ReferenceData!$C$474),"")</f>
        <v>F0946</v>
      </c>
      <c r="D474" t="str">
        <f>IFERROR(IF(0=LEN(ReferenceData!$D$474),"",ReferenceData!$D$474),"")</f>
        <v>TOTAL_GHG_CO2_EMISSIONS</v>
      </c>
      <c r="E474" t="str">
        <f>IFERROR(IF(0=LEN(ReferenceData!$E$474),"",ReferenceData!$E$474),"")</f>
        <v>Dynamic</v>
      </c>
      <c r="F474" t="str">
        <f ca="1">IFERROR(IF(0=LEN(ReferenceData!$F$474),"",ReferenceData!$F$474),"")</f>
        <v/>
      </c>
      <c r="G474">
        <f ca="1">IFERROR(IF(0=LEN(ReferenceData!$G$474),"",ReferenceData!$G$474),"")</f>
        <v>4.4139998999999999E-2</v>
      </c>
      <c r="H474">
        <f ca="1">IFERROR(IF(0=LEN(ReferenceData!$H$474),"",ReferenceData!$H$474),"")</f>
        <v>4.8534000000000001E-2</v>
      </c>
      <c r="I474">
        <f ca="1">IFERROR(IF(0=LEN(ReferenceData!$I$474),"",ReferenceData!$I$474),"")</f>
        <v>6.1382999000000001E-2</v>
      </c>
      <c r="J474">
        <f ca="1">IFERROR(IF(0=LEN(ReferenceData!$J$474),"",ReferenceData!$J$474),"")</f>
        <v>6.7917000000000005E-2</v>
      </c>
    </row>
    <row r="475" spans="1:10" x14ac:dyDescent="0.25">
      <c r="A475" t="str">
        <f>IFERROR(IF(0=LEN(ReferenceData!$A$475),"",ReferenceData!$A$475),"")</f>
        <v xml:space="preserve">                    Royal Bank of Canada</v>
      </c>
      <c r="B475" t="str">
        <f>IFERROR(IF(0=LEN(ReferenceData!$B$475),"",ReferenceData!$B$475),"")</f>
        <v>RY CN Equity</v>
      </c>
      <c r="C475" t="str">
        <f>IFERROR(IF(0=LEN(ReferenceData!$C$475),"",ReferenceData!$C$475),"")</f>
        <v>F0946</v>
      </c>
      <c r="D475" t="str">
        <f>IFERROR(IF(0=LEN(ReferenceData!$D$475),"",ReferenceData!$D$475),"")</f>
        <v>TOTAL_GHG_CO2_EMISSIONS</v>
      </c>
      <c r="E475" t="str">
        <f>IFERROR(IF(0=LEN(ReferenceData!$E$475),"",ReferenceData!$E$475),"")</f>
        <v>Dynamic</v>
      </c>
      <c r="F475">
        <f ca="1">IFERROR(IF(0=LEN(ReferenceData!$F$475),"",ReferenceData!$F$475),"")</f>
        <v>8.8416999999999996E-2</v>
      </c>
      <c r="G475">
        <f ca="1">IFERROR(IF(0=LEN(ReferenceData!$G$475),"",ReferenceData!$G$475),"")</f>
        <v>9.1396004000000003E-2</v>
      </c>
      <c r="H475">
        <f ca="1">IFERROR(IF(0=LEN(ReferenceData!$H$475),"",ReferenceData!$H$475),"")</f>
        <v>0.100935997</v>
      </c>
      <c r="I475">
        <f ca="1">IFERROR(IF(0=LEN(ReferenceData!$I$475),"",ReferenceData!$I$475),"")</f>
        <v>0.114583</v>
      </c>
      <c r="J475">
        <f ca="1">IFERROR(IF(0=LEN(ReferenceData!$J$475),"",ReferenceData!$J$475),"")</f>
        <v>0.12618299899999999</v>
      </c>
    </row>
    <row r="476" spans="1:10" x14ac:dyDescent="0.25">
      <c r="A476" t="str">
        <f>IFERROR(IF(0=LEN(ReferenceData!$A$476),"",ReferenceData!$A$476),"")</f>
        <v xml:space="preserve">                    Societe Generale SA</v>
      </c>
      <c r="B476" t="str">
        <f>IFERROR(IF(0=LEN(ReferenceData!$B$476),"",ReferenceData!$B$476),"")</f>
        <v>GLE FP Equity</v>
      </c>
      <c r="C476" t="str">
        <f>IFERROR(IF(0=LEN(ReferenceData!$C$476),"",ReferenceData!$C$476),"")</f>
        <v>F0946</v>
      </c>
      <c r="D476" t="str">
        <f>IFERROR(IF(0=LEN(ReferenceData!$D$476),"",ReferenceData!$D$476),"")</f>
        <v>TOTAL_GHG_CO2_EMISSIONS</v>
      </c>
      <c r="E476" t="str">
        <f>IFERROR(IF(0=LEN(ReferenceData!$E$476),"",ReferenceData!$E$476),"")</f>
        <v>Dynamic</v>
      </c>
      <c r="F476">
        <f ca="1">IFERROR(IF(0=LEN(ReferenceData!$F$476),"",ReferenceData!$F$476),"")</f>
        <v>0.100519997</v>
      </c>
      <c r="G476">
        <f ca="1">IFERROR(IF(0=LEN(ReferenceData!$G$476),"",ReferenceData!$G$476),"")</f>
        <v>0.13539599599999999</v>
      </c>
      <c r="H476">
        <f ca="1">IFERROR(IF(0=LEN(ReferenceData!$H$476),"",ReferenceData!$H$476),"")</f>
        <v>0.13983700600000001</v>
      </c>
      <c r="I476">
        <f ca="1">IFERROR(IF(0=LEN(ReferenceData!$I$476),"",ReferenceData!$I$476),"")</f>
        <v>0.169481995</v>
      </c>
      <c r="J476">
        <f ca="1">IFERROR(IF(0=LEN(ReferenceData!$J$476),"",ReferenceData!$J$476),"")</f>
        <v>0.20275500499999999</v>
      </c>
    </row>
    <row r="477" spans="1:10" x14ac:dyDescent="0.25">
      <c r="A477" t="str">
        <f>IFERROR(IF(0=LEN(ReferenceData!$A$477),"",ReferenceData!$A$477),"")</f>
        <v xml:space="preserve">                    Standard Chartered PLC</v>
      </c>
      <c r="B477" t="str">
        <f>IFERROR(IF(0=LEN(ReferenceData!$B$477),"",ReferenceData!$B$477),"")</f>
        <v>STAN LN Equity</v>
      </c>
      <c r="C477" t="str">
        <f>IFERROR(IF(0=LEN(ReferenceData!$C$477),"",ReferenceData!$C$477),"")</f>
        <v>F0946</v>
      </c>
      <c r="D477" t="str">
        <f>IFERROR(IF(0=LEN(ReferenceData!$D$477),"",ReferenceData!$D$477),"")</f>
        <v>TOTAL_GHG_CO2_EMISSIONS</v>
      </c>
      <c r="E477" t="str">
        <f>IFERROR(IF(0=LEN(ReferenceData!$E$477),"",ReferenceData!$E$477),"")</f>
        <v>Dynamic</v>
      </c>
      <c r="F477">
        <f ca="1">IFERROR(IF(0=LEN(ReferenceData!$F$477),"",ReferenceData!$F$477),"")</f>
        <v>4.9433998E-2</v>
      </c>
      <c r="G477">
        <f ca="1">IFERROR(IF(0=LEN(ReferenceData!$G$477),"",ReferenceData!$G$477),"")</f>
        <v>8.5663002000000002E-2</v>
      </c>
      <c r="H477">
        <f ca="1">IFERROR(IF(0=LEN(ReferenceData!$H$477),"",ReferenceData!$H$477),"")</f>
        <v>0.117858002</v>
      </c>
      <c r="I477">
        <f ca="1">IFERROR(IF(0=LEN(ReferenceData!$I$477),"",ReferenceData!$I$477),"")</f>
        <v>0.146313004</v>
      </c>
      <c r="J477">
        <f ca="1">IFERROR(IF(0=LEN(ReferenceData!$J$477),"",ReferenceData!$J$477),"")</f>
        <v>0.147949997</v>
      </c>
    </row>
    <row r="478" spans="1:10" x14ac:dyDescent="0.25">
      <c r="A478" t="str">
        <f>IFERROR(IF(0=LEN(ReferenceData!$A$478),"",ReferenceData!$A$478),"")</f>
        <v xml:space="preserve">                    UBS Group AG</v>
      </c>
      <c r="B478" t="str">
        <f>IFERROR(IF(0=LEN(ReferenceData!$B$478),"",ReferenceData!$B$478),"")</f>
        <v>UBSG SW Equity</v>
      </c>
      <c r="C478" t="str">
        <f>IFERROR(IF(0=LEN(ReferenceData!$C$478),"",ReferenceData!$C$478),"")</f>
        <v>F0946</v>
      </c>
      <c r="D478" t="str">
        <f>IFERROR(IF(0=LEN(ReferenceData!$D$478),"",ReferenceData!$D$478),"")</f>
        <v>TOTAL_GHG_CO2_EMISSIONS</v>
      </c>
      <c r="E478" t="str">
        <f>IFERROR(IF(0=LEN(ReferenceData!$E$478),"",ReferenceData!$E$478),"")</f>
        <v>Dynamic</v>
      </c>
      <c r="F478">
        <f ca="1">IFERROR(IF(0=LEN(ReferenceData!$F$478),"",ReferenceData!$F$478),"")</f>
        <v>0.11904000100000001</v>
      </c>
      <c r="G478">
        <f ca="1">IFERROR(IF(0=LEN(ReferenceData!$G$478),"",ReferenceData!$G$478),"")</f>
        <v>0.13548199499999999</v>
      </c>
      <c r="H478">
        <f ca="1">IFERROR(IF(0=LEN(ReferenceData!$H$478),"",ReferenceData!$H$478),"")</f>
        <v>0.14649600199999999</v>
      </c>
      <c r="I478">
        <f ca="1">IFERROR(IF(0=LEN(ReferenceData!$I$478),"",ReferenceData!$I$478),"")</f>
        <v>0.15321000700000001</v>
      </c>
      <c r="J478">
        <f ca="1">IFERROR(IF(0=LEN(ReferenceData!$J$478),"",ReferenceData!$J$478),"")</f>
        <v>0.16247999599999999</v>
      </c>
    </row>
    <row r="479" spans="1:10" x14ac:dyDescent="0.25">
      <c r="A479" t="str">
        <f>IFERROR(IF(0=LEN(ReferenceData!$A$479),"",ReferenceData!$A$479),"")</f>
        <v xml:space="preserve">        Real Estate</v>
      </c>
      <c r="B479" t="str">
        <f>IFERROR(IF(0=LEN(ReferenceData!$B$479),"",ReferenceData!$B$479),"")</f>
        <v/>
      </c>
      <c r="C479" t="str">
        <f>IFERROR(IF(0=LEN(ReferenceData!$C$479),"",ReferenceData!$C$479),"")</f>
        <v/>
      </c>
      <c r="D479" t="str">
        <f>IFERROR(IF(0=LEN(ReferenceData!$D$479),"",ReferenceData!$D$479),"")</f>
        <v/>
      </c>
      <c r="E479" t="str">
        <f>IFERROR(IF(0=LEN(ReferenceData!$E$479),"",ReferenceData!$E$479),"")</f>
        <v>Sum</v>
      </c>
      <c r="F479">
        <f ca="1">IFERROR(IF(0=LEN(ReferenceData!$F$479),"",ReferenceData!$F$479),"")</f>
        <v>7.3050997000000006E-2</v>
      </c>
      <c r="G479">
        <f ca="1">IFERROR(IF(0=LEN(ReferenceData!$G$479),"",ReferenceData!$G$479),"")</f>
        <v>0.45147030900000001</v>
      </c>
      <c r="H479">
        <f ca="1">IFERROR(IF(0=LEN(ReferenceData!$H$479),"",ReferenceData!$H$479),"")</f>
        <v>0.43974800100000005</v>
      </c>
      <c r="I479">
        <f ca="1">IFERROR(IF(0=LEN(ReferenceData!$I$479),"",ReferenceData!$I$479),"")</f>
        <v>0.52458930400000003</v>
      </c>
      <c r="J479">
        <f ca="1">IFERROR(IF(0=LEN(ReferenceData!$J$479),"",ReferenceData!$J$479),"")</f>
        <v>0.55620579999999997</v>
      </c>
    </row>
    <row r="480" spans="1:10" x14ac:dyDescent="0.25">
      <c r="A480" t="str">
        <f>IFERROR(IF(0=LEN(ReferenceData!$A$480),"",ReferenceData!$A$480),"")</f>
        <v xml:space="preserve">            North America REITs</v>
      </c>
      <c r="B480" t="str">
        <f>IFERROR(IF(0=LEN(ReferenceData!$B$480),"",ReferenceData!$B$480),"")</f>
        <v/>
      </c>
      <c r="C480" t="str">
        <f>IFERROR(IF(0=LEN(ReferenceData!$C$480),"",ReferenceData!$C$480),"")</f>
        <v/>
      </c>
      <c r="D480" t="str">
        <f>IFERROR(IF(0=LEN(ReferenceData!$D$480),"",ReferenceData!$D$480),"")</f>
        <v/>
      </c>
      <c r="E480" t="str">
        <f>IFERROR(IF(0=LEN(ReferenceData!$E$480),"",ReferenceData!$E$480),"")</f>
        <v>Sum</v>
      </c>
      <c r="F480">
        <f ca="1">IFERROR(IF(0=LEN(ReferenceData!$F$480),"",ReferenceData!$F$480),"")</f>
        <v>7.3050997000000006E-2</v>
      </c>
      <c r="G480">
        <f ca="1">IFERROR(IF(0=LEN(ReferenceData!$G$480),"",ReferenceData!$G$480),"")</f>
        <v>0.45147030900000001</v>
      </c>
      <c r="H480">
        <f ca="1">IFERROR(IF(0=LEN(ReferenceData!$H$480),"",ReferenceData!$H$480),"")</f>
        <v>0.43974800100000005</v>
      </c>
      <c r="I480">
        <f ca="1">IFERROR(IF(0=LEN(ReferenceData!$I$480),"",ReferenceData!$I$480),"")</f>
        <v>0.52458930400000003</v>
      </c>
      <c r="J480">
        <f ca="1">IFERROR(IF(0=LEN(ReferenceData!$J$480),"",ReferenceData!$J$480),"")</f>
        <v>0.55620579999999997</v>
      </c>
    </row>
    <row r="481" spans="1:10" x14ac:dyDescent="0.25">
      <c r="A481" t="str">
        <f>IFERROR(IF(0=LEN(ReferenceData!$A$481),"",ReferenceData!$A$481),"")</f>
        <v xml:space="preserve">                Retail REITs</v>
      </c>
      <c r="B481" t="str">
        <f>IFERROR(IF(0=LEN(ReferenceData!$B$481),"",ReferenceData!$B$481),"")</f>
        <v/>
      </c>
      <c r="C481" t="str">
        <f>IFERROR(IF(0=LEN(ReferenceData!$C$481),"",ReferenceData!$C$481),"")</f>
        <v/>
      </c>
      <c r="D481" t="str">
        <f>IFERROR(IF(0=LEN(ReferenceData!$D$481),"",ReferenceData!$D$481),"")</f>
        <v/>
      </c>
      <c r="E481" t="str">
        <f>IFERROR(IF(0=LEN(ReferenceData!$E$481),"",ReferenceData!$E$481),"")</f>
        <v>Sum</v>
      </c>
      <c r="F481">
        <f ca="1">IFERROR(IF(0=LEN(ReferenceData!$F$481),"",ReferenceData!$F$481),"")</f>
        <v>7.3050997000000006E-2</v>
      </c>
      <c r="G481">
        <f ca="1">IFERROR(IF(0=LEN(ReferenceData!$G$481),"",ReferenceData!$G$481),"")</f>
        <v>0.45147030900000001</v>
      </c>
      <c r="H481">
        <f ca="1">IFERROR(IF(0=LEN(ReferenceData!$H$481),"",ReferenceData!$H$481),"")</f>
        <v>0.43974800100000005</v>
      </c>
      <c r="I481">
        <f ca="1">IFERROR(IF(0=LEN(ReferenceData!$I$481),"",ReferenceData!$I$481),"")</f>
        <v>0.52458930400000003</v>
      </c>
      <c r="J481">
        <f ca="1">IFERROR(IF(0=LEN(ReferenceData!$J$481),"",ReferenceData!$J$481),"")</f>
        <v>0.55620579999999997</v>
      </c>
    </row>
    <row r="482" spans="1:10" x14ac:dyDescent="0.25">
      <c r="A482" t="str">
        <f>IFERROR(IF(0=LEN(ReferenceData!$A$482),"",ReferenceData!$A$482),"")</f>
        <v xml:space="preserve">                    Acadia Realty Trust</v>
      </c>
      <c r="B482" t="str">
        <f>IFERROR(IF(0=LEN(ReferenceData!$B$482),"",ReferenceData!$B$482),"")</f>
        <v>AKR US Equity</v>
      </c>
      <c r="C482" t="str">
        <f>IFERROR(IF(0=LEN(ReferenceData!$C$482),"",ReferenceData!$C$482),"")</f>
        <v>F0946</v>
      </c>
      <c r="D482" t="str">
        <f>IFERROR(IF(0=LEN(ReferenceData!$D$482),"",ReferenceData!$D$482),"")</f>
        <v>TOTAL_GHG_CO2_EMISSIONS</v>
      </c>
      <c r="E482" t="str">
        <f>IFERROR(IF(0=LEN(ReferenceData!$E$482),"",ReferenceData!$E$482),"")</f>
        <v>Dynamic</v>
      </c>
      <c r="F482" t="str">
        <f ca="1">IFERROR(IF(0=LEN(ReferenceData!$F$482),"",ReferenceData!$F$482),"")</f>
        <v/>
      </c>
      <c r="G482">
        <f ca="1">IFERROR(IF(0=LEN(ReferenceData!$G$482),"",ReferenceData!$G$482),"")</f>
        <v>5.2529999999999999E-3</v>
      </c>
      <c r="H482">
        <f ca="1">IFERROR(IF(0=LEN(ReferenceData!$H$482),"",ReferenceData!$H$482),"")</f>
        <v>4.9839999999999997E-3</v>
      </c>
      <c r="I482" t="str">
        <f ca="1">IFERROR(IF(0=LEN(ReferenceData!$I$482),"",ReferenceData!$I$482),"")</f>
        <v/>
      </c>
      <c r="J482" t="str">
        <f ca="1">IFERROR(IF(0=LEN(ReferenceData!$J$482),"",ReferenceData!$J$482),"")</f>
        <v/>
      </c>
    </row>
    <row r="483" spans="1:10" x14ac:dyDescent="0.25">
      <c r="A483" t="str">
        <f>IFERROR(IF(0=LEN(ReferenceData!$A$483),"",ReferenceData!$A$483),"")</f>
        <v xml:space="preserve">                    Agree Realty Corp</v>
      </c>
      <c r="B483" t="str">
        <f>IFERROR(IF(0=LEN(ReferenceData!$B$483),"",ReferenceData!$B$483),"")</f>
        <v>ADC US Equity</v>
      </c>
      <c r="C483" t="str">
        <f>IFERROR(IF(0=LEN(ReferenceData!$C$483),"",ReferenceData!$C$483),"")</f>
        <v>F0946</v>
      </c>
      <c r="D483" t="str">
        <f>IFERROR(IF(0=LEN(ReferenceData!$D$483),"",ReferenceData!$D$483),"")</f>
        <v>TOTAL_GHG_CO2_EMISSIONS</v>
      </c>
      <c r="E483" t="str">
        <f>IFERROR(IF(0=LEN(ReferenceData!$E$483),"",ReferenceData!$E$483),"")</f>
        <v>Dynamic</v>
      </c>
      <c r="F483" t="str">
        <f ca="1">IFERROR(IF(0=LEN(ReferenceData!$F$483),"",ReferenceData!$F$483),"")</f>
        <v/>
      </c>
      <c r="G483" t="str">
        <f ca="1">IFERROR(IF(0=LEN(ReferenceData!$G$483),"",ReferenceData!$G$483),"")</f>
        <v/>
      </c>
      <c r="H483" t="str">
        <f ca="1">IFERROR(IF(0=LEN(ReferenceData!$H$483),"",ReferenceData!$H$483),"")</f>
        <v/>
      </c>
      <c r="I483" t="str">
        <f ca="1">IFERROR(IF(0=LEN(ReferenceData!$I$483),"",ReferenceData!$I$483),"")</f>
        <v/>
      </c>
      <c r="J483" t="str">
        <f ca="1">IFERROR(IF(0=LEN(ReferenceData!$J$483),"",ReferenceData!$J$483),"")</f>
        <v/>
      </c>
    </row>
    <row r="484" spans="1:10" x14ac:dyDescent="0.25">
      <c r="A484" t="str">
        <f>IFERROR(IF(0=LEN(ReferenceData!$A$484),"",ReferenceData!$A$484),"")</f>
        <v xml:space="preserve">                    Brixmor Property Group Inc</v>
      </c>
      <c r="B484" t="str">
        <f>IFERROR(IF(0=LEN(ReferenceData!$B$484),"",ReferenceData!$B$484),"")</f>
        <v>BRX US Equity</v>
      </c>
      <c r="C484" t="str">
        <f>IFERROR(IF(0=LEN(ReferenceData!$C$484),"",ReferenceData!$C$484),"")</f>
        <v>F0946</v>
      </c>
      <c r="D484" t="str">
        <f>IFERROR(IF(0=LEN(ReferenceData!$D$484),"",ReferenceData!$D$484),"")</f>
        <v>TOTAL_GHG_CO2_EMISSIONS</v>
      </c>
      <c r="E484" t="str">
        <f>IFERROR(IF(0=LEN(ReferenceData!$E$484),"",ReferenceData!$E$484),"")</f>
        <v>Dynamic</v>
      </c>
      <c r="F484" t="str">
        <f ca="1">IFERROR(IF(0=LEN(ReferenceData!$F$484),"",ReferenceData!$F$484),"")</f>
        <v/>
      </c>
      <c r="G484">
        <f ca="1">IFERROR(IF(0=LEN(ReferenceData!$G$484),"",ReferenceData!$G$484),"")</f>
        <v>2.5617001E-2</v>
      </c>
      <c r="H484">
        <f ca="1">IFERROR(IF(0=LEN(ReferenceData!$H$484),"",ReferenceData!$H$484),"")</f>
        <v>2.6426999999999999E-2</v>
      </c>
      <c r="I484">
        <f ca="1">IFERROR(IF(0=LEN(ReferenceData!$I$484),"",ReferenceData!$I$484),"")</f>
        <v>3.6786999000000001E-2</v>
      </c>
      <c r="J484">
        <f ca="1">IFERROR(IF(0=LEN(ReferenceData!$J$484),"",ReferenceData!$J$484),"")</f>
        <v>4.4340999999999998E-2</v>
      </c>
    </row>
    <row r="485" spans="1:10" x14ac:dyDescent="0.25">
      <c r="A485" t="str">
        <f>IFERROR(IF(0=LEN(ReferenceData!$A$485),"",ReferenceData!$A$485),"")</f>
        <v xml:space="preserve">                    CBL &amp; Associates Properties In</v>
      </c>
      <c r="B485" t="str">
        <f>IFERROR(IF(0=LEN(ReferenceData!$B$485),"",ReferenceData!$B$485),"")</f>
        <v>CBLAQ US Equity</v>
      </c>
      <c r="C485" t="str">
        <f>IFERROR(IF(0=LEN(ReferenceData!$C$485),"",ReferenceData!$C$485),"")</f>
        <v>F0946</v>
      </c>
      <c r="D485" t="str">
        <f>IFERROR(IF(0=LEN(ReferenceData!$D$485),"",ReferenceData!$D$485),"")</f>
        <v>TOTAL_GHG_CO2_EMISSIONS</v>
      </c>
      <c r="E485" t="str">
        <f>IFERROR(IF(0=LEN(ReferenceData!$E$485),"",ReferenceData!$E$485),"")</f>
        <v>Dynamic</v>
      </c>
      <c r="F485" t="str">
        <f ca="1">IFERROR(IF(0=LEN(ReferenceData!$F$485),"",ReferenceData!$F$485),"")</f>
        <v/>
      </c>
      <c r="G485" t="str">
        <f ca="1">IFERROR(IF(0=LEN(ReferenceData!$G$485),"",ReferenceData!$G$485),"")</f>
        <v/>
      </c>
      <c r="H485" t="str">
        <f ca="1">IFERROR(IF(0=LEN(ReferenceData!$H$485),"",ReferenceData!$H$485),"")</f>
        <v/>
      </c>
      <c r="I485" t="str">
        <f ca="1">IFERROR(IF(0=LEN(ReferenceData!$I$485),"",ReferenceData!$I$485),"")</f>
        <v/>
      </c>
      <c r="J485" t="str">
        <f ca="1">IFERROR(IF(0=LEN(ReferenceData!$J$485),"",ReferenceData!$J$485),"")</f>
        <v/>
      </c>
    </row>
    <row r="486" spans="1:10" x14ac:dyDescent="0.25">
      <c r="A486" t="str">
        <f>IFERROR(IF(0=LEN(ReferenceData!$A$486),"",ReferenceData!$A$486),"")</f>
        <v xml:space="preserve">                    Federal Realty Investment Trus</v>
      </c>
      <c r="B486" t="str">
        <f>IFERROR(IF(0=LEN(ReferenceData!$B$486),"",ReferenceData!$B$486),"")</f>
        <v>FRT US Equity</v>
      </c>
      <c r="C486" t="str">
        <f>IFERROR(IF(0=LEN(ReferenceData!$C$486),"",ReferenceData!$C$486),"")</f>
        <v>F0946</v>
      </c>
      <c r="D486" t="str">
        <f>IFERROR(IF(0=LEN(ReferenceData!$D$486),"",ReferenceData!$D$486),"")</f>
        <v>TOTAL_GHG_CO2_EMISSIONS</v>
      </c>
      <c r="E486" t="str">
        <f>IFERROR(IF(0=LEN(ReferenceData!$E$486),"",ReferenceData!$E$486),"")</f>
        <v>Dynamic</v>
      </c>
      <c r="F486" t="str">
        <f ca="1">IFERROR(IF(0=LEN(ReferenceData!$F$486),"",ReferenceData!$F$486),"")</f>
        <v/>
      </c>
      <c r="G486">
        <f ca="1">IFERROR(IF(0=LEN(ReferenceData!$G$486),"",ReferenceData!$G$486),"")</f>
        <v>1.4796E-2</v>
      </c>
      <c r="H486">
        <f ca="1">IFERROR(IF(0=LEN(ReferenceData!$H$486),"",ReferenceData!$H$486),"")</f>
        <v>1.8026299999999999E-2</v>
      </c>
      <c r="I486">
        <f ca="1">IFERROR(IF(0=LEN(ReferenceData!$I$486),"",ReferenceData!$I$486),"")</f>
        <v>1.8771999000000001E-2</v>
      </c>
      <c r="J486" t="str">
        <f ca="1">IFERROR(IF(0=LEN(ReferenceData!$J$486),"",ReferenceData!$J$486),"")</f>
        <v/>
      </c>
    </row>
    <row r="487" spans="1:10" x14ac:dyDescent="0.25">
      <c r="A487" t="str">
        <f>IFERROR(IF(0=LEN(ReferenceData!$A$487),"",ReferenceData!$A$487),"")</f>
        <v xml:space="preserve">                    Getty Realty Corp</v>
      </c>
      <c r="B487" t="str">
        <f>IFERROR(IF(0=LEN(ReferenceData!$B$487),"",ReferenceData!$B$487),"")</f>
        <v>GTY US Equity</v>
      </c>
      <c r="C487" t="str">
        <f>IFERROR(IF(0=LEN(ReferenceData!$C$487),"",ReferenceData!$C$487),"")</f>
        <v>F0946</v>
      </c>
      <c r="D487" t="str">
        <f>IFERROR(IF(0=LEN(ReferenceData!$D$487),"",ReferenceData!$D$487),"")</f>
        <v>TOTAL_GHG_CO2_EMISSIONS</v>
      </c>
      <c r="E487" t="str">
        <f>IFERROR(IF(0=LEN(ReferenceData!$E$487),"",ReferenceData!$E$487),"")</f>
        <v>Dynamic</v>
      </c>
      <c r="F487" t="str">
        <f ca="1">IFERROR(IF(0=LEN(ReferenceData!$F$487),"",ReferenceData!$F$487),"")</f>
        <v/>
      </c>
      <c r="G487" t="str">
        <f ca="1">IFERROR(IF(0=LEN(ReferenceData!$G$487),"",ReferenceData!$G$487),"")</f>
        <v/>
      </c>
      <c r="H487" t="str">
        <f ca="1">IFERROR(IF(0=LEN(ReferenceData!$H$487),"",ReferenceData!$H$487),"")</f>
        <v/>
      </c>
      <c r="I487" t="str">
        <f ca="1">IFERROR(IF(0=LEN(ReferenceData!$I$487),"",ReferenceData!$I$487),"")</f>
        <v/>
      </c>
      <c r="J487" t="str">
        <f ca="1">IFERROR(IF(0=LEN(ReferenceData!$J$487),"",ReferenceData!$J$487),"")</f>
        <v/>
      </c>
    </row>
    <row r="488" spans="1:10" x14ac:dyDescent="0.25">
      <c r="A488" t="str">
        <f>IFERROR(IF(0=LEN(ReferenceData!$A$488),"",ReferenceData!$A$488),"")</f>
        <v xml:space="preserve">                    Kite Realty Group Trust</v>
      </c>
      <c r="B488" t="str">
        <f>IFERROR(IF(0=LEN(ReferenceData!$B$488),"",ReferenceData!$B$488),"")</f>
        <v>KRG US Equity</v>
      </c>
      <c r="C488" t="str">
        <f>IFERROR(IF(0=LEN(ReferenceData!$C$488),"",ReferenceData!$C$488),"")</f>
        <v>F0946</v>
      </c>
      <c r="D488" t="str">
        <f>IFERROR(IF(0=LEN(ReferenceData!$D$488),"",ReferenceData!$D$488),"")</f>
        <v>TOTAL_GHG_CO2_EMISSIONS</v>
      </c>
      <c r="E488" t="str">
        <f>IFERROR(IF(0=LEN(ReferenceData!$E$488),"",ReferenceData!$E$488),"")</f>
        <v>Dynamic</v>
      </c>
      <c r="F488" t="str">
        <f ca="1">IFERROR(IF(0=LEN(ReferenceData!$F$488),"",ReferenceData!$F$488),"")</f>
        <v/>
      </c>
      <c r="G488">
        <f ca="1">IFERROR(IF(0=LEN(ReferenceData!$G$488),"",ReferenceData!$G$488),"")</f>
        <v>3.0720300999999998E-2</v>
      </c>
      <c r="H488">
        <f ca="1">IFERROR(IF(0=LEN(ReferenceData!$H$488),"",ReferenceData!$H$488),"")</f>
        <v>3.2277699E-2</v>
      </c>
      <c r="I488" t="str">
        <f ca="1">IFERROR(IF(0=LEN(ReferenceData!$I$488),"",ReferenceData!$I$488),"")</f>
        <v/>
      </c>
      <c r="J488" t="str">
        <f ca="1">IFERROR(IF(0=LEN(ReferenceData!$J$488),"",ReferenceData!$J$488),"")</f>
        <v/>
      </c>
    </row>
    <row r="489" spans="1:10" x14ac:dyDescent="0.25">
      <c r="A489" t="str">
        <f>IFERROR(IF(0=LEN(ReferenceData!$A$489),"",ReferenceData!$A$489),"")</f>
        <v xml:space="preserve">                    Kimco Realty Corp</v>
      </c>
      <c r="B489" t="str">
        <f>IFERROR(IF(0=LEN(ReferenceData!$B$489),"",ReferenceData!$B$489),"")</f>
        <v>KIM US Equity</v>
      </c>
      <c r="C489" t="str">
        <f>IFERROR(IF(0=LEN(ReferenceData!$C$489),"",ReferenceData!$C$489),"")</f>
        <v>F0946</v>
      </c>
      <c r="D489" t="str">
        <f>IFERROR(IF(0=LEN(ReferenceData!$D$489),"",ReferenceData!$D$489),"")</f>
        <v>TOTAL_GHG_CO2_EMISSIONS</v>
      </c>
      <c r="E489" t="str">
        <f>IFERROR(IF(0=LEN(ReferenceData!$E$489),"",ReferenceData!$E$489),"")</f>
        <v>Dynamic</v>
      </c>
      <c r="F489" t="str">
        <f ca="1">IFERROR(IF(0=LEN(ReferenceData!$F$489),"",ReferenceData!$F$489),"")</f>
        <v/>
      </c>
      <c r="G489">
        <f ca="1">IFERROR(IF(0=LEN(ReferenceData!$G$489),"",ReferenceData!$G$489),"")</f>
        <v>5.0456001E-2</v>
      </c>
      <c r="H489">
        <f ca="1">IFERROR(IF(0=LEN(ReferenceData!$H$489),"",ReferenceData!$H$489),"")</f>
        <v>3.1792000000000001E-2</v>
      </c>
      <c r="I489">
        <f ca="1">IFERROR(IF(0=LEN(ReferenceData!$I$489),"",ReferenceData!$I$489),"")</f>
        <v>3.3369300999999997E-2</v>
      </c>
      <c r="J489">
        <f ca="1">IFERROR(IF(0=LEN(ReferenceData!$J$489),"",ReferenceData!$J$489),"")</f>
        <v>3.9037799999999998E-2</v>
      </c>
    </row>
    <row r="490" spans="1:10" x14ac:dyDescent="0.25">
      <c r="A490" t="str">
        <f>IFERROR(IF(0=LEN(ReferenceData!$A$490),"",ReferenceData!$A$490),"")</f>
        <v xml:space="preserve">                    Macerich Co/The</v>
      </c>
      <c r="B490" t="str">
        <f>IFERROR(IF(0=LEN(ReferenceData!$B$490),"",ReferenceData!$B$490),"")</f>
        <v>MAC US Equity</v>
      </c>
      <c r="C490" t="str">
        <f>IFERROR(IF(0=LEN(ReferenceData!$C$490),"",ReferenceData!$C$490),"")</f>
        <v>F0946</v>
      </c>
      <c r="D490" t="str">
        <f>IFERROR(IF(0=LEN(ReferenceData!$D$490),"",ReferenceData!$D$490),"")</f>
        <v>TOTAL_GHG_CO2_EMISSIONS</v>
      </c>
      <c r="E490" t="str">
        <f>IFERROR(IF(0=LEN(ReferenceData!$E$490),"",ReferenceData!$E$490),"")</f>
        <v>Dynamic</v>
      </c>
      <c r="F490">
        <f ca="1">IFERROR(IF(0=LEN(ReferenceData!$F$490),"",ReferenceData!$F$490),"")</f>
        <v>7.2699997000000002E-2</v>
      </c>
      <c r="G490">
        <f ca="1">IFERROR(IF(0=LEN(ReferenceData!$G$490),"",ReferenceData!$G$490),"")</f>
        <v>5.8672001000000001E-2</v>
      </c>
      <c r="H490">
        <f ca="1">IFERROR(IF(0=LEN(ReferenceData!$H$490),"",ReferenceData!$H$490),"")</f>
        <v>5.6994998999999998E-2</v>
      </c>
      <c r="I490">
        <f ca="1">IFERROR(IF(0=LEN(ReferenceData!$I$490),"",ReferenceData!$I$490),"")</f>
        <v>7.3640998999999999E-2</v>
      </c>
      <c r="J490">
        <f ca="1">IFERROR(IF(0=LEN(ReferenceData!$J$490),"",ReferenceData!$J$490),"")</f>
        <v>6.6158996999999997E-2</v>
      </c>
    </row>
    <row r="491" spans="1:10" x14ac:dyDescent="0.25">
      <c r="A491" t="str">
        <f>IFERROR(IF(0=LEN(ReferenceData!$A$491),"",ReferenceData!$A$491),"")</f>
        <v xml:space="preserve">                    National Retail Properties Inc</v>
      </c>
      <c r="B491" t="str">
        <f>IFERROR(IF(0=LEN(ReferenceData!$B$491),"",ReferenceData!$B$491),"")</f>
        <v>NNN US Equity</v>
      </c>
      <c r="C491" t="str">
        <f>IFERROR(IF(0=LEN(ReferenceData!$C$491),"",ReferenceData!$C$491),"")</f>
        <v>F0946</v>
      </c>
      <c r="D491" t="str">
        <f>IFERROR(IF(0=LEN(ReferenceData!$D$491),"",ReferenceData!$D$491),"")</f>
        <v>TOTAL_GHG_CO2_EMISSIONS</v>
      </c>
      <c r="E491" t="str">
        <f>IFERROR(IF(0=LEN(ReferenceData!$E$491),"",ReferenceData!$E$491),"")</f>
        <v>Dynamic</v>
      </c>
      <c r="F491" t="str">
        <f ca="1">IFERROR(IF(0=LEN(ReferenceData!$F$491),"",ReferenceData!$F$491),"")</f>
        <v/>
      </c>
      <c r="G491" t="str">
        <f ca="1">IFERROR(IF(0=LEN(ReferenceData!$G$491),"",ReferenceData!$G$491),"")</f>
        <v/>
      </c>
      <c r="H491" t="str">
        <f ca="1">IFERROR(IF(0=LEN(ReferenceData!$H$491),"",ReferenceData!$H$491),"")</f>
        <v/>
      </c>
      <c r="I491" t="str">
        <f ca="1">IFERROR(IF(0=LEN(ReferenceData!$I$491),"",ReferenceData!$I$491),"")</f>
        <v/>
      </c>
      <c r="J491" t="str">
        <f ca="1">IFERROR(IF(0=LEN(ReferenceData!$J$491),"",ReferenceData!$J$491),"")</f>
        <v/>
      </c>
    </row>
    <row r="492" spans="1:10" x14ac:dyDescent="0.25">
      <c r="A492" t="str">
        <f>IFERROR(IF(0=LEN(ReferenceData!$A$492),"",ReferenceData!$A$492),"")</f>
        <v xml:space="preserve">                    Pennsylvania Real Estate Inves</v>
      </c>
      <c r="B492" t="str">
        <f>IFERROR(IF(0=LEN(ReferenceData!$B$492),"",ReferenceData!$B$492),"")</f>
        <v>PRET US Equity</v>
      </c>
      <c r="C492" t="str">
        <f>IFERROR(IF(0=LEN(ReferenceData!$C$492),"",ReferenceData!$C$492),"")</f>
        <v>F0946</v>
      </c>
      <c r="D492" t="str">
        <f>IFERROR(IF(0=LEN(ReferenceData!$D$492),"",ReferenceData!$D$492),"")</f>
        <v>TOTAL_GHG_CO2_EMISSIONS</v>
      </c>
      <c r="E492" t="str">
        <f>IFERROR(IF(0=LEN(ReferenceData!$E$492),"",ReferenceData!$E$492),"")</f>
        <v>Dynamic</v>
      </c>
      <c r="F492" t="str">
        <f ca="1">IFERROR(IF(0=LEN(ReferenceData!$F$492),"",ReferenceData!$F$492),"")</f>
        <v/>
      </c>
      <c r="G492" t="str">
        <f ca="1">IFERROR(IF(0=LEN(ReferenceData!$G$492),"",ReferenceData!$G$492),"")</f>
        <v/>
      </c>
      <c r="H492" t="str">
        <f ca="1">IFERROR(IF(0=LEN(ReferenceData!$H$492),"",ReferenceData!$H$492),"")</f>
        <v/>
      </c>
      <c r="I492" t="str">
        <f ca="1">IFERROR(IF(0=LEN(ReferenceData!$I$492),"",ReferenceData!$I$492),"")</f>
        <v/>
      </c>
      <c r="J492" t="str">
        <f ca="1">IFERROR(IF(0=LEN(ReferenceData!$J$492),"",ReferenceData!$J$492),"")</f>
        <v/>
      </c>
    </row>
    <row r="493" spans="1:10" x14ac:dyDescent="0.25">
      <c r="A493" t="str">
        <f>IFERROR(IF(0=LEN(ReferenceData!$A$493),"",ReferenceData!$A$493),"")</f>
        <v xml:space="preserve">                    Regency Centers Corp</v>
      </c>
      <c r="B493" t="str">
        <f>IFERROR(IF(0=LEN(ReferenceData!$B$493),"",ReferenceData!$B$493),"")</f>
        <v>REG US Equity</v>
      </c>
      <c r="C493" t="str">
        <f>IFERROR(IF(0=LEN(ReferenceData!$C$493),"",ReferenceData!$C$493),"")</f>
        <v>F0946</v>
      </c>
      <c r="D493" t="str">
        <f>IFERROR(IF(0=LEN(ReferenceData!$D$493),"",ReferenceData!$D$493),"")</f>
        <v>TOTAL_GHG_CO2_EMISSIONS</v>
      </c>
      <c r="E493" t="str">
        <f>IFERROR(IF(0=LEN(ReferenceData!$E$493),"",ReferenceData!$E$493),"")</f>
        <v>Dynamic</v>
      </c>
      <c r="F493" t="str">
        <f ca="1">IFERROR(IF(0=LEN(ReferenceData!$F$493),"",ReferenceData!$F$493),"")</f>
        <v/>
      </c>
      <c r="G493">
        <f ca="1">IFERROR(IF(0=LEN(ReferenceData!$G$493),"",ReferenceData!$G$493),"")</f>
        <v>2.6032E-2</v>
      </c>
      <c r="H493">
        <f ca="1">IFERROR(IF(0=LEN(ReferenceData!$H$493),"",ReferenceData!$H$493),"")</f>
        <v>2.6901999999999999E-2</v>
      </c>
      <c r="I493">
        <f ca="1">IFERROR(IF(0=LEN(ReferenceData!$I$493),"",ReferenceData!$I$493),"")</f>
        <v>3.1794001000000002E-2</v>
      </c>
      <c r="J493">
        <f ca="1">IFERROR(IF(0=LEN(ReferenceData!$J$493),"",ReferenceData!$J$493),"")</f>
        <v>3.3873001E-2</v>
      </c>
    </row>
    <row r="494" spans="1:10" x14ac:dyDescent="0.25">
      <c r="A494" t="str">
        <f>IFERROR(IF(0=LEN(ReferenceData!$A$494),"",ReferenceData!$A$494),"")</f>
        <v xml:space="preserve">                    Retail Opportunity Investments</v>
      </c>
      <c r="B494" t="str">
        <f>IFERROR(IF(0=LEN(ReferenceData!$B$494),"",ReferenceData!$B$494),"")</f>
        <v>ROIC US Equity</v>
      </c>
      <c r="C494" t="str">
        <f>IFERROR(IF(0=LEN(ReferenceData!$C$494),"",ReferenceData!$C$494),"")</f>
        <v>F0946</v>
      </c>
      <c r="D494" t="str">
        <f>IFERROR(IF(0=LEN(ReferenceData!$D$494),"",ReferenceData!$D$494),"")</f>
        <v>TOTAL_GHG_CO2_EMISSIONS</v>
      </c>
      <c r="E494" t="str">
        <f>IFERROR(IF(0=LEN(ReferenceData!$E$494),"",ReferenceData!$E$494),"")</f>
        <v>Dynamic</v>
      </c>
      <c r="F494" t="str">
        <f ca="1">IFERROR(IF(0=LEN(ReferenceData!$F$494),"",ReferenceData!$F$494),"")</f>
        <v/>
      </c>
      <c r="G494">
        <f ca="1">IFERROR(IF(0=LEN(ReferenceData!$G$494),"",ReferenceData!$G$494),"")</f>
        <v>3.3670000000000002E-3</v>
      </c>
      <c r="H494">
        <f ca="1">IFERROR(IF(0=LEN(ReferenceData!$H$494),"",ReferenceData!$H$494),"")</f>
        <v>4.0940000000000004E-3</v>
      </c>
      <c r="I494">
        <f ca="1">IFERROR(IF(0=LEN(ReferenceData!$I$494),"",ReferenceData!$I$494),"")</f>
        <v>4.0489999999999996E-3</v>
      </c>
      <c r="J494" t="str">
        <f ca="1">IFERROR(IF(0=LEN(ReferenceData!$J$494),"",ReferenceData!$J$494),"")</f>
        <v/>
      </c>
    </row>
    <row r="495" spans="1:10" x14ac:dyDescent="0.25">
      <c r="A495" t="str">
        <f>IFERROR(IF(0=LEN(ReferenceData!$A$495),"",ReferenceData!$A$495),"")</f>
        <v xml:space="preserve">                    RioCan Real Estate Investment</v>
      </c>
      <c r="B495" t="str">
        <f>IFERROR(IF(0=LEN(ReferenceData!$B$495),"",ReferenceData!$B$495),"")</f>
        <v>REI-U CN Equity</v>
      </c>
      <c r="C495" t="str">
        <f>IFERROR(IF(0=LEN(ReferenceData!$C$495),"",ReferenceData!$C$495),"")</f>
        <v>F0946</v>
      </c>
      <c r="D495" t="str">
        <f>IFERROR(IF(0=LEN(ReferenceData!$D$495),"",ReferenceData!$D$495),"")</f>
        <v>TOTAL_GHG_CO2_EMISSIONS</v>
      </c>
      <c r="E495" t="str">
        <f>IFERROR(IF(0=LEN(ReferenceData!$E$495),"",ReferenceData!$E$495),"")</f>
        <v>Dynamic</v>
      </c>
      <c r="F495" t="str">
        <f ca="1">IFERROR(IF(0=LEN(ReferenceData!$F$495),"",ReferenceData!$F$495),"")</f>
        <v/>
      </c>
      <c r="G495">
        <f ca="1">IFERROR(IF(0=LEN(ReferenceData!$G$495),"",ReferenceData!$G$495),"")</f>
        <v>3.0570999000000001E-2</v>
      </c>
      <c r="H495" t="str">
        <f ca="1">IFERROR(IF(0=LEN(ReferenceData!$H$495),"",ReferenceData!$H$495),"")</f>
        <v/>
      </c>
      <c r="I495" t="str">
        <f ca="1">IFERROR(IF(0=LEN(ReferenceData!$I$495),"",ReferenceData!$I$495),"")</f>
        <v/>
      </c>
      <c r="J495" t="str">
        <f ca="1">IFERROR(IF(0=LEN(ReferenceData!$J$495),"",ReferenceData!$J$495),"")</f>
        <v/>
      </c>
    </row>
    <row r="496" spans="1:10" x14ac:dyDescent="0.25">
      <c r="A496" t="str">
        <f>IFERROR(IF(0=LEN(ReferenceData!$A$496),"",ReferenceData!$A$496),"")</f>
        <v xml:space="preserve">                    RPT Realty</v>
      </c>
      <c r="B496" t="str">
        <f>IFERROR(IF(0=LEN(ReferenceData!$B$496),"",ReferenceData!$B$496),"")</f>
        <v>RPT US Equity</v>
      </c>
      <c r="C496" t="str">
        <f>IFERROR(IF(0=LEN(ReferenceData!$C$496),"",ReferenceData!$C$496),"")</f>
        <v>F0946</v>
      </c>
      <c r="D496" t="str">
        <f>IFERROR(IF(0=LEN(ReferenceData!$D$496),"",ReferenceData!$D$496),"")</f>
        <v>TOTAL_GHG_CO2_EMISSIONS</v>
      </c>
      <c r="E496" t="str">
        <f>IFERROR(IF(0=LEN(ReferenceData!$E$496),"",ReferenceData!$E$496),"")</f>
        <v>Dynamic</v>
      </c>
      <c r="F496" t="str">
        <f ca="1">IFERROR(IF(0=LEN(ReferenceData!$F$496),"",ReferenceData!$F$496),"")</f>
        <v/>
      </c>
      <c r="G496" t="str">
        <f ca="1">IFERROR(IF(0=LEN(ReferenceData!$G$496),"",ReferenceData!$G$496),"")</f>
        <v/>
      </c>
      <c r="H496" t="str">
        <f ca="1">IFERROR(IF(0=LEN(ReferenceData!$H$496),"",ReferenceData!$H$496),"")</f>
        <v/>
      </c>
      <c r="I496" t="str">
        <f ca="1">IFERROR(IF(0=LEN(ReferenceData!$I$496),"",ReferenceData!$I$496),"")</f>
        <v/>
      </c>
      <c r="J496" t="str">
        <f ca="1">IFERROR(IF(0=LEN(ReferenceData!$J$496),"",ReferenceData!$J$496),"")</f>
        <v/>
      </c>
    </row>
    <row r="497" spans="1:10" x14ac:dyDescent="0.25">
      <c r="A497" t="str">
        <f>IFERROR(IF(0=LEN(ReferenceData!$A$497),"",ReferenceData!$A$497),"")</f>
        <v xml:space="preserve">                    Realty Income Corp</v>
      </c>
      <c r="B497" t="str">
        <f>IFERROR(IF(0=LEN(ReferenceData!$B$497),"",ReferenceData!$B$497),"")</f>
        <v>O US Equity</v>
      </c>
      <c r="C497" t="str">
        <f>IFERROR(IF(0=LEN(ReferenceData!$C$497),"",ReferenceData!$C$497),"")</f>
        <v>F0946</v>
      </c>
      <c r="D497" t="str">
        <f>IFERROR(IF(0=LEN(ReferenceData!$D$497),"",ReferenceData!$D$497),"")</f>
        <v>TOTAL_GHG_CO2_EMISSIONS</v>
      </c>
      <c r="E497" t="str">
        <f>IFERROR(IF(0=LEN(ReferenceData!$E$497),"",ReferenceData!$E$497),"")</f>
        <v>Dynamic</v>
      </c>
      <c r="F497">
        <f ca="1">IFERROR(IF(0=LEN(ReferenceData!$F$497),"",ReferenceData!$F$497),"")</f>
        <v>3.5100000000000002E-4</v>
      </c>
      <c r="G497">
        <f ca="1">IFERROR(IF(0=LEN(ReferenceData!$G$497),"",ReferenceData!$G$497),"")</f>
        <v>2.7E-4</v>
      </c>
      <c r="H497">
        <f ca="1">IFERROR(IF(0=LEN(ReferenceData!$H$497),"",ReferenceData!$H$497),"")</f>
        <v>1.3100000000000001E-4</v>
      </c>
      <c r="I497">
        <f ca="1">IFERROR(IF(0=LEN(ReferenceData!$I$497),"",ReferenceData!$I$497),"")</f>
        <v>1.44E-4</v>
      </c>
      <c r="J497" t="str">
        <f ca="1">IFERROR(IF(0=LEN(ReferenceData!$J$497),"",ReferenceData!$J$497),"")</f>
        <v/>
      </c>
    </row>
    <row r="498" spans="1:10" x14ac:dyDescent="0.25">
      <c r="A498" t="str">
        <f>IFERROR(IF(0=LEN(ReferenceData!$A$498),"",ReferenceData!$A$498),"")</f>
        <v xml:space="preserve">                    Saul Centers Inc</v>
      </c>
      <c r="B498" t="str">
        <f>IFERROR(IF(0=LEN(ReferenceData!$B$498),"",ReferenceData!$B$498),"")</f>
        <v>BFS US Equity</v>
      </c>
      <c r="C498" t="str">
        <f>IFERROR(IF(0=LEN(ReferenceData!$C$498),"",ReferenceData!$C$498),"")</f>
        <v>F0946</v>
      </c>
      <c r="D498" t="str">
        <f>IFERROR(IF(0=LEN(ReferenceData!$D$498),"",ReferenceData!$D$498),"")</f>
        <v>TOTAL_GHG_CO2_EMISSIONS</v>
      </c>
      <c r="E498" t="str">
        <f>IFERROR(IF(0=LEN(ReferenceData!$E$498),"",ReferenceData!$E$498),"")</f>
        <v>Dynamic</v>
      </c>
      <c r="F498" t="str">
        <f ca="1">IFERROR(IF(0=LEN(ReferenceData!$F$498),"",ReferenceData!$F$498),"")</f>
        <v/>
      </c>
      <c r="G498" t="str">
        <f ca="1">IFERROR(IF(0=LEN(ReferenceData!$G$498),"",ReferenceData!$G$498),"")</f>
        <v/>
      </c>
      <c r="H498" t="str">
        <f ca="1">IFERROR(IF(0=LEN(ReferenceData!$H$498),"",ReferenceData!$H$498),"")</f>
        <v/>
      </c>
      <c r="I498" t="str">
        <f ca="1">IFERROR(IF(0=LEN(ReferenceData!$I$498),"",ReferenceData!$I$498),"")</f>
        <v/>
      </c>
      <c r="J498" t="str">
        <f ca="1">IFERROR(IF(0=LEN(ReferenceData!$J$498),"",ReferenceData!$J$498),"")</f>
        <v/>
      </c>
    </row>
    <row r="499" spans="1:10" x14ac:dyDescent="0.25">
      <c r="A499" t="str">
        <f>IFERROR(IF(0=LEN(ReferenceData!$A$499),"",ReferenceData!$A$499),"")</f>
        <v xml:space="preserve">                    Simon Property Group Inc</v>
      </c>
      <c r="B499" t="str">
        <f>IFERROR(IF(0=LEN(ReferenceData!$B$499),"",ReferenceData!$B$499),"")</f>
        <v>SPG US Equity</v>
      </c>
      <c r="C499" t="str">
        <f>IFERROR(IF(0=LEN(ReferenceData!$C$499),"",ReferenceData!$C$499),"")</f>
        <v>F0946</v>
      </c>
      <c r="D499" t="str">
        <f>IFERROR(IF(0=LEN(ReferenceData!$D$499),"",ReferenceData!$D$499),"")</f>
        <v>TOTAL_GHG_CO2_EMISSIONS</v>
      </c>
      <c r="E499" t="str">
        <f>IFERROR(IF(0=LEN(ReferenceData!$E$499),"",ReferenceData!$E$499),"")</f>
        <v>Dynamic</v>
      </c>
      <c r="F499" t="str">
        <f ca="1">IFERROR(IF(0=LEN(ReferenceData!$F$499),"",ReferenceData!$F$499),"")</f>
        <v/>
      </c>
      <c r="G499">
        <f ca="1">IFERROR(IF(0=LEN(ReferenceData!$G$499),"",ReferenceData!$G$499),"")</f>
        <v>0.19682200599999999</v>
      </c>
      <c r="H499">
        <f ca="1">IFERROR(IF(0=LEN(ReferenceData!$H$499),"",ReferenceData!$H$499),"")</f>
        <v>0.19103900100000001</v>
      </c>
      <c r="I499">
        <f ca="1">IFERROR(IF(0=LEN(ReferenceData!$I$499),"",ReferenceData!$I$499),"")</f>
        <v>0.26657800300000001</v>
      </c>
      <c r="J499">
        <f ca="1">IFERROR(IF(0=LEN(ReferenceData!$J$499),"",ReferenceData!$J$499),"")</f>
        <v>0.30964700299999998</v>
      </c>
    </row>
    <row r="500" spans="1:10" x14ac:dyDescent="0.25">
      <c r="A500" t="str">
        <f>IFERROR(IF(0=LEN(ReferenceData!$A$500),"",ReferenceData!$A$500),"")</f>
        <v xml:space="preserve">                    SITE Centers Corp</v>
      </c>
      <c r="B500" t="str">
        <f>IFERROR(IF(0=LEN(ReferenceData!$B$500),"",ReferenceData!$B$500),"")</f>
        <v>SITC US Equity</v>
      </c>
      <c r="C500" t="str">
        <f>IFERROR(IF(0=LEN(ReferenceData!$C$500),"",ReferenceData!$C$500),"")</f>
        <v>F0946</v>
      </c>
      <c r="D500" t="str">
        <f>IFERROR(IF(0=LEN(ReferenceData!$D$500),"",ReferenceData!$D$500),"")</f>
        <v>TOTAL_GHG_CO2_EMISSIONS</v>
      </c>
      <c r="E500" t="str">
        <f>IFERROR(IF(0=LEN(ReferenceData!$E$500),"",ReferenceData!$E$500),"")</f>
        <v>Dynamic</v>
      </c>
      <c r="F500" t="str">
        <f ca="1">IFERROR(IF(0=LEN(ReferenceData!$F$500),"",ReferenceData!$F$500),"")</f>
        <v/>
      </c>
      <c r="G500" t="str">
        <f ca="1">IFERROR(IF(0=LEN(ReferenceData!$G$500),"",ReferenceData!$G$500),"")</f>
        <v/>
      </c>
      <c r="H500" t="str">
        <f ca="1">IFERROR(IF(0=LEN(ReferenceData!$H$500),"",ReferenceData!$H$500),"")</f>
        <v/>
      </c>
      <c r="I500" t="str">
        <f ca="1">IFERROR(IF(0=LEN(ReferenceData!$I$500),"",ReferenceData!$I$500),"")</f>
        <v/>
      </c>
      <c r="J500" t="str">
        <f ca="1">IFERROR(IF(0=LEN(ReferenceData!$J$500),"",ReferenceData!$J$500),"")</f>
        <v/>
      </c>
    </row>
    <row r="501" spans="1:10" x14ac:dyDescent="0.25">
      <c r="A501" t="str">
        <f>IFERROR(IF(0=LEN(ReferenceData!$A$501),"",ReferenceData!$A$501),"")</f>
        <v xml:space="preserve">                    Spirit Realty Capital Inc</v>
      </c>
      <c r="B501" t="str">
        <f>IFERROR(IF(0=LEN(ReferenceData!$B$501),"",ReferenceData!$B$501),"")</f>
        <v>SRC US Equity</v>
      </c>
      <c r="C501" t="str">
        <f>IFERROR(IF(0=LEN(ReferenceData!$C$501),"",ReferenceData!$C$501),"")</f>
        <v>F0946</v>
      </c>
      <c r="D501" t="str">
        <f>IFERROR(IF(0=LEN(ReferenceData!$D$501),"",ReferenceData!$D$501),"")</f>
        <v>TOTAL_GHG_CO2_EMISSIONS</v>
      </c>
      <c r="E501" t="str">
        <f>IFERROR(IF(0=LEN(ReferenceData!$E$501),"",ReferenceData!$E$501),"")</f>
        <v>Dynamic</v>
      </c>
      <c r="F501" t="str">
        <f ca="1">IFERROR(IF(0=LEN(ReferenceData!$F$501),"",ReferenceData!$F$501),"")</f>
        <v/>
      </c>
      <c r="G501" t="str">
        <f ca="1">IFERROR(IF(0=LEN(ReferenceData!$G$501),"",ReferenceData!$G$501),"")</f>
        <v/>
      </c>
      <c r="H501" t="str">
        <f ca="1">IFERROR(IF(0=LEN(ReferenceData!$H$501),"",ReferenceData!$H$501),"")</f>
        <v/>
      </c>
      <c r="I501" t="str">
        <f ca="1">IFERROR(IF(0=LEN(ReferenceData!$I$501),"",ReferenceData!$I$501),"")</f>
        <v/>
      </c>
      <c r="J501" t="str">
        <f ca="1">IFERROR(IF(0=LEN(ReferenceData!$J$501),"",ReferenceData!$J$501),"")</f>
        <v/>
      </c>
    </row>
    <row r="502" spans="1:10" x14ac:dyDescent="0.25">
      <c r="A502" t="str">
        <f>IFERROR(IF(0=LEN(ReferenceData!$A$502),"",ReferenceData!$A$502),"")</f>
        <v xml:space="preserve">                    Tanger Factory Outlet Centers</v>
      </c>
      <c r="B502" t="str">
        <f>IFERROR(IF(0=LEN(ReferenceData!$B$502),"",ReferenceData!$B$502),"")</f>
        <v>SKT US Equity</v>
      </c>
      <c r="C502" t="str">
        <f>IFERROR(IF(0=LEN(ReferenceData!$C$502),"",ReferenceData!$C$502),"")</f>
        <v>F0946</v>
      </c>
      <c r="D502" t="str">
        <f>IFERROR(IF(0=LEN(ReferenceData!$D$502),"",ReferenceData!$D$502),"")</f>
        <v>TOTAL_GHG_CO2_EMISSIONS</v>
      </c>
      <c r="E502" t="str">
        <f>IFERROR(IF(0=LEN(ReferenceData!$E$502),"",ReferenceData!$E$502),"")</f>
        <v>Dynamic</v>
      </c>
      <c r="F502" t="str">
        <f ca="1">IFERROR(IF(0=LEN(ReferenceData!$F$502),"",ReferenceData!$F$502),"")</f>
        <v/>
      </c>
      <c r="G502">
        <f ca="1">IFERROR(IF(0=LEN(ReferenceData!$G$502),"",ReferenceData!$G$502),"")</f>
        <v>8.8940000000000009E-3</v>
      </c>
      <c r="H502">
        <f ca="1">IFERROR(IF(0=LEN(ReferenceData!$H$502),"",ReferenceData!$H$502),"")</f>
        <v>4.7080002000000003E-2</v>
      </c>
      <c r="I502">
        <f ca="1">IFERROR(IF(0=LEN(ReferenceData!$I$502),"",ReferenceData!$I$502),"")</f>
        <v>5.9455002E-2</v>
      </c>
      <c r="J502">
        <f ca="1">IFERROR(IF(0=LEN(ReferenceData!$J$502),"",ReferenceData!$J$502),"")</f>
        <v>6.3147998999999996E-2</v>
      </c>
    </row>
    <row r="503" spans="1:10" x14ac:dyDescent="0.25">
      <c r="A503" t="str">
        <f>IFERROR(IF(0=LEN(ReferenceData!$A$503),"",ReferenceData!$A$503),"")</f>
        <v xml:space="preserve">                    Urstadt Biddle Properties Inc</v>
      </c>
      <c r="B503" t="str">
        <f>IFERROR(IF(0=LEN(ReferenceData!$B$503),"",ReferenceData!$B$503),"")</f>
        <v>UBA US Equity</v>
      </c>
      <c r="C503" t="str">
        <f>IFERROR(IF(0=LEN(ReferenceData!$C$503),"",ReferenceData!$C$503),"")</f>
        <v>F0946</v>
      </c>
      <c r="D503" t="str">
        <f>IFERROR(IF(0=LEN(ReferenceData!$D$503),"",ReferenceData!$D$503),"")</f>
        <v>TOTAL_GHG_CO2_EMISSIONS</v>
      </c>
      <c r="E503" t="str">
        <f>IFERROR(IF(0=LEN(ReferenceData!$E$503),"",ReferenceData!$E$503),"")</f>
        <v>Dynamic</v>
      </c>
      <c r="F503" t="str">
        <f ca="1">IFERROR(IF(0=LEN(ReferenceData!$F$503),"",ReferenceData!$F$503),"")</f>
        <v/>
      </c>
      <c r="G503" t="str">
        <f ca="1">IFERROR(IF(0=LEN(ReferenceData!$G$503),"",ReferenceData!$G$503),"")</f>
        <v/>
      </c>
      <c r="H503" t="str">
        <f ca="1">IFERROR(IF(0=LEN(ReferenceData!$H$503),"",ReferenceData!$H$503),"")</f>
        <v/>
      </c>
      <c r="I503" t="str">
        <f ca="1">IFERROR(IF(0=LEN(ReferenceData!$I$503),"",ReferenceData!$I$503),"")</f>
        <v/>
      </c>
      <c r="J503" t="str">
        <f ca="1">IFERROR(IF(0=LEN(ReferenceData!$J$503),"",ReferenceData!$J$503),"")</f>
        <v/>
      </c>
    </row>
    <row r="504" spans="1:10" x14ac:dyDescent="0.25">
      <c r="A504" t="str">
        <f>IFERROR(IF(0=LEN(ReferenceData!$A$504),"",ReferenceData!$A$504),"")</f>
        <v xml:space="preserve">                    Washington Prime Group Inc</v>
      </c>
      <c r="B504" t="str">
        <f>IFERROR(IF(0=LEN(ReferenceData!$B$504),"",ReferenceData!$B$504),"")</f>
        <v>WPGGQ US Equity</v>
      </c>
      <c r="C504" t="str">
        <f>IFERROR(IF(0=LEN(ReferenceData!$C$504),"",ReferenceData!$C$504),"")</f>
        <v>F0946</v>
      </c>
      <c r="D504" t="str">
        <f>IFERROR(IF(0=LEN(ReferenceData!$D$504),"",ReferenceData!$D$504),"")</f>
        <v>TOTAL_GHG_CO2_EMISSIONS</v>
      </c>
      <c r="E504" t="str">
        <f>IFERROR(IF(0=LEN(ReferenceData!$E$504),"",ReferenceData!$E$504),"")</f>
        <v>Dynamic</v>
      </c>
      <c r="F504" t="str">
        <f ca="1">IFERROR(IF(0=LEN(ReferenceData!$F$504),"",ReferenceData!$F$504),"")</f>
        <v/>
      </c>
      <c r="G504" t="str">
        <f ca="1">IFERROR(IF(0=LEN(ReferenceData!$G$504),"",ReferenceData!$G$504),"")</f>
        <v/>
      </c>
      <c r="H504" t="str">
        <f ca="1">IFERROR(IF(0=LEN(ReferenceData!$H$504),"",ReferenceData!$H$504),"")</f>
        <v/>
      </c>
      <c r="I504" t="str">
        <f ca="1">IFERROR(IF(0=LEN(ReferenceData!$I$504),"",ReferenceData!$I$504),"")</f>
        <v/>
      </c>
      <c r="J504" t="str">
        <f ca="1">IFERROR(IF(0=LEN(ReferenceData!$J$504),"",ReferenceData!$J$504),"")</f>
        <v/>
      </c>
    </row>
    <row r="505" spans="1:10" x14ac:dyDescent="0.25">
      <c r="A505" t="str">
        <f>IFERROR(IF(0=LEN(ReferenceData!$A$505),"",ReferenceData!$A$505),"")</f>
        <v xml:space="preserve">        Industrials</v>
      </c>
      <c r="B505" t="str">
        <f>IFERROR(IF(0=LEN(ReferenceData!$B$505),"",ReferenceData!$B$505),"")</f>
        <v/>
      </c>
      <c r="C505" t="str">
        <f>IFERROR(IF(0=LEN(ReferenceData!$C$505),"",ReferenceData!$C$505),"")</f>
        <v/>
      </c>
      <c r="D505" t="str">
        <f>IFERROR(IF(0=LEN(ReferenceData!$D$505),"",ReferenceData!$D$505),"")</f>
        <v/>
      </c>
      <c r="E505" t="str">
        <f>IFERROR(IF(0=LEN(ReferenceData!$E$505),"",ReferenceData!$E$505),"")</f>
        <v>Sum</v>
      </c>
      <c r="F505">
        <f ca="1">IFERROR(IF(0=LEN(ReferenceData!$F$505),"",ReferenceData!$F$505),"")</f>
        <v>108.042108895</v>
      </c>
      <c r="G505">
        <f ca="1">IFERROR(IF(0=LEN(ReferenceData!$G$505),"",ReferenceData!$G$505),"")</f>
        <v>259.67869044099996</v>
      </c>
      <c r="H505">
        <f ca="1">IFERROR(IF(0=LEN(ReferenceData!$H$505),"",ReferenceData!$H$505),"")</f>
        <v>214.16165126799999</v>
      </c>
      <c r="I505">
        <f ca="1">IFERROR(IF(0=LEN(ReferenceData!$I$505),"",ReferenceData!$I$505),"")</f>
        <v>305.855942158</v>
      </c>
      <c r="J505">
        <f ca="1">IFERROR(IF(0=LEN(ReferenceData!$J$505),"",ReferenceData!$J$505),"")</f>
        <v>305.82732556199994</v>
      </c>
    </row>
    <row r="506" spans="1:10" x14ac:dyDescent="0.25">
      <c r="A506" t="str">
        <f>IFERROR(IF(0=LEN(ReferenceData!$A$506),"",ReferenceData!$A$506),"")</f>
        <v xml:space="preserve">            Industrial Products</v>
      </c>
      <c r="B506" t="str">
        <f>IFERROR(IF(0=LEN(ReferenceData!$B$506),"",ReferenceData!$B$506),"")</f>
        <v/>
      </c>
      <c r="C506" t="str">
        <f>IFERROR(IF(0=LEN(ReferenceData!$C$506),"",ReferenceData!$C$506),"")</f>
        <v/>
      </c>
      <c r="D506" t="str">
        <f>IFERROR(IF(0=LEN(ReferenceData!$D$506),"",ReferenceData!$D$506),"")</f>
        <v/>
      </c>
      <c r="E506" t="str">
        <f>IFERROR(IF(0=LEN(ReferenceData!$E$506),"",ReferenceData!$E$506),"")</f>
        <v>Sum</v>
      </c>
      <c r="F506">
        <f ca="1">IFERROR(IF(0=LEN(ReferenceData!$F$506),"",ReferenceData!$F$506),"")</f>
        <v>20.361214889999999</v>
      </c>
      <c r="G506">
        <f ca="1">IFERROR(IF(0=LEN(ReferenceData!$G$506),"",ReferenceData!$G$506),"")</f>
        <v>56.324190219999991</v>
      </c>
      <c r="H506">
        <f ca="1">IFERROR(IF(0=LEN(ReferenceData!$H$506),"",ReferenceData!$H$506),"")</f>
        <v>53.762458207000002</v>
      </c>
      <c r="I506">
        <f ca="1">IFERROR(IF(0=LEN(ReferenceData!$I$506),"",ReferenceData!$I$506),"")</f>
        <v>60.263042987999995</v>
      </c>
      <c r="J506">
        <f ca="1">IFERROR(IF(0=LEN(ReferenceData!$J$506),"",ReferenceData!$J$506),"")</f>
        <v>62.198890499999997</v>
      </c>
    </row>
    <row r="507" spans="1:10" x14ac:dyDescent="0.25">
      <c r="A507" t="str">
        <f>IFERROR(IF(0=LEN(ReferenceData!$A$507),"",ReferenceData!$A$507),"")</f>
        <v xml:space="preserve">                Diversified Industrials</v>
      </c>
      <c r="B507" t="str">
        <f>IFERROR(IF(0=LEN(ReferenceData!$B$507),"",ReferenceData!$B$507),"")</f>
        <v/>
      </c>
      <c r="C507" t="str">
        <f>IFERROR(IF(0=LEN(ReferenceData!$C$507),"",ReferenceData!$C$507),"")</f>
        <v/>
      </c>
      <c r="D507" t="str">
        <f>IFERROR(IF(0=LEN(ReferenceData!$D$507),"",ReferenceData!$D$507),"")</f>
        <v/>
      </c>
      <c r="E507" t="str">
        <f>IFERROR(IF(0=LEN(ReferenceData!$E$507),"",ReferenceData!$E$507),"")</f>
        <v>Sum</v>
      </c>
      <c r="F507">
        <f ca="1">IFERROR(IF(0=LEN(ReferenceData!$F$507),"",ReferenceData!$F$507),"")</f>
        <v>5.2155015100000002</v>
      </c>
      <c r="G507">
        <f ca="1">IFERROR(IF(0=LEN(ReferenceData!$G$507),"",ReferenceData!$G$507),"")</f>
        <v>10.467691022</v>
      </c>
      <c r="H507">
        <f ca="1">IFERROR(IF(0=LEN(ReferenceData!$H$507),"",ReferenceData!$H$507),"")</f>
        <v>11.629922100999998</v>
      </c>
      <c r="I507">
        <f ca="1">IFERROR(IF(0=LEN(ReferenceData!$I$507),"",ReferenceData!$I$507),"")</f>
        <v>12.448144187</v>
      </c>
      <c r="J507">
        <f ca="1">IFERROR(IF(0=LEN(ReferenceData!$J$507),"",ReferenceData!$J$507),"")</f>
        <v>13.972887535000002</v>
      </c>
    </row>
    <row r="508" spans="1:10" x14ac:dyDescent="0.25">
      <c r="A508" t="str">
        <f>IFERROR(IF(0=LEN(ReferenceData!$A$508),"",ReferenceData!$A$508),"")</f>
        <v xml:space="preserve">                    3M Co</v>
      </c>
      <c r="B508" t="str">
        <f>IFERROR(IF(0=LEN(ReferenceData!$B$508),"",ReferenceData!$B$508),"")</f>
        <v>MMM US Equity</v>
      </c>
      <c r="C508" t="str">
        <f>IFERROR(IF(0=LEN(ReferenceData!$C$508),"",ReferenceData!$C$508),"")</f>
        <v>F0946</v>
      </c>
      <c r="D508" t="str">
        <f>IFERROR(IF(0=LEN(ReferenceData!$D$508),"",ReferenceData!$D$508),"")</f>
        <v>TOTAL_GHG_CO2_EMISSIONS</v>
      </c>
      <c r="E508" t="str">
        <f>IFERROR(IF(0=LEN(ReferenceData!$E$508),"",ReferenceData!$E$508),"")</f>
        <v>Dynamic</v>
      </c>
      <c r="F508">
        <f ca="1">IFERROR(IF(0=LEN(ReferenceData!$F$508),"",ReferenceData!$F$508),"")</f>
        <v>3.88</v>
      </c>
      <c r="G508">
        <f ca="1">IFERROR(IF(0=LEN(ReferenceData!$G$508),"",ReferenceData!$G$508),"")</f>
        <v>4.57</v>
      </c>
      <c r="H508">
        <f ca="1">IFERROR(IF(0=LEN(ReferenceData!$H$508),"",ReferenceData!$H$508),"")</f>
        <v>5.28</v>
      </c>
      <c r="I508">
        <f ca="1">IFERROR(IF(0=LEN(ReferenceData!$I$508),"",ReferenceData!$I$508),"")</f>
        <v>5.83</v>
      </c>
      <c r="J508">
        <f ca="1">IFERROR(IF(0=LEN(ReferenceData!$J$508),"",ReferenceData!$J$508),"")</f>
        <v>6.65</v>
      </c>
    </row>
    <row r="509" spans="1:10" x14ac:dyDescent="0.25">
      <c r="A509" t="str">
        <f>IFERROR(IF(0=LEN(ReferenceData!$A$509),"",ReferenceData!$A$509),"")</f>
        <v xml:space="preserve">                    Dover Corp</v>
      </c>
      <c r="B509" t="str">
        <f>IFERROR(IF(0=LEN(ReferenceData!$B$509),"",ReferenceData!$B$509),"")</f>
        <v>DOV US Equity</v>
      </c>
      <c r="C509" t="str">
        <f>IFERROR(IF(0=LEN(ReferenceData!$C$509),"",ReferenceData!$C$509),"")</f>
        <v>F0946</v>
      </c>
      <c r="D509" t="str">
        <f>IFERROR(IF(0=LEN(ReferenceData!$D$509),"",ReferenceData!$D$509),"")</f>
        <v>TOTAL_GHG_CO2_EMISSIONS</v>
      </c>
      <c r="E509" t="str">
        <f>IFERROR(IF(0=LEN(ReferenceData!$E$509),"",ReferenceData!$E$509),"")</f>
        <v>Dynamic</v>
      </c>
      <c r="F509" t="str">
        <f ca="1">IFERROR(IF(0=LEN(ReferenceData!$F$509),"",ReferenceData!$F$509),"")</f>
        <v/>
      </c>
      <c r="G509">
        <f ca="1">IFERROR(IF(0=LEN(ReferenceData!$G$509),"",ReferenceData!$G$509),"")</f>
        <v>0.13580400100000001</v>
      </c>
      <c r="H509">
        <f ca="1">IFERROR(IF(0=LEN(ReferenceData!$H$509),"",ReferenceData!$H$509),"")</f>
        <v>0.132582001</v>
      </c>
      <c r="I509">
        <f ca="1">IFERROR(IF(0=LEN(ReferenceData!$I$509),"",ReferenceData!$I$509),"")</f>
        <v>0.135488998</v>
      </c>
      <c r="J509">
        <f ca="1">IFERROR(IF(0=LEN(ReferenceData!$J$509),"",ReferenceData!$J$509),"")</f>
        <v>0.184365997</v>
      </c>
    </row>
    <row r="510" spans="1:10" x14ac:dyDescent="0.25">
      <c r="A510" t="str">
        <f>IFERROR(IF(0=LEN(ReferenceData!$A$510),"",ReferenceData!$A$510),"")</f>
        <v xml:space="preserve">                    Eaton Corp PLC</v>
      </c>
      <c r="B510" t="str">
        <f>IFERROR(IF(0=LEN(ReferenceData!$B$510),"",ReferenceData!$B$510),"")</f>
        <v>ETN US Equity</v>
      </c>
      <c r="C510" t="str">
        <f>IFERROR(IF(0=LEN(ReferenceData!$C$510),"",ReferenceData!$C$510),"")</f>
        <v>F0946</v>
      </c>
      <c r="D510" t="str">
        <f>IFERROR(IF(0=LEN(ReferenceData!$D$510),"",ReferenceData!$D$510),"")</f>
        <v>TOTAL_GHG_CO2_EMISSIONS</v>
      </c>
      <c r="E510" t="str">
        <f>IFERROR(IF(0=LEN(ReferenceData!$E$510),"",ReferenceData!$E$510),"")</f>
        <v>Dynamic</v>
      </c>
      <c r="F510" t="str">
        <f ca="1">IFERROR(IF(0=LEN(ReferenceData!$F$510),"",ReferenceData!$F$510),"")</f>
        <v/>
      </c>
      <c r="G510">
        <f ca="1">IFERROR(IF(0=LEN(ReferenceData!$G$510),"",ReferenceData!$G$510),"")</f>
        <v>0.82987799100000004</v>
      </c>
      <c r="H510">
        <f ca="1">IFERROR(IF(0=LEN(ReferenceData!$H$510),"",ReferenceData!$H$510),"")</f>
        <v>0.97406897000000003</v>
      </c>
      <c r="I510">
        <f ca="1">IFERROR(IF(0=LEN(ReferenceData!$I$510),"",ReferenceData!$I$510),"")</f>
        <v>1.0662</v>
      </c>
      <c r="J510">
        <f ca="1">IFERROR(IF(0=LEN(ReferenceData!$J$510),"",ReferenceData!$J$510),"")</f>
        <v>1.1788900149999999</v>
      </c>
    </row>
    <row r="511" spans="1:10" x14ac:dyDescent="0.25">
      <c r="A511" t="str">
        <f>IFERROR(IF(0=LEN(ReferenceData!$A$511),"",ReferenceData!$A$511),"")</f>
        <v xml:space="preserve">                    Emerson Electric Co</v>
      </c>
      <c r="B511" t="str">
        <f>IFERROR(IF(0=LEN(ReferenceData!$B$511),"",ReferenceData!$B$511),"")</f>
        <v>EMR US Equity</v>
      </c>
      <c r="C511" t="str">
        <f>IFERROR(IF(0=LEN(ReferenceData!$C$511),"",ReferenceData!$C$511),"")</f>
        <v>F0946</v>
      </c>
      <c r="D511" t="str">
        <f>IFERROR(IF(0=LEN(ReferenceData!$D$511),"",ReferenceData!$D$511),"")</f>
        <v>TOTAL_GHG_CO2_EMISSIONS</v>
      </c>
      <c r="E511" t="str">
        <f>IFERROR(IF(0=LEN(ReferenceData!$E$511),"",ReferenceData!$E$511),"")</f>
        <v>Dynamic</v>
      </c>
      <c r="F511">
        <f ca="1">IFERROR(IF(0=LEN(ReferenceData!$F$511),"",ReferenceData!$F$511),"")</f>
        <v>0.64500000000000002</v>
      </c>
      <c r="G511">
        <f ca="1">IFERROR(IF(0=LEN(ReferenceData!$G$511),"",ReferenceData!$G$511),"")</f>
        <v>0.80057397500000005</v>
      </c>
      <c r="H511">
        <f ca="1">IFERROR(IF(0=LEN(ReferenceData!$H$511),"",ReferenceData!$H$511),"")</f>
        <v>0.76560498099999996</v>
      </c>
      <c r="I511">
        <f ca="1">IFERROR(IF(0=LEN(ReferenceData!$I$511),"",ReferenceData!$I$511),"")</f>
        <v>0.85129699700000006</v>
      </c>
      <c r="J511">
        <f ca="1">IFERROR(IF(0=LEN(ReferenceData!$J$511),"",ReferenceData!$J$511),"")</f>
        <v>0.71599102800000003</v>
      </c>
    </row>
    <row r="512" spans="1:10" x14ac:dyDescent="0.25">
      <c r="A512" t="str">
        <f>IFERROR(IF(0=LEN(ReferenceData!$A$512),"",ReferenceData!$A$512),"")</f>
        <v xml:space="preserve">                    General Electric Co - Manufact</v>
      </c>
      <c r="B512" t="str">
        <f>IFERROR(IF(0=LEN(ReferenceData!$B$512),"",ReferenceData!$B$512),"")</f>
        <v>GE3 US Equity</v>
      </c>
      <c r="C512" t="str">
        <f>IFERROR(IF(0=LEN(ReferenceData!$C$512),"",ReferenceData!$C$512),"")</f>
        <v>F0946</v>
      </c>
      <c r="D512" t="str">
        <f>IFERROR(IF(0=LEN(ReferenceData!$D$512),"",ReferenceData!$D$512),"")</f>
        <v>TOTAL_GHG_CO2_EMISSIONS</v>
      </c>
      <c r="E512" t="str">
        <f>IFERROR(IF(0=LEN(ReferenceData!$E$512),"",ReferenceData!$E$512),"")</f>
        <v>Dynamic</v>
      </c>
      <c r="F512" t="str">
        <f ca="1">IFERROR(IF(0=LEN(ReferenceData!$F$512),"",ReferenceData!$F$512),"")</f>
        <v/>
      </c>
      <c r="G512" t="str">
        <f ca="1">IFERROR(IF(0=LEN(ReferenceData!$G$512),"",ReferenceData!$G$512),"")</f>
        <v/>
      </c>
      <c r="H512" t="str">
        <f ca="1">IFERROR(IF(0=LEN(ReferenceData!$H$512),"",ReferenceData!$H$512),"")</f>
        <v/>
      </c>
      <c r="I512" t="str">
        <f ca="1">IFERROR(IF(0=LEN(ReferenceData!$I$512),"",ReferenceData!$I$512),"")</f>
        <v/>
      </c>
      <c r="J512" t="str">
        <f ca="1">IFERROR(IF(0=LEN(ReferenceData!$J$512),"",ReferenceData!$J$512),"")</f>
        <v/>
      </c>
    </row>
    <row r="513" spans="1:10" x14ac:dyDescent="0.25">
      <c r="A513" t="str">
        <f>IFERROR(IF(0=LEN(ReferenceData!$A$513),"",ReferenceData!$A$513),"")</f>
        <v xml:space="preserve">                    Honeywell International Inc</v>
      </c>
      <c r="B513" t="str">
        <f>IFERROR(IF(0=LEN(ReferenceData!$B$513),"",ReferenceData!$B$513),"")</f>
        <v>HON US Equity</v>
      </c>
      <c r="C513" t="str">
        <f>IFERROR(IF(0=LEN(ReferenceData!$C$513),"",ReferenceData!$C$513),"")</f>
        <v>F0946</v>
      </c>
      <c r="D513" t="str">
        <f>IFERROR(IF(0=LEN(ReferenceData!$D$513),"",ReferenceData!$D$513),"")</f>
        <v>TOTAL_GHG_CO2_EMISSIONS</v>
      </c>
      <c r="E513" t="str">
        <f>IFERROR(IF(0=LEN(ReferenceData!$E$513),"",ReferenceData!$E$513),"")</f>
        <v>Dynamic</v>
      </c>
      <c r="F513" t="str">
        <f ca="1">IFERROR(IF(0=LEN(ReferenceData!$F$513),"",ReferenceData!$F$513),"")</f>
        <v/>
      </c>
      <c r="G513">
        <f ca="1">IFERROR(IF(0=LEN(ReferenceData!$G$513),"",ReferenceData!$G$513),"")</f>
        <v>2.0180300290000002</v>
      </c>
      <c r="H513">
        <f ca="1">IFERROR(IF(0=LEN(ReferenceData!$H$513),"",ReferenceData!$H$513),"")</f>
        <v>2.248310059</v>
      </c>
      <c r="I513">
        <f ca="1">IFERROR(IF(0=LEN(ReferenceData!$I$513),"",ReferenceData!$I$513),"")</f>
        <v>2.0426300049999999</v>
      </c>
      <c r="J513">
        <f ca="1">IFERROR(IF(0=LEN(ReferenceData!$J$513),"",ReferenceData!$J$513),"")</f>
        <v>2.52798999</v>
      </c>
    </row>
    <row r="514" spans="1:10" x14ac:dyDescent="0.25">
      <c r="A514" t="str">
        <f>IFERROR(IF(0=LEN(ReferenceData!$A$514),"",ReferenceData!$A$514),"")</f>
        <v xml:space="preserve">                    IDEX Corp</v>
      </c>
      <c r="B514" t="str">
        <f>IFERROR(IF(0=LEN(ReferenceData!$B$514),"",ReferenceData!$B$514),"")</f>
        <v>IEX US Equity</v>
      </c>
      <c r="C514" t="str">
        <f>IFERROR(IF(0=LEN(ReferenceData!$C$514),"",ReferenceData!$C$514),"")</f>
        <v>F0946</v>
      </c>
      <c r="D514" t="str">
        <f>IFERROR(IF(0=LEN(ReferenceData!$D$514),"",ReferenceData!$D$514),"")</f>
        <v>TOTAL_GHG_CO2_EMISSIONS</v>
      </c>
      <c r="E514" t="str">
        <f>IFERROR(IF(0=LEN(ReferenceData!$E$514),"",ReferenceData!$E$514),"")</f>
        <v>Dynamic</v>
      </c>
      <c r="F514">
        <f ca="1">IFERROR(IF(0=LEN(ReferenceData!$F$514),"",ReferenceData!$F$514),"")</f>
        <v>5.1118998999999998E-2</v>
      </c>
      <c r="G514">
        <f ca="1">IFERROR(IF(0=LEN(ReferenceData!$G$514),"",ReferenceData!$G$514),"")</f>
        <v>4.8810000999999999E-2</v>
      </c>
      <c r="H514">
        <f ca="1">IFERROR(IF(0=LEN(ReferenceData!$H$514),"",ReferenceData!$H$514),"")</f>
        <v>3.6880099999999999E-2</v>
      </c>
      <c r="I514">
        <f ca="1">IFERROR(IF(0=LEN(ReferenceData!$I$514),"",ReferenceData!$I$514),"")</f>
        <v>4.2410198000000003E-2</v>
      </c>
      <c r="J514">
        <f ca="1">IFERROR(IF(0=LEN(ReferenceData!$J$514),"",ReferenceData!$J$514),"")</f>
        <v>4.4621498000000002E-2</v>
      </c>
    </row>
    <row r="515" spans="1:10" x14ac:dyDescent="0.25">
      <c r="A515" t="str">
        <f>IFERROR(IF(0=LEN(ReferenceData!$A$515),"",ReferenceData!$A$515),"")</f>
        <v xml:space="preserve">                    Illinois Tool Works Inc</v>
      </c>
      <c r="B515" t="str">
        <f>IFERROR(IF(0=LEN(ReferenceData!$B$515),"",ReferenceData!$B$515),"")</f>
        <v>ITW US Equity</v>
      </c>
      <c r="C515" t="str">
        <f>IFERROR(IF(0=LEN(ReferenceData!$C$515),"",ReferenceData!$C$515),"")</f>
        <v>F0946</v>
      </c>
      <c r="D515" t="str">
        <f>IFERROR(IF(0=LEN(ReferenceData!$D$515),"",ReferenceData!$D$515),"")</f>
        <v>TOTAL_GHG_CO2_EMISSIONS</v>
      </c>
      <c r="E515" t="str">
        <f>IFERROR(IF(0=LEN(ReferenceData!$E$515),"",ReferenceData!$E$515),"")</f>
        <v>Dynamic</v>
      </c>
      <c r="F515">
        <f ca="1">IFERROR(IF(0=LEN(ReferenceData!$F$515),"",ReferenceData!$F$515),"")</f>
        <v>0.505476013</v>
      </c>
      <c r="G515">
        <f ca="1">IFERROR(IF(0=LEN(ReferenceData!$G$515),"",ReferenceData!$G$515),"")</f>
        <v>0.502134003</v>
      </c>
      <c r="H515">
        <f ca="1">IFERROR(IF(0=LEN(ReferenceData!$H$515),"",ReferenceData!$H$515),"")</f>
        <v>0.54117700199999996</v>
      </c>
      <c r="I515">
        <f ca="1">IFERROR(IF(0=LEN(ReferenceData!$I$515),"",ReferenceData!$I$515),"")</f>
        <v>0.60393701200000005</v>
      </c>
      <c r="J515">
        <f ca="1">IFERROR(IF(0=LEN(ReferenceData!$J$515),"",ReferenceData!$J$515),"")</f>
        <v>0.67483300800000001</v>
      </c>
    </row>
    <row r="516" spans="1:10" x14ac:dyDescent="0.25">
      <c r="A516" t="str">
        <f>IFERROR(IF(0=LEN(ReferenceData!$A$516),"",ReferenceData!$A$516),"")</f>
        <v xml:space="preserve">                    Pentair PLC</v>
      </c>
      <c r="B516" t="str">
        <f>IFERROR(IF(0=LEN(ReferenceData!$B$516),"",ReferenceData!$B$516),"")</f>
        <v>PNR US Equity</v>
      </c>
      <c r="C516" t="str">
        <f>IFERROR(IF(0=LEN(ReferenceData!$C$516),"",ReferenceData!$C$516),"")</f>
        <v>F0946</v>
      </c>
      <c r="D516" t="str">
        <f>IFERROR(IF(0=LEN(ReferenceData!$D$516),"",ReferenceData!$D$516),"")</f>
        <v>TOTAL_GHG_CO2_EMISSIONS</v>
      </c>
      <c r="E516" t="str">
        <f>IFERROR(IF(0=LEN(ReferenceData!$E$516),"",ReferenceData!$E$516),"")</f>
        <v>Dynamic</v>
      </c>
      <c r="F516">
        <f ca="1">IFERROR(IF(0=LEN(ReferenceData!$F$516),"",ReferenceData!$F$516),"")</f>
        <v>0.119739998</v>
      </c>
      <c r="G516">
        <f ca="1">IFERROR(IF(0=LEN(ReferenceData!$G$516),"",ReferenceData!$G$516),"")</f>
        <v>0.10844100199999999</v>
      </c>
      <c r="H516">
        <f ca="1">IFERROR(IF(0=LEN(ReferenceData!$H$516),"",ReferenceData!$H$516),"")</f>
        <v>0.112689003</v>
      </c>
      <c r="I516">
        <f ca="1">IFERROR(IF(0=LEN(ReferenceData!$I$516),"",ReferenceData!$I$516),"")</f>
        <v>0.118081001</v>
      </c>
      <c r="J516">
        <f ca="1">IFERROR(IF(0=LEN(ReferenceData!$J$516),"",ReferenceData!$J$516),"")</f>
        <v>9.6195999000000004E-2</v>
      </c>
    </row>
    <row r="517" spans="1:10" x14ac:dyDescent="0.25">
      <c r="A517" t="str">
        <f>IFERROR(IF(0=LEN(ReferenceData!$A$517),"",ReferenceData!$A$517),"")</f>
        <v xml:space="preserve">                    Roper Technologies Inc</v>
      </c>
      <c r="B517" t="str">
        <f>IFERROR(IF(0=LEN(ReferenceData!$B$517),"",ReferenceData!$B$517),"")</f>
        <v>ROP US Equity</v>
      </c>
      <c r="C517" t="str">
        <f>IFERROR(IF(0=LEN(ReferenceData!$C$517),"",ReferenceData!$C$517),"")</f>
        <v>F0946</v>
      </c>
      <c r="D517" t="str">
        <f>IFERROR(IF(0=LEN(ReferenceData!$D$517),"",ReferenceData!$D$517),"")</f>
        <v>TOTAL_GHG_CO2_EMISSIONS</v>
      </c>
      <c r="E517" t="str">
        <f>IFERROR(IF(0=LEN(ReferenceData!$E$517),"",ReferenceData!$E$517),"")</f>
        <v>Dynamic</v>
      </c>
      <c r="F517">
        <f ca="1">IFERROR(IF(0=LEN(ReferenceData!$F$517),"",ReferenceData!$F$517),"")</f>
        <v>1.41665E-2</v>
      </c>
      <c r="G517" t="str">
        <f ca="1">IFERROR(IF(0=LEN(ReferenceData!$G$517),"",ReferenceData!$G$517),"")</f>
        <v/>
      </c>
      <c r="H517" t="str">
        <f ca="1">IFERROR(IF(0=LEN(ReferenceData!$H$517),"",ReferenceData!$H$517),"")</f>
        <v/>
      </c>
      <c r="I517" t="str">
        <f ca="1">IFERROR(IF(0=LEN(ReferenceData!$I$517),"",ReferenceData!$I$517),"")</f>
        <v/>
      </c>
      <c r="J517" t="str">
        <f ca="1">IFERROR(IF(0=LEN(ReferenceData!$J$517),"",ReferenceData!$J$517),"")</f>
        <v/>
      </c>
    </row>
    <row r="518" spans="1:10" x14ac:dyDescent="0.25">
      <c r="A518" t="str">
        <f>IFERROR(IF(0=LEN(ReferenceData!$A$518),"",ReferenceData!$A$518),"")</f>
        <v xml:space="preserve">                    Raytheon Technologies Corp</v>
      </c>
      <c r="B518" t="str">
        <f>IFERROR(IF(0=LEN(ReferenceData!$B$518),"",ReferenceData!$B$518),"")</f>
        <v>RTX US Equity</v>
      </c>
      <c r="C518" t="str">
        <f>IFERROR(IF(0=LEN(ReferenceData!$C$518),"",ReferenceData!$C$518),"")</f>
        <v>F0946</v>
      </c>
      <c r="D518" t="str">
        <f>IFERROR(IF(0=LEN(ReferenceData!$D$518),"",ReferenceData!$D$518),"")</f>
        <v>TOTAL_GHG_CO2_EMISSIONS</v>
      </c>
      <c r="E518" t="str">
        <f>IFERROR(IF(0=LEN(ReferenceData!$E$518),"",ReferenceData!$E$518),"")</f>
        <v>Dynamic</v>
      </c>
      <c r="F518" t="str">
        <f ca="1">IFERROR(IF(0=LEN(ReferenceData!$F$518),"",ReferenceData!$F$518),"")</f>
        <v/>
      </c>
      <c r="G518">
        <f ca="1">IFERROR(IF(0=LEN(ReferenceData!$G$518),"",ReferenceData!$G$518),"")</f>
        <v>1.45402002</v>
      </c>
      <c r="H518">
        <f ca="1">IFERROR(IF(0=LEN(ReferenceData!$H$518),"",ReferenceData!$H$518),"")</f>
        <v>1.5386099849999999</v>
      </c>
      <c r="I518">
        <f ca="1">IFERROR(IF(0=LEN(ReferenceData!$I$518),"",ReferenceData!$I$518),"")</f>
        <v>1.758099976</v>
      </c>
      <c r="J518">
        <f ca="1">IFERROR(IF(0=LEN(ReferenceData!$J$518),"",ReferenceData!$J$518),"")</f>
        <v>1.9</v>
      </c>
    </row>
    <row r="519" spans="1:10" x14ac:dyDescent="0.25">
      <c r="A519" t="str">
        <f>IFERROR(IF(0=LEN(ReferenceData!$A$519),"",ReferenceData!$A$519),"")</f>
        <v xml:space="preserve">                Aerospace &amp; Defense</v>
      </c>
      <c r="B519" t="str">
        <f>IFERROR(IF(0=LEN(ReferenceData!$B$519),"",ReferenceData!$B$519),"")</f>
        <v/>
      </c>
      <c r="C519" t="str">
        <f>IFERROR(IF(0=LEN(ReferenceData!$C$519),"",ReferenceData!$C$519),"")</f>
        <v/>
      </c>
      <c r="D519" t="str">
        <f>IFERROR(IF(0=LEN(ReferenceData!$D$519),"",ReferenceData!$D$519),"")</f>
        <v/>
      </c>
      <c r="E519" t="str">
        <f>IFERROR(IF(0=LEN(ReferenceData!$E$519),"",ReferenceData!$E$519),"")</f>
        <v>Sum</v>
      </c>
      <c r="F519">
        <f ca="1">IFERROR(IF(0=LEN(ReferenceData!$F$519),"",ReferenceData!$F$519),"")</f>
        <v>3.2845650020000003</v>
      </c>
      <c r="G519">
        <f ca="1">IFERROR(IF(0=LEN(ReferenceData!$G$519),"",ReferenceData!$G$519),"")</f>
        <v>11.937764047999998</v>
      </c>
      <c r="H519">
        <f ca="1">IFERROR(IF(0=LEN(ReferenceData!$H$519),"",ReferenceData!$H$519),"")</f>
        <v>11.168402950000001</v>
      </c>
      <c r="I519">
        <f ca="1">IFERROR(IF(0=LEN(ReferenceData!$I$519),"",ReferenceData!$I$519),"")</f>
        <v>13.675458127000002</v>
      </c>
      <c r="J519">
        <f ca="1">IFERROR(IF(0=LEN(ReferenceData!$J$519),"",ReferenceData!$J$519),"")</f>
        <v>13.737404157999999</v>
      </c>
    </row>
    <row r="520" spans="1:10" x14ac:dyDescent="0.25">
      <c r="A520" t="str">
        <f>IFERROR(IF(0=LEN(ReferenceData!$A$520),"",ReferenceData!$A$520),"")</f>
        <v xml:space="preserve">                    Airframers</v>
      </c>
      <c r="B520" t="str">
        <f>IFERROR(IF(0=LEN(ReferenceData!$B$520),"",ReferenceData!$B$520),"")</f>
        <v/>
      </c>
      <c r="C520" t="str">
        <f>IFERROR(IF(0=LEN(ReferenceData!$C$520),"",ReferenceData!$C$520),"")</f>
        <v/>
      </c>
      <c r="D520" t="str">
        <f>IFERROR(IF(0=LEN(ReferenceData!$D$520),"",ReferenceData!$D$520),"")</f>
        <v/>
      </c>
      <c r="E520" t="str">
        <f>IFERROR(IF(0=LEN(ReferenceData!$E$520),"",ReferenceData!$E$520),"")</f>
        <v>Sum</v>
      </c>
      <c r="F520">
        <f ca="1">IFERROR(IF(0=LEN(ReferenceData!$F$520),"",ReferenceData!$F$520),"")</f>
        <v>0.94930200200000003</v>
      </c>
      <c r="G520">
        <f ca="1">IFERROR(IF(0=LEN(ReferenceData!$G$520),"",ReferenceData!$G$520),"")</f>
        <v>2.9711900089999999</v>
      </c>
      <c r="H520">
        <f ca="1">IFERROR(IF(0=LEN(ReferenceData!$H$520),"",ReferenceData!$H$520),"")</f>
        <v>2.8724019850000002</v>
      </c>
      <c r="I520">
        <f ca="1">IFERROR(IF(0=LEN(ReferenceData!$I$520),"",ReferenceData!$I$520),"")</f>
        <v>3.338900132</v>
      </c>
      <c r="J520">
        <f ca="1">IFERROR(IF(0=LEN(ReferenceData!$J$520),"",ReferenceData!$J$520),"")</f>
        <v>3.5047061660000001</v>
      </c>
    </row>
    <row r="521" spans="1:10" x14ac:dyDescent="0.25">
      <c r="A521" t="str">
        <f>IFERROR(IF(0=LEN(ReferenceData!$A$521),"",ReferenceData!$A$521),"")</f>
        <v xml:space="preserve">                        Airbus SE</v>
      </c>
      <c r="B521" t="str">
        <f>IFERROR(IF(0=LEN(ReferenceData!$B$521),"",ReferenceData!$B$521),"")</f>
        <v>AIR FP Equity</v>
      </c>
      <c r="C521" t="str">
        <f>IFERROR(IF(0=LEN(ReferenceData!$C$521),"",ReferenceData!$C$521),"")</f>
        <v>F0946</v>
      </c>
      <c r="D521" t="str">
        <f>IFERROR(IF(0=LEN(ReferenceData!$D$521),"",ReferenceData!$D$521),"")</f>
        <v>TOTAL_GHG_CO2_EMISSIONS</v>
      </c>
      <c r="E521" t="str">
        <f>IFERROR(IF(0=LEN(ReferenceData!$E$521),"",ReferenceData!$E$521),"")</f>
        <v>Dynamic</v>
      </c>
      <c r="F521">
        <f ca="1">IFERROR(IF(0=LEN(ReferenceData!$F$521),"",ReferenceData!$F$521),"")</f>
        <v>0.85699999999999998</v>
      </c>
      <c r="G521">
        <f ca="1">IFERROR(IF(0=LEN(ReferenceData!$G$521),"",ReferenceData!$G$521),"")</f>
        <v>0.90104998800000002</v>
      </c>
      <c r="H521">
        <f ca="1">IFERROR(IF(0=LEN(ReferenceData!$H$521),"",ReferenceData!$H$521),"")</f>
        <v>0.83487597700000005</v>
      </c>
      <c r="I521">
        <f ca="1">IFERROR(IF(0=LEN(ReferenceData!$I$521),"",ReferenceData!$I$521),"")</f>
        <v>0.95651202400000002</v>
      </c>
      <c r="J521">
        <f ca="1">IFERROR(IF(0=LEN(ReferenceData!$J$521),"",ReferenceData!$J$521),"")</f>
        <v>0.96563299599999997</v>
      </c>
    </row>
    <row r="522" spans="1:10" x14ac:dyDescent="0.25">
      <c r="A522" t="str">
        <f>IFERROR(IF(0=LEN(ReferenceData!$A$522),"",ReferenceData!$A$522),"")</f>
        <v xml:space="preserve">                        Boeing Co/The</v>
      </c>
      <c r="B522" t="str">
        <f>IFERROR(IF(0=LEN(ReferenceData!$B$522),"",ReferenceData!$B$522),"")</f>
        <v>BA US Equity</v>
      </c>
      <c r="C522" t="str">
        <f>IFERROR(IF(0=LEN(ReferenceData!$C$522),"",ReferenceData!$C$522),"")</f>
        <v>F0946</v>
      </c>
      <c r="D522" t="str">
        <f>IFERROR(IF(0=LEN(ReferenceData!$D$522),"",ReferenceData!$D$522),"")</f>
        <v>TOTAL_GHG_CO2_EMISSIONS</v>
      </c>
      <c r="E522" t="str">
        <f>IFERROR(IF(0=LEN(ReferenceData!$E$522),"",ReferenceData!$E$522),"")</f>
        <v>Dynamic</v>
      </c>
      <c r="F522" t="str">
        <f ca="1">IFERROR(IF(0=LEN(ReferenceData!$F$522),"",ReferenceData!$F$522),"")</f>
        <v/>
      </c>
      <c r="G522">
        <f ca="1">IFERROR(IF(0=LEN(ReferenceData!$G$522),"",ReferenceData!$G$522),"")</f>
        <v>1.3680000000000001</v>
      </c>
      <c r="H522">
        <f ca="1">IFERROR(IF(0=LEN(ReferenceData!$H$522),"",ReferenceData!$H$522),"")</f>
        <v>1.36</v>
      </c>
      <c r="I522">
        <f ca="1">IFERROR(IF(0=LEN(ReferenceData!$I$522),"",ReferenceData!$I$522),"")</f>
        <v>1.484</v>
      </c>
      <c r="J522">
        <f ca="1">IFERROR(IF(0=LEN(ReferenceData!$J$522),"",ReferenceData!$J$522),"")</f>
        <v>1.538</v>
      </c>
    </row>
    <row r="523" spans="1:10" x14ac:dyDescent="0.25">
      <c r="A523" t="str">
        <f>IFERROR(IF(0=LEN(ReferenceData!$A$523),"",ReferenceData!$A$523),"")</f>
        <v xml:space="preserve">                        Bombardier Inc</v>
      </c>
      <c r="B523" t="str">
        <f>IFERROR(IF(0=LEN(ReferenceData!$B$523),"",ReferenceData!$B$523),"")</f>
        <v>BBD/B CN Equity</v>
      </c>
      <c r="C523" t="str">
        <f>IFERROR(IF(0=LEN(ReferenceData!$C$523),"",ReferenceData!$C$523),"")</f>
        <v>F0946</v>
      </c>
      <c r="D523" t="str">
        <f>IFERROR(IF(0=LEN(ReferenceData!$D$523),"",ReferenceData!$D$523),"")</f>
        <v>TOTAL_GHG_CO2_EMISSIONS</v>
      </c>
      <c r="E523" t="str">
        <f>IFERROR(IF(0=LEN(ReferenceData!$E$523),"",ReferenceData!$E$523),"")</f>
        <v>Dynamic</v>
      </c>
      <c r="F523">
        <f ca="1">IFERROR(IF(0=LEN(ReferenceData!$F$523),"",ReferenceData!$F$523),"")</f>
        <v>9.2302001999999994E-2</v>
      </c>
      <c r="G523">
        <f ca="1">IFERROR(IF(0=LEN(ReferenceData!$G$523),"",ReferenceData!$G$523),"")</f>
        <v>9.3514999000000001E-2</v>
      </c>
      <c r="H523">
        <f ca="1">IFERROR(IF(0=LEN(ReferenceData!$H$523),"",ReferenceData!$H$523),"")</f>
        <v>0.108632004</v>
      </c>
      <c r="I523">
        <f ca="1">IFERROR(IF(0=LEN(ReferenceData!$I$523),"",ReferenceData!$I$523),"")</f>
        <v>0.25221400500000002</v>
      </c>
      <c r="J523">
        <f ca="1">IFERROR(IF(0=LEN(ReferenceData!$J$523),"",ReferenceData!$J$523),"")</f>
        <v>0.280332001</v>
      </c>
    </row>
    <row r="524" spans="1:10" x14ac:dyDescent="0.25">
      <c r="A524" t="str">
        <f>IFERROR(IF(0=LEN(ReferenceData!$A$524),"",ReferenceData!$A$524),"")</f>
        <v xml:space="preserve">                        Embraer SA</v>
      </c>
      <c r="B524" t="str">
        <f>IFERROR(IF(0=LEN(ReferenceData!$B$524),"",ReferenceData!$B$524),"")</f>
        <v>EMBR3 BZ Equity</v>
      </c>
      <c r="C524" t="str">
        <f>IFERROR(IF(0=LEN(ReferenceData!$C$524),"",ReferenceData!$C$524),"")</f>
        <v>F0946</v>
      </c>
      <c r="D524" t="str">
        <f>IFERROR(IF(0=LEN(ReferenceData!$D$524),"",ReferenceData!$D$524),"")</f>
        <v>TOTAL_GHG_CO2_EMISSIONS</v>
      </c>
      <c r="E524" t="str">
        <f>IFERROR(IF(0=LEN(ReferenceData!$E$524),"",ReferenceData!$E$524),"")</f>
        <v>Dynamic</v>
      </c>
      <c r="F524" t="str">
        <f ca="1">IFERROR(IF(0=LEN(ReferenceData!$F$524),"",ReferenceData!$F$524),"")</f>
        <v/>
      </c>
      <c r="G524">
        <f ca="1">IFERROR(IF(0=LEN(ReferenceData!$G$524),"",ReferenceData!$G$524),"")</f>
        <v>7.3000998999999997E-2</v>
      </c>
      <c r="H524">
        <f ca="1">IFERROR(IF(0=LEN(ReferenceData!$H$524),"",ReferenceData!$H$524),"")</f>
        <v>5.7652000000000002E-2</v>
      </c>
      <c r="I524">
        <f ca="1">IFERROR(IF(0=LEN(ReferenceData!$I$524),"",ReferenceData!$I$524),"")</f>
        <v>4.3070099000000001E-2</v>
      </c>
      <c r="J524">
        <f ca="1">IFERROR(IF(0=LEN(ReferenceData!$J$524),"",ReferenceData!$J$524),"")</f>
        <v>4.2396198000000003E-2</v>
      </c>
    </row>
    <row r="525" spans="1:10" x14ac:dyDescent="0.25">
      <c r="A525" t="str">
        <f>IFERROR(IF(0=LEN(ReferenceData!$A$525),"",ReferenceData!$A$525),"")</f>
        <v xml:space="preserve">                        Textron Inc</v>
      </c>
      <c r="B525" t="str">
        <f>IFERROR(IF(0=LEN(ReferenceData!$B$525),"",ReferenceData!$B$525),"")</f>
        <v>TXT US Equity</v>
      </c>
      <c r="C525" t="str">
        <f>IFERROR(IF(0=LEN(ReferenceData!$C$525),"",ReferenceData!$C$525),"")</f>
        <v>F0946</v>
      </c>
      <c r="D525" t="str">
        <f>IFERROR(IF(0=LEN(ReferenceData!$D$525),"",ReferenceData!$D$525),"")</f>
        <v>TOTAL_GHG_CO2_EMISSIONS</v>
      </c>
      <c r="E525" t="str">
        <f>IFERROR(IF(0=LEN(ReferenceData!$E$525),"",ReferenceData!$E$525),"")</f>
        <v>Dynamic</v>
      </c>
      <c r="F525" t="str">
        <f ca="1">IFERROR(IF(0=LEN(ReferenceData!$F$525),"",ReferenceData!$F$525),"")</f>
        <v/>
      </c>
      <c r="G525">
        <f ca="1">IFERROR(IF(0=LEN(ReferenceData!$G$525),"",ReferenceData!$G$525),"")</f>
        <v>0.535624023</v>
      </c>
      <c r="H525">
        <f ca="1">IFERROR(IF(0=LEN(ReferenceData!$H$525),"",ReferenceData!$H$525),"")</f>
        <v>0.51124200399999997</v>
      </c>
      <c r="I525">
        <f ca="1">IFERROR(IF(0=LEN(ReferenceData!$I$525),"",ReferenceData!$I$525),"")</f>
        <v>0.60310400399999997</v>
      </c>
      <c r="J525">
        <f ca="1">IFERROR(IF(0=LEN(ReferenceData!$J$525),"",ReferenceData!$J$525),"")</f>
        <v>0.67834497100000002</v>
      </c>
    </row>
    <row r="526" spans="1:10" x14ac:dyDescent="0.25">
      <c r="A526" t="str">
        <f>IFERROR(IF(0=LEN(ReferenceData!$A$526),"",ReferenceData!$A$526),"")</f>
        <v xml:space="preserve">                    Defense</v>
      </c>
      <c r="B526" t="str">
        <f>IFERROR(IF(0=LEN(ReferenceData!$B$526),"",ReferenceData!$B$526),"")</f>
        <v/>
      </c>
      <c r="C526" t="str">
        <f>IFERROR(IF(0=LEN(ReferenceData!$C$526),"",ReferenceData!$C$526),"")</f>
        <v/>
      </c>
      <c r="D526" t="str">
        <f>IFERROR(IF(0=LEN(ReferenceData!$D$526),"",ReferenceData!$D$526),"")</f>
        <v/>
      </c>
      <c r="E526" t="str">
        <f>IFERROR(IF(0=LEN(ReferenceData!$E$526),"",ReferenceData!$E$526),"")</f>
        <v>Sum</v>
      </c>
      <c r="F526">
        <f ca="1">IFERROR(IF(0=LEN(ReferenceData!$F$526),"",ReferenceData!$F$526),"")</f>
        <v>2.3352630000000003</v>
      </c>
      <c r="G526">
        <f ca="1">IFERROR(IF(0=LEN(ReferenceData!$G$526),"",ReferenceData!$G$526),"")</f>
        <v>8.9665740389999993</v>
      </c>
      <c r="H526">
        <f ca="1">IFERROR(IF(0=LEN(ReferenceData!$H$526),"",ReferenceData!$H$526),"")</f>
        <v>8.2960009650000011</v>
      </c>
      <c r="I526">
        <f ca="1">IFERROR(IF(0=LEN(ReferenceData!$I$526),"",ReferenceData!$I$526),"")</f>
        <v>10.336557995000003</v>
      </c>
      <c r="J526">
        <f ca="1">IFERROR(IF(0=LEN(ReferenceData!$J$526),"",ReferenceData!$J$526),"")</f>
        <v>10.232697991999999</v>
      </c>
    </row>
    <row r="527" spans="1:10" x14ac:dyDescent="0.25">
      <c r="A527" t="str">
        <f>IFERROR(IF(0=LEN(ReferenceData!$A$527),"",ReferenceData!$A$527),"")</f>
        <v xml:space="preserve">                        Aerojet Rocketdyne Holdings In</v>
      </c>
      <c r="B527" t="str">
        <f>IFERROR(IF(0=LEN(ReferenceData!$B$527),"",ReferenceData!$B$527),"")</f>
        <v>AJRD US Equity</v>
      </c>
      <c r="C527" t="str">
        <f>IFERROR(IF(0=LEN(ReferenceData!$C$527),"",ReferenceData!$C$527),"")</f>
        <v>F0946</v>
      </c>
      <c r="D527" t="str">
        <f>IFERROR(IF(0=LEN(ReferenceData!$D$527),"",ReferenceData!$D$527),"")</f>
        <v>TOTAL_GHG_CO2_EMISSIONS</v>
      </c>
      <c r="E527" t="str">
        <f>IFERROR(IF(0=LEN(ReferenceData!$E$527),"",ReferenceData!$E$527),"")</f>
        <v>Dynamic</v>
      </c>
      <c r="F527" t="str">
        <f ca="1">IFERROR(IF(0=LEN(ReferenceData!$F$527),"",ReferenceData!$F$527),"")</f>
        <v/>
      </c>
      <c r="G527" t="str">
        <f ca="1">IFERROR(IF(0=LEN(ReferenceData!$G$527),"",ReferenceData!$G$527),"")</f>
        <v/>
      </c>
      <c r="H527" t="str">
        <f ca="1">IFERROR(IF(0=LEN(ReferenceData!$H$527),"",ReferenceData!$H$527),"")</f>
        <v/>
      </c>
      <c r="I527" t="str">
        <f ca="1">IFERROR(IF(0=LEN(ReferenceData!$I$527),"",ReferenceData!$I$527),"")</f>
        <v/>
      </c>
      <c r="J527" t="str">
        <f ca="1">IFERROR(IF(0=LEN(ReferenceData!$J$527),"",ReferenceData!$J$527),"")</f>
        <v/>
      </c>
    </row>
    <row r="528" spans="1:10" x14ac:dyDescent="0.25">
      <c r="A528" t="str">
        <f>IFERROR(IF(0=LEN(ReferenceData!$A$528),"",ReferenceData!$A$528),"")</f>
        <v xml:space="preserve">                        Airbus SE</v>
      </c>
      <c r="B528" t="str">
        <f>IFERROR(IF(0=LEN(ReferenceData!$B$528),"",ReferenceData!$B$528),"")</f>
        <v>AIR FP Equity</v>
      </c>
      <c r="C528" t="str">
        <f>IFERROR(IF(0=LEN(ReferenceData!$C$528),"",ReferenceData!$C$528),"")</f>
        <v>F0946</v>
      </c>
      <c r="D528" t="str">
        <f>IFERROR(IF(0=LEN(ReferenceData!$D$528),"",ReferenceData!$D$528),"")</f>
        <v>TOTAL_GHG_CO2_EMISSIONS</v>
      </c>
      <c r="E528" t="str">
        <f>IFERROR(IF(0=LEN(ReferenceData!$E$528),"",ReferenceData!$E$528),"")</f>
        <v>Dynamic</v>
      </c>
      <c r="F528">
        <f ca="1">IFERROR(IF(0=LEN(ReferenceData!$F$528),"",ReferenceData!$F$528),"")</f>
        <v>0.85699999999999998</v>
      </c>
      <c r="G528">
        <f ca="1">IFERROR(IF(0=LEN(ReferenceData!$G$528),"",ReferenceData!$G$528),"")</f>
        <v>0.90104998800000002</v>
      </c>
      <c r="H528">
        <f ca="1">IFERROR(IF(0=LEN(ReferenceData!$H$528),"",ReferenceData!$H$528),"")</f>
        <v>0.83487597700000005</v>
      </c>
      <c r="I528">
        <f ca="1">IFERROR(IF(0=LEN(ReferenceData!$I$528),"",ReferenceData!$I$528),"")</f>
        <v>0.95651202400000002</v>
      </c>
      <c r="J528">
        <f ca="1">IFERROR(IF(0=LEN(ReferenceData!$J$528),"",ReferenceData!$J$528),"")</f>
        <v>0.96563299599999997</v>
      </c>
    </row>
    <row r="529" spans="1:10" x14ac:dyDescent="0.25">
      <c r="A529" t="str">
        <f>IFERROR(IF(0=LEN(ReferenceData!$A$529),"",ReferenceData!$A$529),"")</f>
        <v xml:space="preserve">                        Austal Ltd</v>
      </c>
      <c r="B529" t="str">
        <f>IFERROR(IF(0=LEN(ReferenceData!$B$529),"",ReferenceData!$B$529),"")</f>
        <v>ASB AU Equity</v>
      </c>
      <c r="C529" t="str">
        <f>IFERROR(IF(0=LEN(ReferenceData!$C$529),"",ReferenceData!$C$529),"")</f>
        <v>F0946</v>
      </c>
      <c r="D529" t="str">
        <f>IFERROR(IF(0=LEN(ReferenceData!$D$529),"",ReferenceData!$D$529),"")</f>
        <v>TOTAL_GHG_CO2_EMISSIONS</v>
      </c>
      <c r="E529" t="str">
        <f>IFERROR(IF(0=LEN(ReferenceData!$E$529),"",ReferenceData!$E$529),"")</f>
        <v>Dynamic</v>
      </c>
      <c r="F529" t="str">
        <f ca="1">IFERROR(IF(0=LEN(ReferenceData!$F$529),"",ReferenceData!$F$529),"")</f>
        <v/>
      </c>
      <c r="G529">
        <f ca="1">IFERROR(IF(0=LEN(ReferenceData!$G$529),"",ReferenceData!$G$529),"")</f>
        <v>1.7784000000000001E-2</v>
      </c>
      <c r="H529">
        <f ca="1">IFERROR(IF(0=LEN(ReferenceData!$H$529),"",ReferenceData!$H$529),"")</f>
        <v>2.8105000000000002E-2</v>
      </c>
      <c r="I529" t="str">
        <f ca="1">IFERROR(IF(0=LEN(ReferenceData!$I$529),"",ReferenceData!$I$529),"")</f>
        <v/>
      </c>
      <c r="J529" t="str">
        <f ca="1">IFERROR(IF(0=LEN(ReferenceData!$J$529),"",ReferenceData!$J$529),"")</f>
        <v/>
      </c>
    </row>
    <row r="530" spans="1:10" x14ac:dyDescent="0.25">
      <c r="A530" t="str">
        <f>IFERROR(IF(0=LEN(ReferenceData!$A$530),"",ReferenceData!$A$530),"")</f>
        <v xml:space="preserve">                        AeroVironment Inc</v>
      </c>
      <c r="B530" t="str">
        <f>IFERROR(IF(0=LEN(ReferenceData!$B$530),"",ReferenceData!$B$530),"")</f>
        <v>AVAV US Equity</v>
      </c>
      <c r="C530" t="str">
        <f>IFERROR(IF(0=LEN(ReferenceData!$C$530),"",ReferenceData!$C$530),"")</f>
        <v>F0946</v>
      </c>
      <c r="D530" t="str">
        <f>IFERROR(IF(0=LEN(ReferenceData!$D$530),"",ReferenceData!$D$530),"")</f>
        <v>TOTAL_GHG_CO2_EMISSIONS</v>
      </c>
      <c r="E530" t="str">
        <f>IFERROR(IF(0=LEN(ReferenceData!$E$530),"",ReferenceData!$E$530),"")</f>
        <v>Dynamic</v>
      </c>
      <c r="F530" t="str">
        <f ca="1">IFERROR(IF(0=LEN(ReferenceData!$F$530),"",ReferenceData!$F$530),"")</f>
        <v/>
      </c>
      <c r="G530" t="str">
        <f ca="1">IFERROR(IF(0=LEN(ReferenceData!$G$530),"",ReferenceData!$G$530),"")</f>
        <v/>
      </c>
      <c r="H530" t="str">
        <f ca="1">IFERROR(IF(0=LEN(ReferenceData!$H$530),"",ReferenceData!$H$530),"")</f>
        <v/>
      </c>
      <c r="I530" t="str">
        <f ca="1">IFERROR(IF(0=LEN(ReferenceData!$I$530),"",ReferenceData!$I$530),"")</f>
        <v/>
      </c>
      <c r="J530" t="str">
        <f ca="1">IFERROR(IF(0=LEN(ReferenceData!$J$530),"",ReferenceData!$J$530),"")</f>
        <v/>
      </c>
    </row>
    <row r="531" spans="1:10" x14ac:dyDescent="0.25">
      <c r="A531" t="str">
        <f>IFERROR(IF(0=LEN(ReferenceData!$A$531),"",ReferenceData!$A$531),"")</f>
        <v xml:space="preserve">                        BAE Systems PLC</v>
      </c>
      <c r="B531" t="str">
        <f>IFERROR(IF(0=LEN(ReferenceData!$B$531),"",ReferenceData!$B$531),"")</f>
        <v>BA/ LN Equity</v>
      </c>
      <c r="C531" t="str">
        <f>IFERROR(IF(0=LEN(ReferenceData!$C$531),"",ReferenceData!$C$531),"")</f>
        <v>F0946</v>
      </c>
      <c r="D531" t="str">
        <f>IFERROR(IF(0=LEN(ReferenceData!$D$531),"",ReferenceData!$D$531),"")</f>
        <v>TOTAL_GHG_CO2_EMISSIONS</v>
      </c>
      <c r="E531" t="str">
        <f>IFERROR(IF(0=LEN(ReferenceData!$E$531),"",ReferenceData!$E$531),"")</f>
        <v>Dynamic</v>
      </c>
      <c r="F531" t="str">
        <f ca="1">IFERROR(IF(0=LEN(ReferenceData!$F$531),"",ReferenceData!$F$531),"")</f>
        <v/>
      </c>
      <c r="G531">
        <f ca="1">IFERROR(IF(0=LEN(ReferenceData!$G$531),"",ReferenceData!$G$531),"")</f>
        <v>0.41097601299999997</v>
      </c>
      <c r="H531">
        <f ca="1">IFERROR(IF(0=LEN(ReferenceData!$H$531),"",ReferenceData!$H$531),"")</f>
        <v>0.487397003</v>
      </c>
      <c r="I531">
        <f ca="1">IFERROR(IF(0=LEN(ReferenceData!$I$531),"",ReferenceData!$I$531),"")</f>
        <v>0.96543597400000003</v>
      </c>
      <c r="J531">
        <f ca="1">IFERROR(IF(0=LEN(ReferenceData!$J$531),"",ReferenceData!$J$531),"")</f>
        <v>1.020429993</v>
      </c>
    </row>
    <row r="532" spans="1:10" x14ac:dyDescent="0.25">
      <c r="A532" t="str">
        <f>IFERROR(IF(0=LEN(ReferenceData!$A$532),"",ReferenceData!$A$532),"")</f>
        <v xml:space="preserve">                        Boeing Co/The</v>
      </c>
      <c r="B532" t="str">
        <f>IFERROR(IF(0=LEN(ReferenceData!$B$532),"",ReferenceData!$B$532),"")</f>
        <v>BA US Equity</v>
      </c>
      <c r="C532" t="str">
        <f>IFERROR(IF(0=LEN(ReferenceData!$C$532),"",ReferenceData!$C$532),"")</f>
        <v>F0946</v>
      </c>
      <c r="D532" t="str">
        <f>IFERROR(IF(0=LEN(ReferenceData!$D$532),"",ReferenceData!$D$532),"")</f>
        <v>TOTAL_GHG_CO2_EMISSIONS</v>
      </c>
      <c r="E532" t="str">
        <f>IFERROR(IF(0=LEN(ReferenceData!$E$532),"",ReferenceData!$E$532),"")</f>
        <v>Dynamic</v>
      </c>
      <c r="F532" t="str">
        <f ca="1">IFERROR(IF(0=LEN(ReferenceData!$F$532),"",ReferenceData!$F$532),"")</f>
        <v/>
      </c>
      <c r="G532">
        <f ca="1">IFERROR(IF(0=LEN(ReferenceData!$G$532),"",ReferenceData!$G$532),"")</f>
        <v>1.3680000000000001</v>
      </c>
      <c r="H532">
        <f ca="1">IFERROR(IF(0=LEN(ReferenceData!$H$532),"",ReferenceData!$H$532),"")</f>
        <v>1.36</v>
      </c>
      <c r="I532">
        <f ca="1">IFERROR(IF(0=LEN(ReferenceData!$I$532),"",ReferenceData!$I$532),"")</f>
        <v>1.484</v>
      </c>
      <c r="J532">
        <f ca="1">IFERROR(IF(0=LEN(ReferenceData!$J$532),"",ReferenceData!$J$532),"")</f>
        <v>1.538</v>
      </c>
    </row>
    <row r="533" spans="1:10" x14ac:dyDescent="0.25">
      <c r="A533" t="str">
        <f>IFERROR(IF(0=LEN(ReferenceData!$A$533),"",ReferenceData!$A$533),"")</f>
        <v xml:space="preserve">                        Dassault Aviation SA</v>
      </c>
      <c r="B533" t="str">
        <f>IFERROR(IF(0=LEN(ReferenceData!$B$533),"",ReferenceData!$B$533),"")</f>
        <v>AM FP Equity</v>
      </c>
      <c r="C533" t="str">
        <f>IFERROR(IF(0=LEN(ReferenceData!$C$533),"",ReferenceData!$C$533),"")</f>
        <v>F0946</v>
      </c>
      <c r="D533" t="str">
        <f>IFERROR(IF(0=LEN(ReferenceData!$D$533),"",ReferenceData!$D$533),"")</f>
        <v>TOTAL_GHG_CO2_EMISSIONS</v>
      </c>
      <c r="E533" t="str">
        <f>IFERROR(IF(0=LEN(ReferenceData!$E$533),"",ReferenceData!$E$533),"")</f>
        <v>Dynamic</v>
      </c>
      <c r="F533">
        <f ca="1">IFERROR(IF(0=LEN(ReferenceData!$F$533),"",ReferenceData!$F$533),"")</f>
        <v>7.2397003000000001E-2</v>
      </c>
      <c r="G533">
        <f ca="1">IFERROR(IF(0=LEN(ReferenceData!$G$533),"",ReferenceData!$G$533),"")</f>
        <v>8.6386002000000003E-2</v>
      </c>
      <c r="H533">
        <f ca="1">IFERROR(IF(0=LEN(ReferenceData!$H$533),"",ReferenceData!$H$533),"")</f>
        <v>7.8453002999999993E-2</v>
      </c>
      <c r="I533">
        <f ca="1">IFERROR(IF(0=LEN(ReferenceData!$I$533),"",ReferenceData!$I$533),"")</f>
        <v>9.4540000999999999E-2</v>
      </c>
      <c r="J533">
        <f ca="1">IFERROR(IF(0=LEN(ReferenceData!$J$533),"",ReferenceData!$J$533),"")</f>
        <v>9.0776999999999997E-2</v>
      </c>
    </row>
    <row r="534" spans="1:10" x14ac:dyDescent="0.25">
      <c r="A534" t="str">
        <f>IFERROR(IF(0=LEN(ReferenceData!$A$534),"",ReferenceData!$A$534),"")</f>
        <v xml:space="preserve">                        General Dynamics Corp</v>
      </c>
      <c r="B534" t="str">
        <f>IFERROR(IF(0=LEN(ReferenceData!$B$534),"",ReferenceData!$B$534),"")</f>
        <v>GD US Equity</v>
      </c>
      <c r="C534" t="str">
        <f>IFERROR(IF(0=LEN(ReferenceData!$C$534),"",ReferenceData!$C$534),"")</f>
        <v>F0946</v>
      </c>
      <c r="D534" t="str">
        <f>IFERROR(IF(0=LEN(ReferenceData!$D$534),"",ReferenceData!$D$534),"")</f>
        <v>TOTAL_GHG_CO2_EMISSIONS</v>
      </c>
      <c r="E534" t="str">
        <f>IFERROR(IF(0=LEN(ReferenceData!$E$534),"",ReferenceData!$E$534),"")</f>
        <v>Dynamic</v>
      </c>
      <c r="F534" t="str">
        <f ca="1">IFERROR(IF(0=LEN(ReferenceData!$F$534),"",ReferenceData!$F$534),"")</f>
        <v/>
      </c>
      <c r="G534">
        <f ca="1">IFERROR(IF(0=LEN(ReferenceData!$G$534),"",ReferenceData!$G$534),"")</f>
        <v>0.71399999999999997</v>
      </c>
      <c r="H534" t="str">
        <f ca="1">IFERROR(IF(0=LEN(ReferenceData!$H$534),"",ReferenceData!$H$534),"")</f>
        <v/>
      </c>
      <c r="I534">
        <f ca="1">IFERROR(IF(0=LEN(ReferenceData!$I$534),"",ReferenceData!$I$534),"")</f>
        <v>0.76219999999999999</v>
      </c>
      <c r="J534">
        <f ca="1">IFERROR(IF(0=LEN(ReferenceData!$J$534),"",ReferenceData!$J$534),"")</f>
        <v>0.79416101100000003</v>
      </c>
    </row>
    <row r="535" spans="1:10" x14ac:dyDescent="0.25">
      <c r="A535" t="str">
        <f>IFERROR(IF(0=LEN(ReferenceData!$A$535),"",ReferenceData!$A$535),"")</f>
        <v xml:space="preserve">                        Huntington Ingalls Industries</v>
      </c>
      <c r="B535" t="str">
        <f>IFERROR(IF(0=LEN(ReferenceData!$B$535),"",ReferenceData!$B$535),"")</f>
        <v>HII US Equity</v>
      </c>
      <c r="C535" t="str">
        <f>IFERROR(IF(0=LEN(ReferenceData!$C$535),"",ReferenceData!$C$535),"")</f>
        <v>F0946</v>
      </c>
      <c r="D535" t="str">
        <f>IFERROR(IF(0=LEN(ReferenceData!$D$535),"",ReferenceData!$D$535),"")</f>
        <v>TOTAL_GHG_CO2_EMISSIONS</v>
      </c>
      <c r="E535" t="str">
        <f>IFERROR(IF(0=LEN(ReferenceData!$E$535),"",ReferenceData!$E$535),"")</f>
        <v>Dynamic</v>
      </c>
      <c r="F535" t="str">
        <f ca="1">IFERROR(IF(0=LEN(ReferenceData!$F$535),"",ReferenceData!$F$535),"")</f>
        <v/>
      </c>
      <c r="G535" t="str">
        <f ca="1">IFERROR(IF(0=LEN(ReferenceData!$G$535),"",ReferenceData!$G$535),"")</f>
        <v/>
      </c>
      <c r="H535" t="str">
        <f ca="1">IFERROR(IF(0=LEN(ReferenceData!$H$535),"",ReferenceData!$H$535),"")</f>
        <v/>
      </c>
      <c r="I535" t="str">
        <f ca="1">IFERROR(IF(0=LEN(ReferenceData!$I$535),"",ReferenceData!$I$535),"")</f>
        <v/>
      </c>
      <c r="J535" t="str">
        <f ca="1">IFERROR(IF(0=LEN(ReferenceData!$J$535),"",ReferenceData!$J$535),"")</f>
        <v/>
      </c>
    </row>
    <row r="536" spans="1:10" x14ac:dyDescent="0.25">
      <c r="A536" t="str">
        <f>IFERROR(IF(0=LEN(ReferenceData!$A$536),"",ReferenceData!$A$536),"")</f>
        <v xml:space="preserve">                        L3Harris Technologies Inc</v>
      </c>
      <c r="B536" t="str">
        <f>IFERROR(IF(0=LEN(ReferenceData!$B$536),"",ReferenceData!$B$536),"")</f>
        <v>LHX US Equity</v>
      </c>
      <c r="C536" t="str">
        <f>IFERROR(IF(0=LEN(ReferenceData!$C$536),"",ReferenceData!$C$536),"")</f>
        <v>F0946</v>
      </c>
      <c r="D536" t="str">
        <f>IFERROR(IF(0=LEN(ReferenceData!$D$536),"",ReferenceData!$D$536),"")</f>
        <v>TOTAL_GHG_CO2_EMISSIONS</v>
      </c>
      <c r="E536" t="str">
        <f>IFERROR(IF(0=LEN(ReferenceData!$E$536),"",ReferenceData!$E$536),"")</f>
        <v>Dynamic</v>
      </c>
      <c r="F536">
        <f ca="1">IFERROR(IF(0=LEN(ReferenceData!$F$536),"",ReferenceData!$F$536),"")</f>
        <v>0.22847500600000001</v>
      </c>
      <c r="G536">
        <f ca="1">IFERROR(IF(0=LEN(ReferenceData!$G$536),"",ReferenceData!$G$536),"")</f>
        <v>0.27628799399999998</v>
      </c>
      <c r="H536">
        <f ca="1">IFERROR(IF(0=LEN(ReferenceData!$H$536),"",ReferenceData!$H$536),"")</f>
        <v>0.37771200599999999</v>
      </c>
      <c r="I536">
        <f ca="1">IFERROR(IF(0=LEN(ReferenceData!$I$536),"",ReferenceData!$I$536),"")</f>
        <v>0.34949301199999999</v>
      </c>
      <c r="J536" t="str">
        <f ca="1">IFERROR(IF(0=LEN(ReferenceData!$J$536),"",ReferenceData!$J$536),"")</f>
        <v/>
      </c>
    </row>
    <row r="537" spans="1:10" x14ac:dyDescent="0.25">
      <c r="A537" t="str">
        <f>IFERROR(IF(0=LEN(ReferenceData!$A$537),"",ReferenceData!$A$537),"")</f>
        <v xml:space="preserve">                        Leonardo SpA</v>
      </c>
      <c r="B537" t="str">
        <f>IFERROR(IF(0=LEN(ReferenceData!$B$537),"",ReferenceData!$B$537),"")</f>
        <v>LDO IM Equity</v>
      </c>
      <c r="C537" t="str">
        <f>IFERROR(IF(0=LEN(ReferenceData!$C$537),"",ReferenceData!$C$537),"")</f>
        <v>F0946</v>
      </c>
      <c r="D537" t="str">
        <f>IFERROR(IF(0=LEN(ReferenceData!$D$537),"",ReferenceData!$D$537),"")</f>
        <v>TOTAL_GHG_CO2_EMISSIONS</v>
      </c>
      <c r="E537" t="str">
        <f>IFERROR(IF(0=LEN(ReferenceData!$E$537),"",ReferenceData!$E$537),"")</f>
        <v>Dynamic</v>
      </c>
      <c r="F537">
        <f ca="1">IFERROR(IF(0=LEN(ReferenceData!$F$537),"",ReferenceData!$F$537),"")</f>
        <v>0.42614700300000002</v>
      </c>
      <c r="G537">
        <f ca="1">IFERROR(IF(0=LEN(ReferenceData!$G$537),"",ReferenceData!$G$537),"")</f>
        <v>0.47889099099999999</v>
      </c>
      <c r="H537">
        <f ca="1">IFERROR(IF(0=LEN(ReferenceData!$H$537),"",ReferenceData!$H$537),"")</f>
        <v>0.60866900599999996</v>
      </c>
      <c r="I537">
        <f ca="1">IFERROR(IF(0=LEN(ReferenceData!$I$537),"",ReferenceData!$I$537),"")</f>
        <v>0.60024798599999996</v>
      </c>
      <c r="J537">
        <f ca="1">IFERROR(IF(0=LEN(ReferenceData!$J$537),"",ReferenceData!$J$537),"")</f>
        <v>0.54897399899999999</v>
      </c>
    </row>
    <row r="538" spans="1:10" x14ac:dyDescent="0.25">
      <c r="A538" t="str">
        <f>IFERROR(IF(0=LEN(ReferenceData!$A$538),"",ReferenceData!$A$538),"")</f>
        <v xml:space="preserve">                        Lockheed Martin Corp</v>
      </c>
      <c r="B538" t="str">
        <f>IFERROR(IF(0=LEN(ReferenceData!$B$538),"",ReferenceData!$B$538),"")</f>
        <v>LMT US Equity</v>
      </c>
      <c r="C538" t="str">
        <f>IFERROR(IF(0=LEN(ReferenceData!$C$538),"",ReferenceData!$C$538),"")</f>
        <v>F0946</v>
      </c>
      <c r="D538" t="str">
        <f>IFERROR(IF(0=LEN(ReferenceData!$D$538),"",ReferenceData!$D$538),"")</f>
        <v>TOTAL_GHG_CO2_EMISSIONS</v>
      </c>
      <c r="E538" t="str">
        <f>IFERROR(IF(0=LEN(ReferenceData!$E$538),"",ReferenceData!$E$538),"")</f>
        <v>Dynamic</v>
      </c>
      <c r="F538" t="str">
        <f ca="1">IFERROR(IF(0=LEN(ReferenceData!$F$538),"",ReferenceData!$F$538),"")</f>
        <v/>
      </c>
      <c r="G538">
        <f ca="1">IFERROR(IF(0=LEN(ReferenceData!$G$538),"",ReferenceData!$G$538),"")</f>
        <v>0.85227301</v>
      </c>
      <c r="H538">
        <f ca="1">IFERROR(IF(0=LEN(ReferenceData!$H$538),"",ReferenceData!$H$538),"")</f>
        <v>0.91883697499999994</v>
      </c>
      <c r="I538">
        <f ca="1">IFERROR(IF(0=LEN(ReferenceData!$I$538),"",ReferenceData!$I$538),"")</f>
        <v>0.96802099600000002</v>
      </c>
      <c r="J538">
        <f ca="1">IFERROR(IF(0=LEN(ReferenceData!$J$538),"",ReferenceData!$J$538),"")</f>
        <v>0.96463000499999996</v>
      </c>
    </row>
    <row r="539" spans="1:10" x14ac:dyDescent="0.25">
      <c r="A539" t="str">
        <f>IFERROR(IF(0=LEN(ReferenceData!$A$539),"",ReferenceData!$A$539),"")</f>
        <v xml:space="preserve">                        Northrop Grumman Corp</v>
      </c>
      <c r="B539" t="str">
        <f>IFERROR(IF(0=LEN(ReferenceData!$B$539),"",ReferenceData!$B$539),"")</f>
        <v>NOC US Equity</v>
      </c>
      <c r="C539" t="str">
        <f>IFERROR(IF(0=LEN(ReferenceData!$C$539),"",ReferenceData!$C$539),"")</f>
        <v>F0946</v>
      </c>
      <c r="D539" t="str">
        <f>IFERROR(IF(0=LEN(ReferenceData!$D$539),"",ReferenceData!$D$539),"")</f>
        <v>TOTAL_GHG_CO2_EMISSIONS</v>
      </c>
      <c r="E539" t="str">
        <f>IFERROR(IF(0=LEN(ReferenceData!$E$539),"",ReferenceData!$E$539),"")</f>
        <v>Dynamic</v>
      </c>
      <c r="F539">
        <f ca="1">IFERROR(IF(0=LEN(ReferenceData!$F$539),"",ReferenceData!$F$539),"")</f>
        <v>0.28223999</v>
      </c>
      <c r="G539">
        <f ca="1">IFERROR(IF(0=LEN(ReferenceData!$G$539),"",ReferenceData!$G$539),"")</f>
        <v>0.73502697800000005</v>
      </c>
      <c r="H539">
        <f ca="1">IFERROR(IF(0=LEN(ReferenceData!$H$539),"",ReferenceData!$H$539),"")</f>
        <v>0.42366799900000002</v>
      </c>
      <c r="I539">
        <f ca="1">IFERROR(IF(0=LEN(ReferenceData!$I$539),"",ReferenceData!$I$539),"")</f>
        <v>0.48495901499999999</v>
      </c>
      <c r="J539">
        <f ca="1">IFERROR(IF(0=LEN(ReferenceData!$J$539),"",ReferenceData!$J$539),"")</f>
        <v>0.49962701399999998</v>
      </c>
    </row>
    <row r="540" spans="1:10" x14ac:dyDescent="0.25">
      <c r="A540" t="str">
        <f>IFERROR(IF(0=LEN(ReferenceData!$A$540),"",ReferenceData!$A$540),"")</f>
        <v xml:space="preserve">                        Oshkosh Corp</v>
      </c>
      <c r="B540" t="str">
        <f>IFERROR(IF(0=LEN(ReferenceData!$B$540),"",ReferenceData!$B$540),"")</f>
        <v>OSK US Equity</v>
      </c>
      <c r="C540" t="str">
        <f>IFERROR(IF(0=LEN(ReferenceData!$C$540),"",ReferenceData!$C$540),"")</f>
        <v>F0946</v>
      </c>
      <c r="D540" t="str">
        <f>IFERROR(IF(0=LEN(ReferenceData!$D$540),"",ReferenceData!$D$540),"")</f>
        <v>TOTAL_GHG_CO2_EMISSIONS</v>
      </c>
      <c r="E540" t="str">
        <f>IFERROR(IF(0=LEN(ReferenceData!$E$540),"",ReferenceData!$E$540),"")</f>
        <v>Dynamic</v>
      </c>
      <c r="F540" t="str">
        <f ca="1">IFERROR(IF(0=LEN(ReferenceData!$F$540),"",ReferenceData!$F$540),"")</f>
        <v/>
      </c>
      <c r="G540">
        <f ca="1">IFERROR(IF(0=LEN(ReferenceData!$G$540),"",ReferenceData!$G$540),"")</f>
        <v>0.12947099300000001</v>
      </c>
      <c r="H540">
        <f ca="1">IFERROR(IF(0=LEN(ReferenceData!$H$540),"",ReferenceData!$H$540),"")</f>
        <v>0.14357800300000001</v>
      </c>
      <c r="I540">
        <f ca="1">IFERROR(IF(0=LEN(ReferenceData!$I$540),"",ReferenceData!$I$540),"")</f>
        <v>0.16275000000000001</v>
      </c>
      <c r="J540">
        <f ca="1">IFERROR(IF(0=LEN(ReferenceData!$J$540),"",ReferenceData!$J$540),"")</f>
        <v>0.16190499899999999</v>
      </c>
    </row>
    <row r="541" spans="1:10" x14ac:dyDescent="0.25">
      <c r="A541" t="str">
        <f>IFERROR(IF(0=LEN(ReferenceData!$A$541),"",ReferenceData!$A$541),"")</f>
        <v xml:space="preserve">                        Rheinmetall AG</v>
      </c>
      <c r="B541" t="str">
        <f>IFERROR(IF(0=LEN(ReferenceData!$B$541),"",ReferenceData!$B$541),"")</f>
        <v>RHM GR Equity</v>
      </c>
      <c r="C541" t="str">
        <f>IFERROR(IF(0=LEN(ReferenceData!$C$541),"",ReferenceData!$C$541),"")</f>
        <v>F0946</v>
      </c>
      <c r="D541" t="str">
        <f>IFERROR(IF(0=LEN(ReferenceData!$D$541),"",ReferenceData!$D$541),"")</f>
        <v>TOTAL_GHG_CO2_EMISSIONS</v>
      </c>
      <c r="E541" t="str">
        <f>IFERROR(IF(0=LEN(ReferenceData!$E$541),"",ReferenceData!$E$541),"")</f>
        <v>Dynamic</v>
      </c>
      <c r="F541">
        <f ca="1">IFERROR(IF(0=LEN(ReferenceData!$F$541),"",ReferenceData!$F$541),"")</f>
        <v>0.32100399800000001</v>
      </c>
      <c r="G541">
        <f ca="1">IFERROR(IF(0=LEN(ReferenceData!$G$541),"",ReferenceData!$G$541),"")</f>
        <v>0.45088101200000003</v>
      </c>
      <c r="H541">
        <f ca="1">IFERROR(IF(0=LEN(ReferenceData!$H$541),"",ReferenceData!$H$541),"")</f>
        <v>0.410403992</v>
      </c>
      <c r="I541">
        <f ca="1">IFERROR(IF(0=LEN(ReferenceData!$I$541),"",ReferenceData!$I$541),"")</f>
        <v>0.46471600299999999</v>
      </c>
      <c r="J541">
        <f ca="1">IFERROR(IF(0=LEN(ReferenceData!$J$541),"",ReferenceData!$J$541),"")</f>
        <v>0.40211801200000002</v>
      </c>
    </row>
    <row r="542" spans="1:10" x14ac:dyDescent="0.25">
      <c r="A542" t="str">
        <f>IFERROR(IF(0=LEN(ReferenceData!$A$542),"",ReferenceData!$A$542),"")</f>
        <v xml:space="preserve">                        Raytheon Technologies Corp</v>
      </c>
      <c r="B542" t="str">
        <f>IFERROR(IF(0=LEN(ReferenceData!$B$542),"",ReferenceData!$B$542),"")</f>
        <v>RTX US Equity</v>
      </c>
      <c r="C542" t="str">
        <f>IFERROR(IF(0=LEN(ReferenceData!$C$542),"",ReferenceData!$C$542),"")</f>
        <v>F0946</v>
      </c>
      <c r="D542" t="str">
        <f>IFERROR(IF(0=LEN(ReferenceData!$D$542),"",ReferenceData!$D$542),"")</f>
        <v>TOTAL_GHG_CO2_EMISSIONS</v>
      </c>
      <c r="E542" t="str">
        <f>IFERROR(IF(0=LEN(ReferenceData!$E$542),"",ReferenceData!$E$542),"")</f>
        <v>Dynamic</v>
      </c>
      <c r="F542" t="str">
        <f ca="1">IFERROR(IF(0=LEN(ReferenceData!$F$542),"",ReferenceData!$F$542),"")</f>
        <v/>
      </c>
      <c r="G542">
        <f ca="1">IFERROR(IF(0=LEN(ReferenceData!$G$542),"",ReferenceData!$G$542),"")</f>
        <v>1.45402002</v>
      </c>
      <c r="H542">
        <f ca="1">IFERROR(IF(0=LEN(ReferenceData!$H$542),"",ReferenceData!$H$542),"")</f>
        <v>1.5386099849999999</v>
      </c>
      <c r="I542">
        <f ca="1">IFERROR(IF(0=LEN(ReferenceData!$I$542),"",ReferenceData!$I$542),"")</f>
        <v>1.758099976</v>
      </c>
      <c r="J542">
        <f ca="1">IFERROR(IF(0=LEN(ReferenceData!$J$542),"",ReferenceData!$J$542),"")</f>
        <v>1.9</v>
      </c>
    </row>
    <row r="543" spans="1:10" x14ac:dyDescent="0.25">
      <c r="A543" t="str">
        <f>IFERROR(IF(0=LEN(ReferenceData!$A$543),"",ReferenceData!$A$543),"")</f>
        <v xml:space="preserve">                        Spirit AeroSystems Holdings In</v>
      </c>
      <c r="B543" t="str">
        <f>IFERROR(IF(0=LEN(ReferenceData!$B$543),"",ReferenceData!$B$543),"")</f>
        <v>SPR US Equity</v>
      </c>
      <c r="C543" t="str">
        <f>IFERROR(IF(0=LEN(ReferenceData!$C$543),"",ReferenceData!$C$543),"")</f>
        <v>F0946</v>
      </c>
      <c r="D543" t="str">
        <f>IFERROR(IF(0=LEN(ReferenceData!$D$543),"",ReferenceData!$D$543),"")</f>
        <v>TOTAL_GHG_CO2_EMISSIONS</v>
      </c>
      <c r="E543" t="str">
        <f>IFERROR(IF(0=LEN(ReferenceData!$E$543),"",ReferenceData!$E$543),"")</f>
        <v>Dynamic</v>
      </c>
      <c r="F543" t="str">
        <f ca="1">IFERROR(IF(0=LEN(ReferenceData!$F$543),"",ReferenceData!$F$543),"")</f>
        <v/>
      </c>
      <c r="G543">
        <f ca="1">IFERROR(IF(0=LEN(ReferenceData!$G$543),"",ReferenceData!$G$543),"")</f>
        <v>0.32690301500000002</v>
      </c>
      <c r="H543">
        <f ca="1">IFERROR(IF(0=LEN(ReferenceData!$H$543),"",ReferenceData!$H$543),"")</f>
        <v>0.33145001200000002</v>
      </c>
      <c r="I543">
        <f ca="1">IFERROR(IF(0=LEN(ReferenceData!$I$543),"",ReferenceData!$I$543),"")</f>
        <v>0.433479004</v>
      </c>
      <c r="J543">
        <f ca="1">IFERROR(IF(0=LEN(ReferenceData!$J$543),"",ReferenceData!$J$543),"")</f>
        <v>0.45509799200000001</v>
      </c>
    </row>
    <row r="544" spans="1:10" x14ac:dyDescent="0.25">
      <c r="A544" t="str">
        <f>IFERROR(IF(0=LEN(ReferenceData!$A$544),"",ReferenceData!$A$544),"")</f>
        <v xml:space="preserve">                        Thales SA</v>
      </c>
      <c r="B544" t="str">
        <f>IFERROR(IF(0=LEN(ReferenceData!$B$544),"",ReferenceData!$B$544),"")</f>
        <v>HO FP Equity</v>
      </c>
      <c r="C544" t="str">
        <f>IFERROR(IF(0=LEN(ReferenceData!$C$544),"",ReferenceData!$C$544),"")</f>
        <v>F0946</v>
      </c>
      <c r="D544" t="str">
        <f>IFERROR(IF(0=LEN(ReferenceData!$D$544),"",ReferenceData!$D$544),"")</f>
        <v>TOTAL_GHG_CO2_EMISSIONS</v>
      </c>
      <c r="E544" t="str">
        <f>IFERROR(IF(0=LEN(ReferenceData!$E$544),"",ReferenceData!$E$544),"")</f>
        <v>Dynamic</v>
      </c>
      <c r="F544">
        <f ca="1">IFERROR(IF(0=LEN(ReferenceData!$F$544),"",ReferenceData!$F$544),"")</f>
        <v>0.14799999999999999</v>
      </c>
      <c r="G544">
        <f ca="1">IFERROR(IF(0=LEN(ReferenceData!$G$544),"",ReferenceData!$G$544),"")</f>
        <v>0.22900000000000001</v>
      </c>
      <c r="H544">
        <f ca="1">IFERROR(IF(0=LEN(ReferenceData!$H$544),"",ReferenceData!$H$544),"")</f>
        <v>0.24299999999999999</v>
      </c>
      <c r="I544">
        <f ca="1">IFERROR(IF(0=LEN(ReferenceData!$I$544),"",ReferenceData!$I$544),"")</f>
        <v>0.249</v>
      </c>
      <c r="J544">
        <f ca="1">IFERROR(IF(0=LEN(ReferenceData!$J$544),"",ReferenceData!$J$544),"")</f>
        <v>0.21299999999999999</v>
      </c>
    </row>
    <row r="545" spans="1:10" x14ac:dyDescent="0.25">
      <c r="A545" t="str">
        <f>IFERROR(IF(0=LEN(ReferenceData!$A$545),"",ReferenceData!$A$545),"")</f>
        <v xml:space="preserve">                        Textron Inc</v>
      </c>
      <c r="B545" t="str">
        <f>IFERROR(IF(0=LEN(ReferenceData!$B$545),"",ReferenceData!$B$545),"")</f>
        <v>TXT US Equity</v>
      </c>
      <c r="C545" t="str">
        <f>IFERROR(IF(0=LEN(ReferenceData!$C$545),"",ReferenceData!$C$545),"")</f>
        <v>F0946</v>
      </c>
      <c r="D545" t="str">
        <f>IFERROR(IF(0=LEN(ReferenceData!$D$545),"",ReferenceData!$D$545),"")</f>
        <v>TOTAL_GHG_CO2_EMISSIONS</v>
      </c>
      <c r="E545" t="str">
        <f>IFERROR(IF(0=LEN(ReferenceData!$E$545),"",ReferenceData!$E$545),"")</f>
        <v>Dynamic</v>
      </c>
      <c r="F545" t="str">
        <f ca="1">IFERROR(IF(0=LEN(ReferenceData!$F$545),"",ReferenceData!$F$545),"")</f>
        <v/>
      </c>
      <c r="G545">
        <f ca="1">IFERROR(IF(0=LEN(ReferenceData!$G$545),"",ReferenceData!$G$545),"")</f>
        <v>0.535624023</v>
      </c>
      <c r="H545">
        <f ca="1">IFERROR(IF(0=LEN(ReferenceData!$H$545),"",ReferenceData!$H$545),"")</f>
        <v>0.51124200399999997</v>
      </c>
      <c r="I545">
        <f ca="1">IFERROR(IF(0=LEN(ReferenceData!$I$545),"",ReferenceData!$I$545),"")</f>
        <v>0.60310400399999997</v>
      </c>
      <c r="J545">
        <f ca="1">IFERROR(IF(0=LEN(ReferenceData!$J$545),"",ReferenceData!$J$545),"")</f>
        <v>0.67834497100000002</v>
      </c>
    </row>
    <row r="546" spans="1:10" x14ac:dyDescent="0.25">
      <c r="A546" t="str">
        <f>IFERROR(IF(0=LEN(ReferenceData!$A$546),"",ReferenceData!$A$546),"")</f>
        <v xml:space="preserve">                Machinery</v>
      </c>
      <c r="B546" t="str">
        <f>IFERROR(IF(0=LEN(ReferenceData!$B$546),"",ReferenceData!$B$546),"")</f>
        <v/>
      </c>
      <c r="C546" t="str">
        <f>IFERROR(IF(0=LEN(ReferenceData!$C$546),"",ReferenceData!$C$546),"")</f>
        <v/>
      </c>
      <c r="D546" t="str">
        <f>IFERROR(IF(0=LEN(ReferenceData!$D$546),"",ReferenceData!$D$546),"")</f>
        <v/>
      </c>
      <c r="E546" t="str">
        <f>IFERROR(IF(0=LEN(ReferenceData!$E$546),"",ReferenceData!$E$546),"")</f>
        <v>Sum</v>
      </c>
      <c r="F546">
        <f ca="1">IFERROR(IF(0=LEN(ReferenceData!$F$546),"",ReferenceData!$F$546),"")</f>
        <v>11.861148378000001</v>
      </c>
      <c r="G546">
        <f ca="1">IFERROR(IF(0=LEN(ReferenceData!$G$546),"",ReferenceData!$G$546),"")</f>
        <v>33.918735149999996</v>
      </c>
      <c r="H546">
        <f ca="1">IFERROR(IF(0=LEN(ReferenceData!$H$546),"",ReferenceData!$H$546),"")</f>
        <v>30.964133156000003</v>
      </c>
      <c r="I546">
        <f ca="1">IFERROR(IF(0=LEN(ReferenceData!$I$546),"",ReferenceData!$I$546),"")</f>
        <v>34.139440673999992</v>
      </c>
      <c r="J546">
        <f ca="1">IFERROR(IF(0=LEN(ReferenceData!$J$546),"",ReferenceData!$J$546),"")</f>
        <v>34.488598806999995</v>
      </c>
    </row>
    <row r="547" spans="1:10" x14ac:dyDescent="0.25">
      <c r="A547" t="str">
        <f>IFERROR(IF(0=LEN(ReferenceData!$A$547),"",ReferenceData!$A$547),"")</f>
        <v xml:space="preserve">                    Iseki &amp; Co Ltd</v>
      </c>
      <c r="B547" t="str">
        <f>IFERROR(IF(0=LEN(ReferenceData!$B$547),"",ReferenceData!$B$547),"")</f>
        <v>6310 JP Equity</v>
      </c>
      <c r="C547" t="str">
        <f>IFERROR(IF(0=LEN(ReferenceData!$C$547),"",ReferenceData!$C$547),"")</f>
        <v>F0946</v>
      </c>
      <c r="D547" t="str">
        <f>IFERROR(IF(0=LEN(ReferenceData!$D$547),"",ReferenceData!$D$547),"")</f>
        <v>TOTAL_GHG_CO2_EMISSIONS</v>
      </c>
      <c r="E547" t="str">
        <f>IFERROR(IF(0=LEN(ReferenceData!$E$547),"",ReferenceData!$E$547),"")</f>
        <v>Dynamic</v>
      </c>
      <c r="F547" t="str">
        <f ca="1">IFERROR(IF(0=LEN(ReferenceData!$F$547),"",ReferenceData!$F$547),"")</f>
        <v/>
      </c>
      <c r="G547">
        <f ca="1">IFERROR(IF(0=LEN(ReferenceData!$G$547),"",ReferenceData!$G$547),"")</f>
        <v>7.0000000000000007E-2</v>
      </c>
      <c r="H547">
        <f ca="1">IFERROR(IF(0=LEN(ReferenceData!$H$547),"",ReferenceData!$H$547),"")</f>
        <v>3.4099997999999999E-2</v>
      </c>
      <c r="I547">
        <f ca="1">IFERROR(IF(0=LEN(ReferenceData!$I$547),"",ReferenceData!$I$547),"")</f>
        <v>3.3700001E-2</v>
      </c>
      <c r="J547">
        <f ca="1">IFERROR(IF(0=LEN(ReferenceData!$J$547),"",ReferenceData!$J$547),"")</f>
        <v>3.2500000000000001E-2</v>
      </c>
    </row>
    <row r="548" spans="1:10" x14ac:dyDescent="0.25">
      <c r="A548" t="str">
        <f>IFERROR(IF(0=LEN(ReferenceData!$A$548),"",ReferenceData!$A$548),"")</f>
        <v xml:space="preserve">                    Ag Growth International Inc</v>
      </c>
      <c r="B548" t="str">
        <f>IFERROR(IF(0=LEN(ReferenceData!$B$548),"",ReferenceData!$B$548),"")</f>
        <v>AFN CN Equity</v>
      </c>
      <c r="C548" t="str">
        <f>IFERROR(IF(0=LEN(ReferenceData!$C$548),"",ReferenceData!$C$548),"")</f>
        <v>F0946</v>
      </c>
      <c r="D548" t="str">
        <f>IFERROR(IF(0=LEN(ReferenceData!$D$548),"",ReferenceData!$D$548),"")</f>
        <v>TOTAL_GHG_CO2_EMISSIONS</v>
      </c>
      <c r="E548" t="str">
        <f>IFERROR(IF(0=LEN(ReferenceData!$E$548),"",ReferenceData!$E$548),"")</f>
        <v>Dynamic</v>
      </c>
      <c r="F548" t="str">
        <f ca="1">IFERROR(IF(0=LEN(ReferenceData!$F$548),"",ReferenceData!$F$548),"")</f>
        <v/>
      </c>
      <c r="G548" t="str">
        <f ca="1">IFERROR(IF(0=LEN(ReferenceData!$G$548),"",ReferenceData!$G$548),"")</f>
        <v/>
      </c>
      <c r="H548" t="str">
        <f ca="1">IFERROR(IF(0=LEN(ReferenceData!$H$548),"",ReferenceData!$H$548),"")</f>
        <v/>
      </c>
      <c r="I548" t="str">
        <f ca="1">IFERROR(IF(0=LEN(ReferenceData!$I$548),"",ReferenceData!$I$548),"")</f>
        <v/>
      </c>
      <c r="J548" t="str">
        <f ca="1">IFERROR(IF(0=LEN(ReferenceData!$J$548),"",ReferenceData!$J$548),"")</f>
        <v/>
      </c>
    </row>
    <row r="549" spans="1:10" x14ac:dyDescent="0.25">
      <c r="A549" t="str">
        <f>IFERROR(IF(0=LEN(ReferenceData!$A$549),"",ReferenceData!$A$549),"")</f>
        <v xml:space="preserve">                    AGCO Corp</v>
      </c>
      <c r="B549" t="str">
        <f>IFERROR(IF(0=LEN(ReferenceData!$B$549),"",ReferenceData!$B$549),"")</f>
        <v>AGCO US Equity</v>
      </c>
      <c r="C549" t="str">
        <f>IFERROR(IF(0=LEN(ReferenceData!$C$549),"",ReferenceData!$C$549),"")</f>
        <v>F0946</v>
      </c>
      <c r="D549" t="str">
        <f>IFERROR(IF(0=LEN(ReferenceData!$D$549),"",ReferenceData!$D$549),"")</f>
        <v>TOTAL_GHG_CO2_EMISSIONS</v>
      </c>
      <c r="E549" t="str">
        <f>IFERROR(IF(0=LEN(ReferenceData!$E$549),"",ReferenceData!$E$549),"")</f>
        <v>Dynamic</v>
      </c>
      <c r="F549" t="str">
        <f ca="1">IFERROR(IF(0=LEN(ReferenceData!$F$549),"",ReferenceData!$F$549),"")</f>
        <v/>
      </c>
      <c r="G549">
        <f ca="1">IFERROR(IF(0=LEN(ReferenceData!$G$549),"",ReferenceData!$G$549),"")</f>
        <v>0.15601800499999999</v>
      </c>
      <c r="H549" t="str">
        <f ca="1">IFERROR(IF(0=LEN(ReferenceData!$H$549),"",ReferenceData!$H$549),"")</f>
        <v/>
      </c>
      <c r="I549" t="str">
        <f ca="1">IFERROR(IF(0=LEN(ReferenceData!$I$549),"",ReferenceData!$I$549),"")</f>
        <v/>
      </c>
      <c r="J549" t="str">
        <f ca="1">IFERROR(IF(0=LEN(ReferenceData!$J$549),"",ReferenceData!$J$549),"")</f>
        <v/>
      </c>
    </row>
    <row r="550" spans="1:10" x14ac:dyDescent="0.25">
      <c r="A550" t="str">
        <f>IFERROR(IF(0=LEN(ReferenceData!$A$550),"",ReferenceData!$A$550),"")</f>
        <v xml:space="preserve">                    Alamo Group Inc</v>
      </c>
      <c r="B550" t="str">
        <f>IFERROR(IF(0=LEN(ReferenceData!$B$550),"",ReferenceData!$B$550),"")</f>
        <v>ALG US Equity</v>
      </c>
      <c r="C550" t="str">
        <f>IFERROR(IF(0=LEN(ReferenceData!$C$550),"",ReferenceData!$C$550),"")</f>
        <v>F0946</v>
      </c>
      <c r="D550" t="str">
        <f>IFERROR(IF(0=LEN(ReferenceData!$D$550),"",ReferenceData!$D$550),"")</f>
        <v>TOTAL_GHG_CO2_EMISSIONS</v>
      </c>
      <c r="E550" t="str">
        <f>IFERROR(IF(0=LEN(ReferenceData!$E$550),"",ReferenceData!$E$550),"")</f>
        <v>Dynamic</v>
      </c>
      <c r="F550">
        <f ca="1">IFERROR(IF(0=LEN(ReferenceData!$F$550),"",ReferenceData!$F$550),"")</f>
        <v>4.5186001000000003E-2</v>
      </c>
      <c r="G550">
        <f ca="1">IFERROR(IF(0=LEN(ReferenceData!$G$550),"",ReferenceData!$G$550),"")</f>
        <v>4.1095000999999999E-2</v>
      </c>
      <c r="H550">
        <f ca="1">IFERROR(IF(0=LEN(ReferenceData!$H$550),"",ReferenceData!$H$550),"")</f>
        <v>9.4417999000000002E-2</v>
      </c>
      <c r="I550">
        <f ca="1">IFERROR(IF(0=LEN(ReferenceData!$I$550),"",ReferenceData!$I$550),"")</f>
        <v>8.9321998999999999E-2</v>
      </c>
      <c r="J550" t="str">
        <f ca="1">IFERROR(IF(0=LEN(ReferenceData!$J$550),"",ReferenceData!$J$550),"")</f>
        <v/>
      </c>
    </row>
    <row r="551" spans="1:10" x14ac:dyDescent="0.25">
      <c r="A551" t="str">
        <f>IFERROR(IF(0=LEN(ReferenceData!$A$551),"",ReferenceData!$A$551),"")</f>
        <v xml:space="preserve">                    Ashtead Group PLC</v>
      </c>
      <c r="B551" t="str">
        <f>IFERROR(IF(0=LEN(ReferenceData!$B$551),"",ReferenceData!$B$551),"")</f>
        <v>AHT LN Equity</v>
      </c>
      <c r="C551" t="str">
        <f>IFERROR(IF(0=LEN(ReferenceData!$C$551),"",ReferenceData!$C$551),"")</f>
        <v>F0946</v>
      </c>
      <c r="D551" t="str">
        <f>IFERROR(IF(0=LEN(ReferenceData!$D$551),"",ReferenceData!$D$551),"")</f>
        <v>TOTAL_GHG_CO2_EMISSIONS</v>
      </c>
      <c r="E551" t="str">
        <f>IFERROR(IF(0=LEN(ReferenceData!$E$551),"",ReferenceData!$E$551),"")</f>
        <v>Dynamic</v>
      </c>
      <c r="F551" t="str">
        <f ca="1">IFERROR(IF(0=LEN(ReferenceData!$F$551),"",ReferenceData!$F$551),"")</f>
        <v/>
      </c>
      <c r="G551">
        <f ca="1">IFERROR(IF(0=LEN(ReferenceData!$G$551),"",ReferenceData!$G$551),"")</f>
        <v>0.32982000700000003</v>
      </c>
      <c r="H551">
        <f ca="1">IFERROR(IF(0=LEN(ReferenceData!$H$551),"",ReferenceData!$H$551),"")</f>
        <v>0.318970001</v>
      </c>
      <c r="I551">
        <f ca="1">IFERROR(IF(0=LEN(ReferenceData!$I$551),"",ReferenceData!$I$551),"")</f>
        <v>0.33252700800000001</v>
      </c>
      <c r="J551">
        <f ca="1">IFERROR(IF(0=LEN(ReferenceData!$J$551),"",ReferenceData!$J$551),"")</f>
        <v>0.30373400900000003</v>
      </c>
    </row>
    <row r="552" spans="1:10" x14ac:dyDescent="0.25">
      <c r="A552" t="str">
        <f>IFERROR(IF(0=LEN(ReferenceData!$A$552),"",ReferenceData!$A$552),"")</f>
        <v xml:space="preserve">                    Astec Industries Inc</v>
      </c>
      <c r="B552" t="str">
        <f>IFERROR(IF(0=LEN(ReferenceData!$B$552),"",ReferenceData!$B$552),"")</f>
        <v>ASTE US Equity</v>
      </c>
      <c r="C552" t="str">
        <f>IFERROR(IF(0=LEN(ReferenceData!$C$552),"",ReferenceData!$C$552),"")</f>
        <v>F0946</v>
      </c>
      <c r="D552" t="str">
        <f>IFERROR(IF(0=LEN(ReferenceData!$D$552),"",ReferenceData!$D$552),"")</f>
        <v>TOTAL_GHG_CO2_EMISSIONS</v>
      </c>
      <c r="E552" t="str">
        <f>IFERROR(IF(0=LEN(ReferenceData!$E$552),"",ReferenceData!$E$552),"")</f>
        <v>Dynamic</v>
      </c>
      <c r="F552" t="str">
        <f ca="1">IFERROR(IF(0=LEN(ReferenceData!$F$552),"",ReferenceData!$F$552),"")</f>
        <v/>
      </c>
      <c r="G552" t="str">
        <f ca="1">IFERROR(IF(0=LEN(ReferenceData!$G$552),"",ReferenceData!$G$552),"")</f>
        <v/>
      </c>
      <c r="H552" t="str">
        <f ca="1">IFERROR(IF(0=LEN(ReferenceData!$H$552),"",ReferenceData!$H$552),"")</f>
        <v/>
      </c>
      <c r="I552" t="str">
        <f ca="1">IFERROR(IF(0=LEN(ReferenceData!$I$552),"",ReferenceData!$I$552),"")</f>
        <v/>
      </c>
      <c r="J552" t="str">
        <f ca="1">IFERROR(IF(0=LEN(ReferenceData!$J$552),"",ReferenceData!$J$552),"")</f>
        <v/>
      </c>
    </row>
    <row r="553" spans="1:10" x14ac:dyDescent="0.25">
      <c r="A553" t="str">
        <f>IFERROR(IF(0=LEN(ReferenceData!$A$553),"",ReferenceData!$A$553),"")</f>
        <v xml:space="preserve">                    Atlas Copco AB</v>
      </c>
      <c r="B553" t="str">
        <f>IFERROR(IF(0=LEN(ReferenceData!$B$553),"",ReferenceData!$B$553),"")</f>
        <v>ATCOA SS Equity</v>
      </c>
      <c r="C553" t="str">
        <f>IFERROR(IF(0=LEN(ReferenceData!$C$553),"",ReferenceData!$C$553),"")</f>
        <v>F0946</v>
      </c>
      <c r="D553" t="str">
        <f>IFERROR(IF(0=LEN(ReferenceData!$D$553),"",ReferenceData!$D$553),"")</f>
        <v>TOTAL_GHG_CO2_EMISSIONS</v>
      </c>
      <c r="E553" t="str">
        <f>IFERROR(IF(0=LEN(ReferenceData!$E$553),"",ReferenceData!$E$553),"")</f>
        <v>Dynamic</v>
      </c>
      <c r="F553">
        <f ca="1">IFERROR(IF(0=LEN(ReferenceData!$F$553),"",ReferenceData!$F$553),"")</f>
        <v>0.215</v>
      </c>
      <c r="G553">
        <f ca="1">IFERROR(IF(0=LEN(ReferenceData!$G$553),"",ReferenceData!$G$553),"")</f>
        <v>0.12449400300000001</v>
      </c>
      <c r="H553">
        <f ca="1">IFERROR(IF(0=LEN(ReferenceData!$H$553),"",ReferenceData!$H$553),"")</f>
        <v>0.11600000000000001</v>
      </c>
      <c r="I553">
        <f ca="1">IFERROR(IF(0=LEN(ReferenceData!$I$553),"",ReferenceData!$I$553),"")</f>
        <v>0.12</v>
      </c>
      <c r="J553">
        <f ca="1">IFERROR(IF(0=LEN(ReferenceData!$J$553),"",ReferenceData!$J$553),"")</f>
        <v>9.2999999999999999E-2</v>
      </c>
    </row>
    <row r="554" spans="1:10" x14ac:dyDescent="0.25">
      <c r="A554" t="str">
        <f>IFERROR(IF(0=LEN(ReferenceData!$A$554),"",ReferenceData!$A$554),"")</f>
        <v xml:space="preserve">                    Barloworld Ltd</v>
      </c>
      <c r="B554" t="str">
        <f>IFERROR(IF(0=LEN(ReferenceData!$B$554),"",ReferenceData!$B$554),"")</f>
        <v>BAW SJ Equity</v>
      </c>
      <c r="C554" t="str">
        <f>IFERROR(IF(0=LEN(ReferenceData!$C$554),"",ReferenceData!$C$554),"")</f>
        <v>F0946</v>
      </c>
      <c r="D554" t="str">
        <f>IFERROR(IF(0=LEN(ReferenceData!$D$554),"",ReferenceData!$D$554),"")</f>
        <v>TOTAL_GHG_CO2_EMISSIONS</v>
      </c>
      <c r="E554" t="str">
        <f>IFERROR(IF(0=LEN(ReferenceData!$E$554),"",ReferenceData!$E$554),"")</f>
        <v>Dynamic</v>
      </c>
      <c r="F554">
        <f ca="1">IFERROR(IF(0=LEN(ReferenceData!$F$554),"",ReferenceData!$F$554),"")</f>
        <v>0.51418298299999998</v>
      </c>
      <c r="G554">
        <f ca="1">IFERROR(IF(0=LEN(ReferenceData!$G$554),"",ReferenceData!$G$554),"")</f>
        <v>0.46880999800000001</v>
      </c>
      <c r="H554">
        <f ca="1">IFERROR(IF(0=LEN(ReferenceData!$H$554),"",ReferenceData!$H$554),"")</f>
        <v>0.19354600499999999</v>
      </c>
      <c r="I554">
        <f ca="1">IFERROR(IF(0=LEN(ReferenceData!$I$554),"",ReferenceData!$I$554),"")</f>
        <v>0.243477997</v>
      </c>
      <c r="J554">
        <f ca="1">IFERROR(IF(0=LEN(ReferenceData!$J$554),"",ReferenceData!$J$554),"")</f>
        <v>0.25764999399999999</v>
      </c>
    </row>
    <row r="555" spans="1:10" x14ac:dyDescent="0.25">
      <c r="A555" t="str">
        <f>IFERROR(IF(0=LEN(ReferenceData!$A$555),"",ReferenceData!$A$555),"")</f>
        <v xml:space="preserve">                    BOMAG GmbH</v>
      </c>
      <c r="B555" t="str">
        <f>IFERROR(IF(0=LEN(ReferenceData!$B$555),"",ReferenceData!$B$555),"")</f>
        <v>3664607Z GR Equity</v>
      </c>
      <c r="C555" t="str">
        <f>IFERROR(IF(0=LEN(ReferenceData!$C$555),"",ReferenceData!$C$555),"")</f>
        <v>F0946</v>
      </c>
      <c r="D555" t="str">
        <f>IFERROR(IF(0=LEN(ReferenceData!$D$555),"",ReferenceData!$D$555),"")</f>
        <v>TOTAL_GHG_CO2_EMISSIONS</v>
      </c>
      <c r="E555" t="str">
        <f>IFERROR(IF(0=LEN(ReferenceData!$E$555),"",ReferenceData!$E$555),"")</f>
        <v>Dynamic</v>
      </c>
      <c r="F555" t="str">
        <f ca="1">IFERROR(IF(0=LEN(ReferenceData!$F$555),"",ReferenceData!$F$555),"")</f>
        <v/>
      </c>
      <c r="G555" t="str">
        <f ca="1">IFERROR(IF(0=LEN(ReferenceData!$G$555),"",ReferenceData!$G$555),"")</f>
        <v/>
      </c>
      <c r="H555" t="str">
        <f ca="1">IFERROR(IF(0=LEN(ReferenceData!$H$555),"",ReferenceData!$H$555),"")</f>
        <v/>
      </c>
      <c r="I555" t="str">
        <f ca="1">IFERROR(IF(0=LEN(ReferenceData!$I$555),"",ReferenceData!$I$555),"")</f>
        <v/>
      </c>
      <c r="J555" t="str">
        <f ca="1">IFERROR(IF(0=LEN(ReferenceData!$J$555),"",ReferenceData!$J$555),"")</f>
        <v/>
      </c>
    </row>
    <row r="556" spans="1:10" x14ac:dyDescent="0.25">
      <c r="A556" t="str">
        <f>IFERROR(IF(0=LEN(ReferenceData!$A$556),"",ReferenceData!$A$556),"")</f>
        <v xml:space="preserve">                    Boom Logistics Ltd</v>
      </c>
      <c r="B556" t="str">
        <f>IFERROR(IF(0=LEN(ReferenceData!$B$556),"",ReferenceData!$B$556),"")</f>
        <v>BOL AU Equity</v>
      </c>
      <c r="C556" t="str">
        <f>IFERROR(IF(0=LEN(ReferenceData!$C$556),"",ReferenceData!$C$556),"")</f>
        <v>F0946</v>
      </c>
      <c r="D556" t="str">
        <f>IFERROR(IF(0=LEN(ReferenceData!$D$556),"",ReferenceData!$D$556),"")</f>
        <v>TOTAL_GHG_CO2_EMISSIONS</v>
      </c>
      <c r="E556" t="str">
        <f>IFERROR(IF(0=LEN(ReferenceData!$E$556),"",ReferenceData!$E$556),"")</f>
        <v>Dynamic</v>
      </c>
      <c r="F556" t="str">
        <f ca="1">IFERROR(IF(0=LEN(ReferenceData!$F$556),"",ReferenceData!$F$556),"")</f>
        <v/>
      </c>
      <c r="G556" t="str">
        <f ca="1">IFERROR(IF(0=LEN(ReferenceData!$G$556),"",ReferenceData!$G$556),"")</f>
        <v/>
      </c>
      <c r="H556" t="str">
        <f ca="1">IFERROR(IF(0=LEN(ReferenceData!$H$556),"",ReferenceData!$H$556),"")</f>
        <v/>
      </c>
      <c r="I556" t="str">
        <f ca="1">IFERROR(IF(0=LEN(ReferenceData!$I$556),"",ReferenceData!$I$556),"")</f>
        <v/>
      </c>
      <c r="J556" t="str">
        <f ca="1">IFERROR(IF(0=LEN(ReferenceData!$J$556),"",ReferenceData!$J$556),"")</f>
        <v/>
      </c>
    </row>
    <row r="557" spans="1:10" x14ac:dyDescent="0.25">
      <c r="A557" t="str">
        <f>IFERROR(IF(0=LEN(ReferenceData!$A$557),"",ReferenceData!$A$557),"")</f>
        <v xml:space="preserve">                    Bucher Industries AG</v>
      </c>
      <c r="B557" t="str">
        <f>IFERROR(IF(0=LEN(ReferenceData!$B$557),"",ReferenceData!$B$557),"")</f>
        <v>BUCN SW Equity</v>
      </c>
      <c r="C557" t="str">
        <f>IFERROR(IF(0=LEN(ReferenceData!$C$557),"",ReferenceData!$C$557),"")</f>
        <v>F0946</v>
      </c>
      <c r="D557" t="str">
        <f>IFERROR(IF(0=LEN(ReferenceData!$D$557),"",ReferenceData!$D$557),"")</f>
        <v>TOTAL_GHG_CO2_EMISSIONS</v>
      </c>
      <c r="E557" t="str">
        <f>IFERROR(IF(0=LEN(ReferenceData!$E$557),"",ReferenceData!$E$557),"")</f>
        <v>Dynamic</v>
      </c>
      <c r="F557">
        <f ca="1">IFERROR(IF(0=LEN(ReferenceData!$F$557),"",ReferenceData!$F$557),"")</f>
        <v>8.9671997000000003E-2</v>
      </c>
      <c r="G557">
        <f ca="1">IFERROR(IF(0=LEN(ReferenceData!$G$557),"",ReferenceData!$G$557),"")</f>
        <v>8.9206000999999993E-2</v>
      </c>
      <c r="H557">
        <f ca="1">IFERROR(IF(0=LEN(ReferenceData!$H$557),"",ReferenceData!$H$557),"")</f>
        <v>8.0226996999999994E-2</v>
      </c>
      <c r="I557">
        <f ca="1">IFERROR(IF(0=LEN(ReferenceData!$I$557),"",ReferenceData!$I$557),"")</f>
        <v>8.5288002000000002E-2</v>
      </c>
      <c r="J557">
        <f ca="1">IFERROR(IF(0=LEN(ReferenceData!$J$557),"",ReferenceData!$J$557),"")</f>
        <v>9.3269996999999993E-2</v>
      </c>
    </row>
    <row r="558" spans="1:10" x14ac:dyDescent="0.25">
      <c r="A558" t="str">
        <f>IFERROR(IF(0=LEN(ReferenceData!$A$558),"",ReferenceData!$A$558),"")</f>
        <v xml:space="preserve">                    Buhler Industries Inc</v>
      </c>
      <c r="B558" t="str">
        <f>IFERROR(IF(0=LEN(ReferenceData!$B$558),"",ReferenceData!$B$558),"")</f>
        <v>BUI CN Equity</v>
      </c>
      <c r="C558" t="str">
        <f>IFERROR(IF(0=LEN(ReferenceData!$C$558),"",ReferenceData!$C$558),"")</f>
        <v>F0946</v>
      </c>
      <c r="D558" t="str">
        <f>IFERROR(IF(0=LEN(ReferenceData!$D$558),"",ReferenceData!$D$558),"")</f>
        <v>TOTAL_GHG_CO2_EMISSIONS</v>
      </c>
      <c r="E558" t="str">
        <f>IFERROR(IF(0=LEN(ReferenceData!$E$558),"",ReferenceData!$E$558),"")</f>
        <v>Dynamic</v>
      </c>
      <c r="F558" t="str">
        <f ca="1">IFERROR(IF(0=LEN(ReferenceData!$F$558),"",ReferenceData!$F$558),"")</f>
        <v/>
      </c>
      <c r="G558" t="str">
        <f ca="1">IFERROR(IF(0=LEN(ReferenceData!$G$558),"",ReferenceData!$G$558),"")</f>
        <v/>
      </c>
      <c r="H558" t="str">
        <f ca="1">IFERROR(IF(0=LEN(ReferenceData!$H$558),"",ReferenceData!$H$558),"")</f>
        <v/>
      </c>
      <c r="I558" t="str">
        <f ca="1">IFERROR(IF(0=LEN(ReferenceData!$I$558),"",ReferenceData!$I$558),"")</f>
        <v/>
      </c>
      <c r="J558" t="str">
        <f ca="1">IFERROR(IF(0=LEN(ReferenceData!$J$558),"",ReferenceData!$J$558),"")</f>
        <v/>
      </c>
    </row>
    <row r="559" spans="1:10" x14ac:dyDescent="0.25">
      <c r="A559" t="str">
        <f>IFERROR(IF(0=LEN(ReferenceData!$A$559),"",ReferenceData!$A$559),"")</f>
        <v xml:space="preserve">                    Boart Longyear Ltd</v>
      </c>
      <c r="B559" t="str">
        <f>IFERROR(IF(0=LEN(ReferenceData!$B$559),"",ReferenceData!$B$559),"")</f>
        <v>1923730D AU Equity</v>
      </c>
      <c r="C559" t="str">
        <f>IFERROR(IF(0=LEN(ReferenceData!$C$559),"",ReferenceData!$C$559),"")</f>
        <v>F0946</v>
      </c>
      <c r="D559" t="str">
        <f>IFERROR(IF(0=LEN(ReferenceData!$D$559),"",ReferenceData!$D$559),"")</f>
        <v>TOTAL_GHG_CO2_EMISSIONS</v>
      </c>
      <c r="E559" t="str">
        <f>IFERROR(IF(0=LEN(ReferenceData!$E$559),"",ReferenceData!$E$559),"")</f>
        <v>Dynamic</v>
      </c>
      <c r="F559" t="str">
        <f ca="1">IFERROR(IF(0=LEN(ReferenceData!$F$559),"",ReferenceData!$F$559),"")</f>
        <v/>
      </c>
      <c r="G559" t="str">
        <f ca="1">IFERROR(IF(0=LEN(ReferenceData!$G$559),"",ReferenceData!$G$559),"")</f>
        <v/>
      </c>
      <c r="H559" t="str">
        <f ca="1">IFERROR(IF(0=LEN(ReferenceData!$H$559),"",ReferenceData!$H$559),"")</f>
        <v/>
      </c>
      <c r="I559" t="str">
        <f ca="1">IFERROR(IF(0=LEN(ReferenceData!$I$559),"",ReferenceData!$I$559),"")</f>
        <v/>
      </c>
      <c r="J559" t="str">
        <f ca="1">IFERROR(IF(0=LEN(ReferenceData!$J$559),"",ReferenceData!$J$559),"")</f>
        <v/>
      </c>
    </row>
    <row r="560" spans="1:10" x14ac:dyDescent="0.25">
      <c r="A560" t="str">
        <f>IFERROR(IF(0=LEN(ReferenceData!$A$560),"",ReferenceData!$A$560),"")</f>
        <v xml:space="preserve">                    Caterpillar Inc</v>
      </c>
      <c r="B560" t="str">
        <f>IFERROR(IF(0=LEN(ReferenceData!$B$560),"",ReferenceData!$B$560),"")</f>
        <v>CAT US Equity</v>
      </c>
      <c r="C560" t="str">
        <f>IFERROR(IF(0=LEN(ReferenceData!$C$560),"",ReferenceData!$C$560),"")</f>
        <v>F0946</v>
      </c>
      <c r="D560" t="str">
        <f>IFERROR(IF(0=LEN(ReferenceData!$D$560),"",ReferenceData!$D$560),"")</f>
        <v>TOTAL_GHG_CO2_EMISSIONS</v>
      </c>
      <c r="E560" t="str">
        <f>IFERROR(IF(0=LEN(ReferenceData!$E$560),"",ReferenceData!$E$560),"")</f>
        <v>Dynamic</v>
      </c>
      <c r="F560">
        <f ca="1">IFERROR(IF(0=LEN(ReferenceData!$F$560),"",ReferenceData!$F$560),"")</f>
        <v>1.54</v>
      </c>
      <c r="G560">
        <f ca="1">IFERROR(IF(0=LEN(ReferenceData!$G$560),"",ReferenceData!$G$560),"")</f>
        <v>1.59</v>
      </c>
      <c r="H560">
        <f ca="1">IFERROR(IF(0=LEN(ReferenceData!$H$560),"",ReferenceData!$H$560),"")</f>
        <v>1.5209999999999999</v>
      </c>
      <c r="I560">
        <f ca="1">IFERROR(IF(0=LEN(ReferenceData!$I$560),"",ReferenceData!$I$560),"")</f>
        <v>1.831</v>
      </c>
      <c r="J560">
        <f ca="1">IFERROR(IF(0=LEN(ReferenceData!$J$560),"",ReferenceData!$J$560),"")</f>
        <v>2.25</v>
      </c>
    </row>
    <row r="561" spans="1:10" x14ac:dyDescent="0.25">
      <c r="A561" t="str">
        <f>IFERROR(IF(0=LEN(ReferenceData!$A$561),"",ReferenceData!$A$561),"")</f>
        <v xml:space="preserve">                    China Communications Construct</v>
      </c>
      <c r="B561" t="str">
        <f>IFERROR(IF(0=LEN(ReferenceData!$B$561),"",ReferenceData!$B$561),"")</f>
        <v>1800 HK Equity</v>
      </c>
      <c r="C561" t="str">
        <f>IFERROR(IF(0=LEN(ReferenceData!$C$561),"",ReferenceData!$C$561),"")</f>
        <v>F0946</v>
      </c>
      <c r="D561" t="str">
        <f>IFERROR(IF(0=LEN(ReferenceData!$D$561),"",ReferenceData!$D$561),"")</f>
        <v>TOTAL_GHG_CO2_EMISSIONS</v>
      </c>
      <c r="E561" t="str">
        <f>IFERROR(IF(0=LEN(ReferenceData!$E$561),"",ReferenceData!$E$561),"")</f>
        <v>Dynamic</v>
      </c>
      <c r="F561">
        <f ca="1">IFERROR(IF(0=LEN(ReferenceData!$F$561),"",ReferenceData!$F$561),"")</f>
        <v>4.68</v>
      </c>
      <c r="G561">
        <f ca="1">IFERROR(IF(0=LEN(ReferenceData!$G$561),"",ReferenceData!$G$561),"")</f>
        <v>4.1269999999999998</v>
      </c>
      <c r="H561">
        <f ca="1">IFERROR(IF(0=LEN(ReferenceData!$H$561),"",ReferenceData!$H$561),"")</f>
        <v>3.9099599610000002</v>
      </c>
      <c r="I561">
        <f ca="1">IFERROR(IF(0=LEN(ReferenceData!$I$561),"",ReferenceData!$I$561),"")</f>
        <v>4.6559999999999997</v>
      </c>
      <c r="J561">
        <f ca="1">IFERROR(IF(0=LEN(ReferenceData!$J$561),"",ReferenceData!$J$561),"")</f>
        <v>5.7160000000000002</v>
      </c>
    </row>
    <row r="562" spans="1:10" x14ac:dyDescent="0.25">
      <c r="A562" t="str">
        <f>IFERROR(IF(0=LEN(ReferenceData!$A$562),"",ReferenceData!$A$562),"")</f>
        <v xml:space="preserve">                    Claas KGaA mbH</v>
      </c>
      <c r="B562" t="str">
        <f>IFERROR(IF(0=LEN(ReferenceData!$B$562),"",ReferenceData!$B$562),"")</f>
        <v>CLSO GR Equity</v>
      </c>
      <c r="C562" t="str">
        <f>IFERROR(IF(0=LEN(ReferenceData!$C$562),"",ReferenceData!$C$562),"")</f>
        <v>F0946</v>
      </c>
      <c r="D562" t="str">
        <f>IFERROR(IF(0=LEN(ReferenceData!$D$562),"",ReferenceData!$D$562),"")</f>
        <v>TOTAL_GHG_CO2_EMISSIONS</v>
      </c>
      <c r="E562" t="str">
        <f>IFERROR(IF(0=LEN(ReferenceData!$E$562),"",ReferenceData!$E$562),"")</f>
        <v>Dynamic</v>
      </c>
      <c r="F562" t="str">
        <f ca="1">IFERROR(IF(0=LEN(ReferenceData!$F$562),"",ReferenceData!$F$562),"")</f>
        <v/>
      </c>
      <c r="G562" t="str">
        <f ca="1">IFERROR(IF(0=LEN(ReferenceData!$G$562),"",ReferenceData!$G$562),"")</f>
        <v/>
      </c>
      <c r="H562" t="str">
        <f ca="1">IFERROR(IF(0=LEN(ReferenceData!$H$562),"",ReferenceData!$H$562),"")</f>
        <v/>
      </c>
      <c r="I562" t="str">
        <f ca="1">IFERROR(IF(0=LEN(ReferenceData!$I$562),"",ReferenceData!$I$562),"")</f>
        <v/>
      </c>
      <c r="J562" t="str">
        <f ca="1">IFERROR(IF(0=LEN(ReferenceData!$J$562),"",ReferenceData!$J$562),"")</f>
        <v/>
      </c>
    </row>
    <row r="563" spans="1:10" x14ac:dyDescent="0.25">
      <c r="A563" t="str">
        <f>IFERROR(IF(0=LEN(ReferenceData!$A$563),"",ReferenceData!$A$563),"")</f>
        <v xml:space="preserve">                    CNH Industrial NV</v>
      </c>
      <c r="B563" t="str">
        <f>IFERROR(IF(0=LEN(ReferenceData!$B$563),"",ReferenceData!$B$563),"")</f>
        <v>CNHI US Equity</v>
      </c>
      <c r="C563" t="str">
        <f>IFERROR(IF(0=LEN(ReferenceData!$C$563),"",ReferenceData!$C$563),"")</f>
        <v>F0946</v>
      </c>
      <c r="D563" t="str">
        <f>IFERROR(IF(0=LEN(ReferenceData!$D$563),"",ReferenceData!$D$563),"")</f>
        <v>TOTAL_GHG_CO2_EMISSIONS</v>
      </c>
      <c r="E563" t="str">
        <f>IFERROR(IF(0=LEN(ReferenceData!$E$563),"",ReferenceData!$E$563),"")</f>
        <v>Dynamic</v>
      </c>
      <c r="F563" t="str">
        <f ca="1">IFERROR(IF(0=LEN(ReferenceData!$F$563),"",ReferenceData!$F$563),"")</f>
        <v/>
      </c>
      <c r="G563">
        <f ca="1">IFERROR(IF(0=LEN(ReferenceData!$G$563),"",ReferenceData!$G$563),"")</f>
        <v>0.45000399800000002</v>
      </c>
      <c r="H563">
        <f ca="1">IFERROR(IF(0=LEN(ReferenceData!$H$563),"",ReferenceData!$H$563),"")</f>
        <v>0.38719799799999999</v>
      </c>
      <c r="I563">
        <f ca="1">IFERROR(IF(0=LEN(ReferenceData!$I$563),"",ReferenceData!$I$563),"")</f>
        <v>0.48068200700000002</v>
      </c>
      <c r="J563">
        <f ca="1">IFERROR(IF(0=LEN(ReferenceData!$J$563),"",ReferenceData!$J$563),"")</f>
        <v>0.49684799200000002</v>
      </c>
    </row>
    <row r="564" spans="1:10" x14ac:dyDescent="0.25">
      <c r="A564" t="str">
        <f>IFERROR(IF(0=LEN(ReferenceData!$A$564),"",ReferenceData!$A$564),"")</f>
        <v xml:space="preserve">                    Daedong Corp</v>
      </c>
      <c r="B564" t="str">
        <f>IFERROR(IF(0=LEN(ReferenceData!$B$564),"",ReferenceData!$B$564),"")</f>
        <v>000490 KS Equity</v>
      </c>
      <c r="C564" t="str">
        <f>IFERROR(IF(0=LEN(ReferenceData!$C$564),"",ReferenceData!$C$564),"")</f>
        <v>F0946</v>
      </c>
      <c r="D564" t="str">
        <f>IFERROR(IF(0=LEN(ReferenceData!$D$564),"",ReferenceData!$D$564),"")</f>
        <v>TOTAL_GHG_CO2_EMISSIONS</v>
      </c>
      <c r="E564" t="str">
        <f>IFERROR(IF(0=LEN(ReferenceData!$E$564),"",ReferenceData!$E$564),"")</f>
        <v>Dynamic</v>
      </c>
      <c r="F564" t="str">
        <f ca="1">IFERROR(IF(0=LEN(ReferenceData!$F$564),"",ReferenceData!$F$564),"")</f>
        <v/>
      </c>
      <c r="G564">
        <f ca="1">IFERROR(IF(0=LEN(ReferenceData!$G$564),"",ReferenceData!$G$564),"")</f>
        <v>4.2014000000000003E-2</v>
      </c>
      <c r="H564">
        <f ca="1">IFERROR(IF(0=LEN(ReferenceData!$H$564),"",ReferenceData!$H$564),"")</f>
        <v>3.4749001000000002E-2</v>
      </c>
      <c r="I564">
        <f ca="1">IFERROR(IF(0=LEN(ReferenceData!$I$564),"",ReferenceData!$I$564),"")</f>
        <v>3.4172001E-2</v>
      </c>
      <c r="J564">
        <f ca="1">IFERROR(IF(0=LEN(ReferenceData!$J$564),"",ReferenceData!$J$564),"")</f>
        <v>3.4749001000000002E-2</v>
      </c>
    </row>
    <row r="565" spans="1:10" x14ac:dyDescent="0.25">
      <c r="A565" t="str">
        <f>IFERROR(IF(0=LEN(ReferenceData!$A$565),"",ReferenceData!$A$565),"")</f>
        <v xml:space="preserve">                    Deere &amp; Co</v>
      </c>
      <c r="B565" t="str">
        <f>IFERROR(IF(0=LEN(ReferenceData!$B$565),"",ReferenceData!$B$565),"")</f>
        <v>DE US Equity</v>
      </c>
      <c r="C565" t="str">
        <f>IFERROR(IF(0=LEN(ReferenceData!$C$565),"",ReferenceData!$C$565),"")</f>
        <v>F0946</v>
      </c>
      <c r="D565" t="str">
        <f>IFERROR(IF(0=LEN(ReferenceData!$D$565),"",ReferenceData!$D$565),"")</f>
        <v>TOTAL_GHG_CO2_EMISSIONS</v>
      </c>
      <c r="E565" t="str">
        <f>IFERROR(IF(0=LEN(ReferenceData!$E$565),"",ReferenceData!$E$565),"")</f>
        <v>Dynamic</v>
      </c>
      <c r="F565" t="str">
        <f ca="1">IFERROR(IF(0=LEN(ReferenceData!$F$565),"",ReferenceData!$F$565),"")</f>
        <v/>
      </c>
      <c r="G565">
        <f ca="1">IFERROR(IF(0=LEN(ReferenceData!$G$565),"",ReferenceData!$G$565),"")</f>
        <v>1.1080000000000001</v>
      </c>
      <c r="H565" t="str">
        <f ca="1">IFERROR(IF(0=LEN(ReferenceData!$H$565),"",ReferenceData!$H$565),"")</f>
        <v/>
      </c>
      <c r="I565" t="str">
        <f ca="1">IFERROR(IF(0=LEN(ReferenceData!$I$565),"",ReferenceData!$I$565),"")</f>
        <v/>
      </c>
      <c r="J565" t="str">
        <f ca="1">IFERROR(IF(0=LEN(ReferenceData!$J$565),"",ReferenceData!$J$565),"")</f>
        <v/>
      </c>
    </row>
    <row r="566" spans="1:10" x14ac:dyDescent="0.25">
      <c r="A566" t="str">
        <f>IFERROR(IF(0=LEN(ReferenceData!$A$566),"",ReferenceData!$A$566),"")</f>
        <v xml:space="preserve">                    Emeco Holdings Ltd</v>
      </c>
      <c r="B566" t="str">
        <f>IFERROR(IF(0=LEN(ReferenceData!$B$566),"",ReferenceData!$B$566),"")</f>
        <v>EHL AU Equity</v>
      </c>
      <c r="C566" t="str">
        <f>IFERROR(IF(0=LEN(ReferenceData!$C$566),"",ReferenceData!$C$566),"")</f>
        <v>F0946</v>
      </c>
      <c r="D566" t="str">
        <f>IFERROR(IF(0=LEN(ReferenceData!$D$566),"",ReferenceData!$D$566),"")</f>
        <v>TOTAL_GHG_CO2_EMISSIONS</v>
      </c>
      <c r="E566" t="str">
        <f>IFERROR(IF(0=LEN(ReferenceData!$E$566),"",ReferenceData!$E$566),"")</f>
        <v>Dynamic</v>
      </c>
      <c r="F566" t="str">
        <f ca="1">IFERROR(IF(0=LEN(ReferenceData!$F$566),"",ReferenceData!$F$566),"")</f>
        <v/>
      </c>
      <c r="G566" t="str">
        <f ca="1">IFERROR(IF(0=LEN(ReferenceData!$G$566),"",ReferenceData!$G$566),"")</f>
        <v/>
      </c>
      <c r="H566" t="str">
        <f ca="1">IFERROR(IF(0=LEN(ReferenceData!$H$566),"",ReferenceData!$H$566),"")</f>
        <v/>
      </c>
      <c r="I566" t="str">
        <f ca="1">IFERROR(IF(0=LEN(ReferenceData!$I$566),"",ReferenceData!$I$566),"")</f>
        <v/>
      </c>
      <c r="J566" t="str">
        <f ca="1">IFERROR(IF(0=LEN(ReferenceData!$J$566),"",ReferenceData!$J$566),"")</f>
        <v/>
      </c>
    </row>
    <row r="567" spans="1:10" x14ac:dyDescent="0.25">
      <c r="A567" t="str">
        <f>IFERROR(IF(0=LEN(ReferenceData!$A$567),"",ReferenceData!$A$567),"")</f>
        <v xml:space="preserve">                    Exel Industries</v>
      </c>
      <c r="B567" t="str">
        <f>IFERROR(IF(0=LEN(ReferenceData!$B$567),"",ReferenceData!$B$567),"")</f>
        <v>EXE FP Equity</v>
      </c>
      <c r="C567" t="str">
        <f>IFERROR(IF(0=LEN(ReferenceData!$C$567),"",ReferenceData!$C$567),"")</f>
        <v>F0946</v>
      </c>
      <c r="D567" t="str">
        <f>IFERROR(IF(0=LEN(ReferenceData!$D$567),"",ReferenceData!$D$567),"")</f>
        <v>TOTAL_GHG_CO2_EMISSIONS</v>
      </c>
      <c r="E567" t="str">
        <f>IFERROR(IF(0=LEN(ReferenceData!$E$567),"",ReferenceData!$E$567),"")</f>
        <v>Dynamic</v>
      </c>
      <c r="F567">
        <f ca="1">IFERROR(IF(0=LEN(ReferenceData!$F$567),"",ReferenceData!$F$567),"")</f>
        <v>2.0976101E-2</v>
      </c>
      <c r="G567">
        <f ca="1">IFERROR(IF(0=LEN(ReferenceData!$G$567),"",ReferenceData!$G$567),"")</f>
        <v>3.1502701000000001E-2</v>
      </c>
      <c r="H567">
        <f ca="1">IFERROR(IF(0=LEN(ReferenceData!$H$567),"",ReferenceData!$H$567),"")</f>
        <v>3.1496798999999999E-2</v>
      </c>
      <c r="I567" t="str">
        <f ca="1">IFERROR(IF(0=LEN(ReferenceData!$I$567),"",ReferenceData!$I$567),"")</f>
        <v/>
      </c>
      <c r="J567" t="str">
        <f ca="1">IFERROR(IF(0=LEN(ReferenceData!$J$567),"",ReferenceData!$J$567),"")</f>
        <v/>
      </c>
    </row>
    <row r="568" spans="1:10" x14ac:dyDescent="0.25">
      <c r="A568" t="str">
        <f>IFERROR(IF(0=LEN(ReferenceData!$A$568),"",ReferenceData!$A$568),"")</f>
        <v xml:space="preserve">                    Escorts Kubota Ltd</v>
      </c>
      <c r="B568" t="str">
        <f>IFERROR(IF(0=LEN(ReferenceData!$B$568),"",ReferenceData!$B$568),"")</f>
        <v>ESCORTS IN Equity</v>
      </c>
      <c r="C568" t="str">
        <f>IFERROR(IF(0=LEN(ReferenceData!$C$568),"",ReferenceData!$C$568),"")</f>
        <v>F0946</v>
      </c>
      <c r="D568" t="str">
        <f>IFERROR(IF(0=LEN(ReferenceData!$D$568),"",ReferenceData!$D$568),"")</f>
        <v>TOTAL_GHG_CO2_EMISSIONS</v>
      </c>
      <c r="E568" t="str">
        <f>IFERROR(IF(0=LEN(ReferenceData!$E$568),"",ReferenceData!$E$568),"")</f>
        <v>Dynamic</v>
      </c>
      <c r="F568" t="str">
        <f ca="1">IFERROR(IF(0=LEN(ReferenceData!$F$568),"",ReferenceData!$F$568),"")</f>
        <v/>
      </c>
      <c r="G568">
        <f ca="1">IFERROR(IF(0=LEN(ReferenceData!$G$568),"",ReferenceData!$G$568),"")</f>
        <v>4.8518699999999998E-2</v>
      </c>
      <c r="H568">
        <f ca="1">IFERROR(IF(0=LEN(ReferenceData!$H$568),"",ReferenceData!$H$568),"")</f>
        <v>7.0742599000000003E-2</v>
      </c>
      <c r="I568">
        <f ca="1">IFERROR(IF(0=LEN(ReferenceData!$I$568),"",ReferenceData!$I$568),"")</f>
        <v>6.7957497000000006E-2</v>
      </c>
      <c r="J568">
        <f ca="1">IFERROR(IF(0=LEN(ReferenceData!$J$568),"",ReferenceData!$J$568),"")</f>
        <v>6.5760299999999994E-2</v>
      </c>
    </row>
    <row r="569" spans="1:10" x14ac:dyDescent="0.25">
      <c r="A569" t="str">
        <f>IFERROR(IF(0=LEN(ReferenceData!$A$569),"",ReferenceData!$A$569),"")</f>
        <v xml:space="preserve">                    Ferreycorp SAA</v>
      </c>
      <c r="B569" t="str">
        <f>IFERROR(IF(0=LEN(ReferenceData!$B$569),"",ReferenceData!$B$569),"")</f>
        <v>FERREYC1 PE Equity</v>
      </c>
      <c r="C569" t="str">
        <f>IFERROR(IF(0=LEN(ReferenceData!$C$569),"",ReferenceData!$C$569),"")</f>
        <v>F0946</v>
      </c>
      <c r="D569" t="str">
        <f>IFERROR(IF(0=LEN(ReferenceData!$D$569),"",ReferenceData!$D$569),"")</f>
        <v>TOTAL_GHG_CO2_EMISSIONS</v>
      </c>
      <c r="E569" t="str">
        <f>IFERROR(IF(0=LEN(ReferenceData!$E$569),"",ReferenceData!$E$569),"")</f>
        <v>Dynamic</v>
      </c>
      <c r="F569">
        <f ca="1">IFERROR(IF(0=LEN(ReferenceData!$F$569),"",ReferenceData!$F$569),"")</f>
        <v>3.6702599999999998E-3</v>
      </c>
      <c r="G569">
        <f ca="1">IFERROR(IF(0=LEN(ReferenceData!$G$569),"",ReferenceData!$G$569),"")</f>
        <v>3.33665E-3</v>
      </c>
      <c r="H569">
        <f ca="1">IFERROR(IF(0=LEN(ReferenceData!$H$569),"",ReferenceData!$H$569),"")</f>
        <v>2.4981999999999999E-3</v>
      </c>
      <c r="I569">
        <f ca="1">IFERROR(IF(0=LEN(ReferenceData!$I$569),"",ReferenceData!$I$569),"")</f>
        <v>2.2721999999999998E-3</v>
      </c>
      <c r="J569">
        <f ca="1">IFERROR(IF(0=LEN(ReferenceData!$J$569),"",ReferenceData!$J$569),"")</f>
        <v>2.69448E-3</v>
      </c>
    </row>
    <row r="570" spans="1:10" x14ac:dyDescent="0.25">
      <c r="A570" t="str">
        <f>IFERROR(IF(0=LEN(ReferenceData!$A$570),"",ReferenceData!$A$570),"")</f>
        <v xml:space="preserve">                    Finning International Inc</v>
      </c>
      <c r="B570" t="str">
        <f>IFERROR(IF(0=LEN(ReferenceData!$B$570),"",ReferenceData!$B$570),"")</f>
        <v>FTT CN Equity</v>
      </c>
      <c r="C570" t="str">
        <f>IFERROR(IF(0=LEN(ReferenceData!$C$570),"",ReferenceData!$C$570),"")</f>
        <v>F0946</v>
      </c>
      <c r="D570" t="str">
        <f>IFERROR(IF(0=LEN(ReferenceData!$D$570),"",ReferenceData!$D$570),"")</f>
        <v>TOTAL_GHG_CO2_EMISSIONS</v>
      </c>
      <c r="E570" t="str">
        <f>IFERROR(IF(0=LEN(ReferenceData!$E$570),"",ReferenceData!$E$570),"")</f>
        <v>Dynamic</v>
      </c>
      <c r="F570">
        <f ca="1">IFERROR(IF(0=LEN(ReferenceData!$F$570),"",ReferenceData!$F$570),"")</f>
        <v>8.0028000000000002E-2</v>
      </c>
      <c r="G570">
        <f ca="1">IFERROR(IF(0=LEN(ReferenceData!$G$570),"",ReferenceData!$G$570),"")</f>
        <v>9.4232001999999995E-2</v>
      </c>
      <c r="H570">
        <f ca="1">IFERROR(IF(0=LEN(ReferenceData!$H$570),"",ReferenceData!$H$570),"")</f>
        <v>8.0902000000000002E-2</v>
      </c>
      <c r="I570">
        <f ca="1">IFERROR(IF(0=LEN(ReferenceData!$I$570),"",ReferenceData!$I$570),"")</f>
        <v>0.100559998</v>
      </c>
      <c r="J570">
        <f ca="1">IFERROR(IF(0=LEN(ReferenceData!$J$570),"",ReferenceData!$J$570),"")</f>
        <v>0.104755997</v>
      </c>
    </row>
    <row r="571" spans="1:10" x14ac:dyDescent="0.25">
      <c r="A571" t="str">
        <f>IFERROR(IF(0=LEN(ReferenceData!$A$571),"",ReferenceData!$A$571),"")</f>
        <v xml:space="preserve">                    First Tractor Co Ltd</v>
      </c>
      <c r="B571" t="str">
        <f>IFERROR(IF(0=LEN(ReferenceData!$B$571),"",ReferenceData!$B$571),"")</f>
        <v>601038 CH Equity</v>
      </c>
      <c r="C571" t="str">
        <f>IFERROR(IF(0=LEN(ReferenceData!$C$571),"",ReferenceData!$C$571),"")</f>
        <v>F0946</v>
      </c>
      <c r="D571" t="str">
        <f>IFERROR(IF(0=LEN(ReferenceData!$D$571),"",ReferenceData!$D$571),"")</f>
        <v>TOTAL_GHG_CO2_EMISSIONS</v>
      </c>
      <c r="E571" t="str">
        <f>IFERROR(IF(0=LEN(ReferenceData!$E$571),"",ReferenceData!$E$571),"")</f>
        <v>Dynamic</v>
      </c>
      <c r="F571" t="str">
        <f ca="1">IFERROR(IF(0=LEN(ReferenceData!$F$571),"",ReferenceData!$F$571),"")</f>
        <v/>
      </c>
      <c r="G571">
        <f ca="1">IFERROR(IF(0=LEN(ReferenceData!$G$571),"",ReferenceData!$G$571),"")</f>
        <v>0.14616000400000001</v>
      </c>
      <c r="H571">
        <f ca="1">IFERROR(IF(0=LEN(ReferenceData!$H$571),"",ReferenceData!$H$571),"")</f>
        <v>0.139703995</v>
      </c>
      <c r="I571">
        <f ca="1">IFERROR(IF(0=LEN(ReferenceData!$I$571),"",ReferenceData!$I$571),"")</f>
        <v>0.117144997</v>
      </c>
      <c r="J571">
        <f ca="1">IFERROR(IF(0=LEN(ReferenceData!$J$571),"",ReferenceData!$J$571),"")</f>
        <v>0.142546005</v>
      </c>
    </row>
    <row r="572" spans="1:10" x14ac:dyDescent="0.25">
      <c r="A572" t="str">
        <f>IFERROR(IF(0=LEN(ReferenceData!$A$572),"",ReferenceData!$A$572),"")</f>
        <v xml:space="preserve">                    FLSmidth &amp; Co A/S</v>
      </c>
      <c r="B572" t="str">
        <f>IFERROR(IF(0=LEN(ReferenceData!$B$572),"",ReferenceData!$B$572),"")</f>
        <v>FLS DC Equity</v>
      </c>
      <c r="C572" t="str">
        <f>IFERROR(IF(0=LEN(ReferenceData!$C$572),"",ReferenceData!$C$572),"")</f>
        <v>F0946</v>
      </c>
      <c r="D572" t="str">
        <f>IFERROR(IF(0=LEN(ReferenceData!$D$572),"",ReferenceData!$D$572),"")</f>
        <v>TOTAL_GHG_CO2_EMISSIONS</v>
      </c>
      <c r="E572" t="str">
        <f>IFERROR(IF(0=LEN(ReferenceData!$E$572),"",ReferenceData!$E$572),"")</f>
        <v>Dynamic</v>
      </c>
      <c r="F572">
        <f ca="1">IFERROR(IF(0=LEN(ReferenceData!$F$572),"",ReferenceData!$F$572),"")</f>
        <v>3.6507998999999999E-2</v>
      </c>
      <c r="G572">
        <f ca="1">IFERROR(IF(0=LEN(ReferenceData!$G$572),"",ReferenceData!$G$572),"")</f>
        <v>3.7830002000000001E-2</v>
      </c>
      <c r="H572">
        <f ca="1">IFERROR(IF(0=LEN(ReferenceData!$H$572),"",ReferenceData!$H$572),"")</f>
        <v>3.6957499999999997E-2</v>
      </c>
      <c r="I572">
        <f ca="1">IFERROR(IF(0=LEN(ReferenceData!$I$572),"",ReferenceData!$I$572),"")</f>
        <v>5.0745998E-2</v>
      </c>
      <c r="J572">
        <f ca="1">IFERROR(IF(0=LEN(ReferenceData!$J$572),"",ReferenceData!$J$572),"")</f>
        <v>6.0430999999999999E-2</v>
      </c>
    </row>
    <row r="573" spans="1:10" x14ac:dyDescent="0.25">
      <c r="A573" t="str">
        <f>IFERROR(IF(0=LEN(ReferenceData!$A$573),"",ReferenceData!$A$573),"")</f>
        <v xml:space="preserve">                    Weichai Lovol Heavy Industry C</v>
      </c>
      <c r="B573" t="str">
        <f>IFERROR(IF(0=LEN(ReferenceData!$B$573),"",ReferenceData!$B$573),"")</f>
        <v>FLIHIZ CH Equity</v>
      </c>
      <c r="C573" t="str">
        <f>IFERROR(IF(0=LEN(ReferenceData!$C$573),"",ReferenceData!$C$573),"")</f>
        <v>F0946</v>
      </c>
      <c r="D573" t="str">
        <f>IFERROR(IF(0=LEN(ReferenceData!$D$573),"",ReferenceData!$D$573),"")</f>
        <v>TOTAL_GHG_CO2_EMISSIONS</v>
      </c>
      <c r="E573" t="str">
        <f>IFERROR(IF(0=LEN(ReferenceData!$E$573),"",ReferenceData!$E$573),"")</f>
        <v>Dynamic</v>
      </c>
      <c r="F573" t="str">
        <f ca="1">IFERROR(IF(0=LEN(ReferenceData!$F$573),"",ReferenceData!$F$573),"")</f>
        <v/>
      </c>
      <c r="G573" t="str">
        <f ca="1">IFERROR(IF(0=LEN(ReferenceData!$G$573),"",ReferenceData!$G$573),"")</f>
        <v/>
      </c>
      <c r="H573" t="str">
        <f ca="1">IFERROR(IF(0=LEN(ReferenceData!$H$573),"",ReferenceData!$H$573),"")</f>
        <v/>
      </c>
      <c r="I573" t="str">
        <f ca="1">IFERROR(IF(0=LEN(ReferenceData!$I$573),"",ReferenceData!$I$573),"")</f>
        <v/>
      </c>
      <c r="J573" t="str">
        <f ca="1">IFERROR(IF(0=LEN(ReferenceData!$J$573),"",ReferenceData!$J$573),"")</f>
        <v/>
      </c>
    </row>
    <row r="574" spans="1:10" x14ac:dyDescent="0.25">
      <c r="A574" t="str">
        <f>IFERROR(IF(0=LEN(ReferenceData!$A$574),"",ReferenceData!$A$574),"")</f>
        <v xml:space="preserve">                    Furukawa Co Ltd</v>
      </c>
      <c r="B574" t="str">
        <f>IFERROR(IF(0=LEN(ReferenceData!$B$574),"",ReferenceData!$B$574),"")</f>
        <v>5715 JP Equity</v>
      </c>
      <c r="C574" t="str">
        <f>IFERROR(IF(0=LEN(ReferenceData!$C$574),"",ReferenceData!$C$574),"")</f>
        <v>F0946</v>
      </c>
      <c r="D574" t="str">
        <f>IFERROR(IF(0=LEN(ReferenceData!$D$574),"",ReferenceData!$D$574),"")</f>
        <v>TOTAL_GHG_CO2_EMISSIONS</v>
      </c>
      <c r="E574" t="str">
        <f>IFERROR(IF(0=LEN(ReferenceData!$E$574),"",ReferenceData!$E$574),"")</f>
        <v>Dynamic</v>
      </c>
      <c r="F574" t="str">
        <f ca="1">IFERROR(IF(0=LEN(ReferenceData!$F$574),"",ReferenceData!$F$574),"")</f>
        <v/>
      </c>
      <c r="G574">
        <f ca="1">IFERROR(IF(0=LEN(ReferenceData!$G$574),"",ReferenceData!$G$574),"")</f>
        <v>2.2103999999999999E-2</v>
      </c>
      <c r="H574">
        <f ca="1">IFERROR(IF(0=LEN(ReferenceData!$H$574),"",ReferenceData!$H$574),"")</f>
        <v>2.0903000000000001E-2</v>
      </c>
      <c r="I574">
        <f ca="1">IFERROR(IF(0=LEN(ReferenceData!$I$574),"",ReferenceData!$I$574),"")</f>
        <v>2.1930000000000002E-2</v>
      </c>
      <c r="J574">
        <f ca="1">IFERROR(IF(0=LEN(ReferenceData!$J$574),"",ReferenceData!$J$574),"")</f>
        <v>2.5999999999999999E-2</v>
      </c>
    </row>
    <row r="575" spans="1:10" x14ac:dyDescent="0.25">
      <c r="A575" t="str">
        <f>IFERROR(IF(0=LEN(ReferenceData!$A$575),"",ReferenceData!$A$575),"")</f>
        <v xml:space="preserve">                    Gecoss Corp</v>
      </c>
      <c r="B575" t="str">
        <f>IFERROR(IF(0=LEN(ReferenceData!$B$575),"",ReferenceData!$B$575),"")</f>
        <v>9991 JP Equity</v>
      </c>
      <c r="C575" t="str">
        <f>IFERROR(IF(0=LEN(ReferenceData!$C$575),"",ReferenceData!$C$575),"")</f>
        <v>F0946</v>
      </c>
      <c r="D575" t="str">
        <f>IFERROR(IF(0=LEN(ReferenceData!$D$575),"",ReferenceData!$D$575),"")</f>
        <v>TOTAL_GHG_CO2_EMISSIONS</v>
      </c>
      <c r="E575" t="str">
        <f>IFERROR(IF(0=LEN(ReferenceData!$E$575),"",ReferenceData!$E$575),"")</f>
        <v>Dynamic</v>
      </c>
      <c r="F575" t="str">
        <f ca="1">IFERROR(IF(0=LEN(ReferenceData!$F$575),"",ReferenceData!$F$575),"")</f>
        <v/>
      </c>
      <c r="G575" t="str">
        <f ca="1">IFERROR(IF(0=LEN(ReferenceData!$G$575),"",ReferenceData!$G$575),"")</f>
        <v/>
      </c>
      <c r="H575" t="str">
        <f ca="1">IFERROR(IF(0=LEN(ReferenceData!$H$575),"",ReferenceData!$H$575),"")</f>
        <v/>
      </c>
      <c r="I575" t="str">
        <f ca="1">IFERROR(IF(0=LEN(ReferenceData!$I$575),"",ReferenceData!$I$575),"")</f>
        <v/>
      </c>
      <c r="J575" t="str">
        <f ca="1">IFERROR(IF(0=LEN(ReferenceData!$J$575),"",ReferenceData!$J$575),"")</f>
        <v/>
      </c>
    </row>
    <row r="576" spans="1:10" x14ac:dyDescent="0.25">
      <c r="A576" t="str">
        <f>IFERROR(IF(0=LEN(ReferenceData!$A$576),"",ReferenceData!$A$576),"")</f>
        <v xml:space="preserve">                    General de Alquiler de Maquina</v>
      </c>
      <c r="B576" t="str">
        <f>IFERROR(IF(0=LEN(ReferenceData!$B$576),"",ReferenceData!$B$576),"")</f>
        <v>GAM SM Equity</v>
      </c>
      <c r="C576" t="str">
        <f>IFERROR(IF(0=LEN(ReferenceData!$C$576),"",ReferenceData!$C$576),"")</f>
        <v>F0946</v>
      </c>
      <c r="D576" t="str">
        <f>IFERROR(IF(0=LEN(ReferenceData!$D$576),"",ReferenceData!$D$576),"")</f>
        <v>TOTAL_GHG_CO2_EMISSIONS</v>
      </c>
      <c r="E576" t="str">
        <f>IFERROR(IF(0=LEN(ReferenceData!$E$576),"",ReferenceData!$E$576),"")</f>
        <v>Dynamic</v>
      </c>
      <c r="F576">
        <f ca="1">IFERROR(IF(0=LEN(ReferenceData!$F$576),"",ReferenceData!$F$576),"")</f>
        <v>7.7679999999999997E-3</v>
      </c>
      <c r="G576">
        <f ca="1">IFERROR(IF(0=LEN(ReferenceData!$G$576),"",ReferenceData!$G$576),"")</f>
        <v>9.1149999999999998E-3</v>
      </c>
      <c r="H576">
        <f ca="1">IFERROR(IF(0=LEN(ReferenceData!$H$576),"",ReferenceData!$H$576),"")</f>
        <v>7.0989499999999997E-3</v>
      </c>
      <c r="I576">
        <f ca="1">IFERROR(IF(0=LEN(ReferenceData!$I$576),"",ReferenceData!$I$576),"")</f>
        <v>9.2130000000000007E-3</v>
      </c>
      <c r="J576" t="str">
        <f ca="1">IFERROR(IF(0=LEN(ReferenceData!$J$576),"",ReferenceData!$J$576),"")</f>
        <v/>
      </c>
    </row>
    <row r="577" spans="1:10" x14ac:dyDescent="0.25">
      <c r="A577" t="str">
        <f>IFERROR(IF(0=LEN(ReferenceData!$A$577),"",ReferenceData!$A$577),"")</f>
        <v xml:space="preserve">                    Gifore Agricultural Science &amp;</v>
      </c>
      <c r="B577" t="str">
        <f>IFERROR(IF(0=LEN(ReferenceData!$B$577),"",ReferenceData!$B$577),"")</f>
        <v>300022 CH Equity</v>
      </c>
      <c r="C577" t="str">
        <f>IFERROR(IF(0=LEN(ReferenceData!$C$577),"",ReferenceData!$C$577),"")</f>
        <v>F0946</v>
      </c>
      <c r="D577" t="str">
        <f>IFERROR(IF(0=LEN(ReferenceData!$D$577),"",ReferenceData!$D$577),"")</f>
        <v>TOTAL_GHG_CO2_EMISSIONS</v>
      </c>
      <c r="E577" t="str">
        <f>IFERROR(IF(0=LEN(ReferenceData!$E$577),"",ReferenceData!$E$577),"")</f>
        <v>Dynamic</v>
      </c>
      <c r="F577" t="str">
        <f ca="1">IFERROR(IF(0=LEN(ReferenceData!$F$577),"",ReferenceData!$F$577),"")</f>
        <v/>
      </c>
      <c r="G577" t="str">
        <f ca="1">IFERROR(IF(0=LEN(ReferenceData!$G$577),"",ReferenceData!$G$577),"")</f>
        <v/>
      </c>
      <c r="H577" t="str">
        <f ca="1">IFERROR(IF(0=LEN(ReferenceData!$H$577),"",ReferenceData!$H$577),"")</f>
        <v/>
      </c>
      <c r="I577" t="str">
        <f ca="1">IFERROR(IF(0=LEN(ReferenceData!$I$577),"",ReferenceData!$I$577),"")</f>
        <v/>
      </c>
      <c r="J577" t="str">
        <f ca="1">IFERROR(IF(0=LEN(ReferenceData!$J$577),"",ReferenceData!$J$577),"")</f>
        <v/>
      </c>
    </row>
    <row r="578" spans="1:10" x14ac:dyDescent="0.25">
      <c r="A578" t="str">
        <f>IFERROR(IF(0=LEN(ReferenceData!$A$578),"",ReferenceData!$A$578),"")</f>
        <v xml:space="preserve">                    Guangxi Liugong Machinery Co L</v>
      </c>
      <c r="B578" t="str">
        <f>IFERROR(IF(0=LEN(ReferenceData!$B$578),"",ReferenceData!$B$578),"")</f>
        <v>000528 CH Equity</v>
      </c>
      <c r="C578" t="str">
        <f>IFERROR(IF(0=LEN(ReferenceData!$C$578),"",ReferenceData!$C$578),"")</f>
        <v>F0946</v>
      </c>
      <c r="D578" t="str">
        <f>IFERROR(IF(0=LEN(ReferenceData!$D$578),"",ReferenceData!$D$578),"")</f>
        <v>TOTAL_GHG_CO2_EMISSIONS</v>
      </c>
      <c r="E578" t="str">
        <f>IFERROR(IF(0=LEN(ReferenceData!$E$578),"",ReferenceData!$E$578),"")</f>
        <v>Dynamic</v>
      </c>
      <c r="F578" t="str">
        <f ca="1">IFERROR(IF(0=LEN(ReferenceData!$F$578),"",ReferenceData!$F$578),"")</f>
        <v/>
      </c>
      <c r="G578" t="str">
        <f ca="1">IFERROR(IF(0=LEN(ReferenceData!$G$578),"",ReferenceData!$G$578),"")</f>
        <v/>
      </c>
      <c r="H578" t="str">
        <f ca="1">IFERROR(IF(0=LEN(ReferenceData!$H$578),"",ReferenceData!$H$578),"")</f>
        <v/>
      </c>
      <c r="I578" t="str">
        <f ca="1">IFERROR(IF(0=LEN(ReferenceData!$I$578),"",ReferenceData!$I$578),"")</f>
        <v/>
      </c>
      <c r="J578" t="str">
        <f ca="1">IFERROR(IF(0=LEN(ReferenceData!$J$578),"",ReferenceData!$J$578),"")</f>
        <v/>
      </c>
    </row>
    <row r="579" spans="1:10" x14ac:dyDescent="0.25">
      <c r="A579" t="str">
        <f>IFERROR(IF(0=LEN(ReferenceData!$A$579),"",ReferenceData!$A$579),"")</f>
        <v xml:space="preserve">                    H&amp;E Equipment Services Inc</v>
      </c>
      <c r="B579" t="str">
        <f>IFERROR(IF(0=LEN(ReferenceData!$B$579),"",ReferenceData!$B$579),"")</f>
        <v>HEES US Equity</v>
      </c>
      <c r="C579" t="str">
        <f>IFERROR(IF(0=LEN(ReferenceData!$C$579),"",ReferenceData!$C$579),"")</f>
        <v>F0946</v>
      </c>
      <c r="D579" t="str">
        <f>IFERROR(IF(0=LEN(ReferenceData!$D$579),"",ReferenceData!$D$579),"")</f>
        <v>TOTAL_GHG_CO2_EMISSIONS</v>
      </c>
      <c r="E579" t="str">
        <f>IFERROR(IF(0=LEN(ReferenceData!$E$579),"",ReferenceData!$E$579),"")</f>
        <v>Dynamic</v>
      </c>
      <c r="F579" t="str">
        <f ca="1">IFERROR(IF(0=LEN(ReferenceData!$F$579),"",ReferenceData!$F$579),"")</f>
        <v/>
      </c>
      <c r="G579" t="str">
        <f ca="1">IFERROR(IF(0=LEN(ReferenceData!$G$579),"",ReferenceData!$G$579),"")</f>
        <v/>
      </c>
      <c r="H579" t="str">
        <f ca="1">IFERROR(IF(0=LEN(ReferenceData!$H$579),"",ReferenceData!$H$579),"")</f>
        <v/>
      </c>
      <c r="I579" t="str">
        <f ca="1">IFERROR(IF(0=LEN(ReferenceData!$I$579),"",ReferenceData!$I$579),"")</f>
        <v/>
      </c>
      <c r="J579" t="str">
        <f ca="1">IFERROR(IF(0=LEN(ReferenceData!$J$579),"",ReferenceData!$J$579),"")</f>
        <v/>
      </c>
    </row>
    <row r="580" spans="1:10" x14ac:dyDescent="0.25">
      <c r="A580" t="str">
        <f>IFERROR(IF(0=LEN(ReferenceData!$A$580),"",ReferenceData!$A$580),"")</f>
        <v xml:space="preserve">                    Haulotte Group SA</v>
      </c>
      <c r="B580" t="str">
        <f>IFERROR(IF(0=LEN(ReferenceData!$B$580),"",ReferenceData!$B$580),"")</f>
        <v>PIG FP Equity</v>
      </c>
      <c r="C580" t="str">
        <f>IFERROR(IF(0=LEN(ReferenceData!$C$580),"",ReferenceData!$C$580),"")</f>
        <v>F0946</v>
      </c>
      <c r="D580" t="str">
        <f>IFERROR(IF(0=LEN(ReferenceData!$D$580),"",ReferenceData!$D$580),"")</f>
        <v>TOTAL_GHG_CO2_EMISSIONS</v>
      </c>
      <c r="E580" t="str">
        <f>IFERROR(IF(0=LEN(ReferenceData!$E$580),"",ReferenceData!$E$580),"")</f>
        <v>Dynamic</v>
      </c>
      <c r="F580">
        <f ca="1">IFERROR(IF(0=LEN(ReferenceData!$F$580),"",ReferenceData!$F$580),"")</f>
        <v>1.0007E-2</v>
      </c>
      <c r="G580">
        <f ca="1">IFERROR(IF(0=LEN(ReferenceData!$G$580),"",ReferenceData!$G$580),"")</f>
        <v>5.6620000000000004E-3</v>
      </c>
      <c r="H580">
        <f ca="1">IFERROR(IF(0=LEN(ReferenceData!$H$580),"",ReferenceData!$H$580),"")</f>
        <v>3.3040000000000001E-3</v>
      </c>
      <c r="I580">
        <f ca="1">IFERROR(IF(0=LEN(ReferenceData!$I$580),"",ReferenceData!$I$580),"")</f>
        <v>6.5709999999999996E-3</v>
      </c>
      <c r="J580">
        <f ca="1">IFERROR(IF(0=LEN(ReferenceData!$J$580),"",ReferenceData!$J$580),"")</f>
        <v>7.5510000000000004E-3</v>
      </c>
    </row>
    <row r="581" spans="1:10" x14ac:dyDescent="0.25">
      <c r="A581" t="str">
        <f>IFERROR(IF(0=LEN(ReferenceData!$A$581),"",ReferenceData!$A$581),"")</f>
        <v xml:space="preserve">                    Herc Holdings Inc</v>
      </c>
      <c r="B581" t="str">
        <f>IFERROR(IF(0=LEN(ReferenceData!$B$581),"",ReferenceData!$B$581),"")</f>
        <v>HRI US Equity</v>
      </c>
      <c r="C581" t="str">
        <f>IFERROR(IF(0=LEN(ReferenceData!$C$581),"",ReferenceData!$C$581),"")</f>
        <v>F0946</v>
      </c>
      <c r="D581" t="str">
        <f>IFERROR(IF(0=LEN(ReferenceData!$D$581),"",ReferenceData!$D$581),"")</f>
        <v>TOTAL_GHG_CO2_EMISSIONS</v>
      </c>
      <c r="E581" t="str">
        <f>IFERROR(IF(0=LEN(ReferenceData!$E$581),"",ReferenceData!$E$581),"")</f>
        <v>Dynamic</v>
      </c>
      <c r="F581" t="str">
        <f ca="1">IFERROR(IF(0=LEN(ReferenceData!$F$581),"",ReferenceData!$F$581),"")</f>
        <v/>
      </c>
      <c r="G581" t="str">
        <f ca="1">IFERROR(IF(0=LEN(ReferenceData!$G$581),"",ReferenceData!$G$581),"")</f>
        <v/>
      </c>
      <c r="H581" t="str">
        <f ca="1">IFERROR(IF(0=LEN(ReferenceData!$H$581),"",ReferenceData!$H$581),"")</f>
        <v/>
      </c>
      <c r="I581" t="str">
        <f ca="1">IFERROR(IF(0=LEN(ReferenceData!$I$581),"",ReferenceData!$I$581),"")</f>
        <v/>
      </c>
      <c r="J581" t="str">
        <f ca="1">IFERROR(IF(0=LEN(ReferenceData!$J$581),"",ReferenceData!$J$581),"")</f>
        <v/>
      </c>
    </row>
    <row r="582" spans="1:10" x14ac:dyDescent="0.25">
      <c r="A582" t="str">
        <f>IFERROR(IF(0=LEN(ReferenceData!$A$582),"",ReferenceData!$A$582),"")</f>
        <v xml:space="preserve">                    Hexindo Adiperkasa Tbk PT</v>
      </c>
      <c r="B582" t="str">
        <f>IFERROR(IF(0=LEN(ReferenceData!$B$582),"",ReferenceData!$B$582),"")</f>
        <v>HEXA IJ Equity</v>
      </c>
      <c r="C582" t="str">
        <f>IFERROR(IF(0=LEN(ReferenceData!$C$582),"",ReferenceData!$C$582),"")</f>
        <v>F0946</v>
      </c>
      <c r="D582" t="str">
        <f>IFERROR(IF(0=LEN(ReferenceData!$D$582),"",ReferenceData!$D$582),"")</f>
        <v>TOTAL_GHG_CO2_EMISSIONS</v>
      </c>
      <c r="E582" t="str">
        <f>IFERROR(IF(0=LEN(ReferenceData!$E$582),"",ReferenceData!$E$582),"")</f>
        <v>Dynamic</v>
      </c>
      <c r="F582" t="str">
        <f ca="1">IFERROR(IF(0=LEN(ReferenceData!$F$582),"",ReferenceData!$F$582),"")</f>
        <v/>
      </c>
      <c r="G582" t="str">
        <f ca="1">IFERROR(IF(0=LEN(ReferenceData!$G$582),"",ReferenceData!$G$582),"")</f>
        <v/>
      </c>
      <c r="H582" t="str">
        <f ca="1">IFERROR(IF(0=LEN(ReferenceData!$H$582),"",ReferenceData!$H$582),"")</f>
        <v/>
      </c>
      <c r="I582" t="str">
        <f ca="1">IFERROR(IF(0=LEN(ReferenceData!$I$582),"",ReferenceData!$I$582),"")</f>
        <v/>
      </c>
      <c r="J582" t="str">
        <f ca="1">IFERROR(IF(0=LEN(ReferenceData!$J$582),"",ReferenceData!$J$582),"")</f>
        <v/>
      </c>
    </row>
    <row r="583" spans="1:10" x14ac:dyDescent="0.25">
      <c r="A583" t="str">
        <f>IFERROR(IF(0=LEN(ReferenceData!$A$583),"",ReferenceData!$A$583),"")</f>
        <v xml:space="preserve">                    Hitachi Construction Machinery</v>
      </c>
      <c r="B583" t="str">
        <f>IFERROR(IF(0=LEN(ReferenceData!$B$583),"",ReferenceData!$B$583),"")</f>
        <v>6305 JP Equity</v>
      </c>
      <c r="C583" t="str">
        <f>IFERROR(IF(0=LEN(ReferenceData!$C$583),"",ReferenceData!$C$583),"")</f>
        <v>F0946</v>
      </c>
      <c r="D583" t="str">
        <f>IFERROR(IF(0=LEN(ReferenceData!$D$583),"",ReferenceData!$D$583),"")</f>
        <v>TOTAL_GHG_CO2_EMISSIONS</v>
      </c>
      <c r="E583" t="str">
        <f>IFERROR(IF(0=LEN(ReferenceData!$E$583),"",ReferenceData!$E$583),"")</f>
        <v>Dynamic</v>
      </c>
      <c r="F583" t="str">
        <f ca="1">IFERROR(IF(0=LEN(ReferenceData!$F$583),"",ReferenceData!$F$583),"")</f>
        <v/>
      </c>
      <c r="G583">
        <f ca="1">IFERROR(IF(0=LEN(ReferenceData!$G$583),"",ReferenceData!$G$583),"")</f>
        <v>0.277096008</v>
      </c>
      <c r="H583">
        <f ca="1">IFERROR(IF(0=LEN(ReferenceData!$H$583),"",ReferenceData!$H$583),"")</f>
        <v>0.27520498700000001</v>
      </c>
      <c r="I583">
        <f ca="1">IFERROR(IF(0=LEN(ReferenceData!$I$583),"",ReferenceData!$I$583),"")</f>
        <v>0.32481900000000002</v>
      </c>
      <c r="J583">
        <f ca="1">IFERROR(IF(0=LEN(ReferenceData!$J$583),"",ReferenceData!$J$583),"")</f>
        <v>0.31961898799999999</v>
      </c>
    </row>
    <row r="584" spans="1:10" x14ac:dyDescent="0.25">
      <c r="A584" t="str">
        <f>IFERROR(IF(0=LEN(ReferenceData!$A$584),"",ReferenceData!$A$584),"")</f>
        <v xml:space="preserve">                    Hyundai Doosan Infracore Co Lt</v>
      </c>
      <c r="B584" t="str">
        <f>IFERROR(IF(0=LEN(ReferenceData!$B$584),"",ReferenceData!$B$584),"")</f>
        <v>042670 KS Equity</v>
      </c>
      <c r="C584" t="str">
        <f>IFERROR(IF(0=LEN(ReferenceData!$C$584),"",ReferenceData!$C$584),"")</f>
        <v>F0946</v>
      </c>
      <c r="D584" t="str">
        <f>IFERROR(IF(0=LEN(ReferenceData!$D$584),"",ReferenceData!$D$584),"")</f>
        <v>TOTAL_GHG_CO2_EMISSIONS</v>
      </c>
      <c r="E584" t="str">
        <f>IFERROR(IF(0=LEN(ReferenceData!$E$584),"",ReferenceData!$E$584),"")</f>
        <v>Dynamic</v>
      </c>
      <c r="F584" t="str">
        <f ca="1">IFERROR(IF(0=LEN(ReferenceData!$F$584),"",ReferenceData!$F$584),"")</f>
        <v/>
      </c>
      <c r="G584">
        <f ca="1">IFERROR(IF(0=LEN(ReferenceData!$G$584),"",ReferenceData!$G$584),"")</f>
        <v>0.13145399499999999</v>
      </c>
      <c r="H584">
        <f ca="1">IFERROR(IF(0=LEN(ReferenceData!$H$584),"",ReferenceData!$H$584),"")</f>
        <v>0.123889</v>
      </c>
      <c r="I584">
        <f ca="1">IFERROR(IF(0=LEN(ReferenceData!$I$584),"",ReferenceData!$I$584),"")</f>
        <v>0.141399002</v>
      </c>
      <c r="J584">
        <f ca="1">IFERROR(IF(0=LEN(ReferenceData!$J$584),"",ReferenceData!$J$584),"")</f>
        <v>0.14011300700000001</v>
      </c>
    </row>
    <row r="585" spans="1:10" x14ac:dyDescent="0.25">
      <c r="A585" t="str">
        <f>IFERROR(IF(0=LEN(ReferenceData!$A$585),"",ReferenceData!$A$585),"")</f>
        <v xml:space="preserve">                    JC Bamford Excavators Ltd</v>
      </c>
      <c r="B585" t="str">
        <f>IFERROR(IF(0=LEN(ReferenceData!$B$585),"",ReferenceData!$B$585),"")</f>
        <v>1324730Z LN Equity</v>
      </c>
      <c r="C585" t="str">
        <f>IFERROR(IF(0=LEN(ReferenceData!$C$585),"",ReferenceData!$C$585),"")</f>
        <v>F0946</v>
      </c>
      <c r="D585" t="str">
        <f>IFERROR(IF(0=LEN(ReferenceData!$D$585),"",ReferenceData!$D$585),"")</f>
        <v>TOTAL_GHG_CO2_EMISSIONS</v>
      </c>
      <c r="E585" t="str">
        <f>IFERROR(IF(0=LEN(ReferenceData!$E$585),"",ReferenceData!$E$585),"")</f>
        <v>Dynamic</v>
      </c>
      <c r="F585" t="str">
        <f ca="1">IFERROR(IF(0=LEN(ReferenceData!$F$585),"",ReferenceData!$F$585),"")</f>
        <v/>
      </c>
      <c r="G585" t="str">
        <f ca="1">IFERROR(IF(0=LEN(ReferenceData!$G$585),"",ReferenceData!$G$585),"")</f>
        <v/>
      </c>
      <c r="H585" t="str">
        <f ca="1">IFERROR(IF(0=LEN(ReferenceData!$H$585),"",ReferenceData!$H$585),"")</f>
        <v/>
      </c>
      <c r="I585" t="str">
        <f ca="1">IFERROR(IF(0=LEN(ReferenceData!$I$585),"",ReferenceData!$I$585),"")</f>
        <v/>
      </c>
      <c r="J585" t="str">
        <f ca="1">IFERROR(IF(0=LEN(ReferenceData!$J$585),"",ReferenceData!$J$585),"")</f>
        <v/>
      </c>
    </row>
    <row r="586" spans="1:10" x14ac:dyDescent="0.25">
      <c r="A586" t="str">
        <f>IFERROR(IF(0=LEN(ReferenceData!$A$586),"",ReferenceData!$A$586),"")</f>
        <v xml:space="preserve">                    Korea Shipbuilding &amp; Offshore</v>
      </c>
      <c r="B586" t="str">
        <f>IFERROR(IF(0=LEN(ReferenceData!$B$586),"",ReferenceData!$B$586),"")</f>
        <v>009540 KS Equity</v>
      </c>
      <c r="C586" t="str">
        <f>IFERROR(IF(0=LEN(ReferenceData!$C$586),"",ReferenceData!$C$586),"")</f>
        <v>F0946</v>
      </c>
      <c r="D586" t="str">
        <f>IFERROR(IF(0=LEN(ReferenceData!$D$586),"",ReferenceData!$D$586),"")</f>
        <v>TOTAL_GHG_CO2_EMISSIONS</v>
      </c>
      <c r="E586" t="str">
        <f>IFERROR(IF(0=LEN(ReferenceData!$E$586),"",ReferenceData!$E$586),"")</f>
        <v>Dynamic</v>
      </c>
      <c r="F586" t="str">
        <f ca="1">IFERROR(IF(0=LEN(ReferenceData!$F$586),"",ReferenceData!$F$586),"")</f>
        <v/>
      </c>
      <c r="G586">
        <f ca="1">IFERROR(IF(0=LEN(ReferenceData!$G$586),"",ReferenceData!$G$586),"")</f>
        <v>0.95534198000000004</v>
      </c>
      <c r="H586">
        <f ca="1">IFERROR(IF(0=LEN(ReferenceData!$H$586),"",ReferenceData!$H$586),"")</f>
        <v>0.93211901900000005</v>
      </c>
      <c r="I586">
        <f ca="1">IFERROR(IF(0=LEN(ReferenceData!$I$586),"",ReferenceData!$I$586),"")</f>
        <v>0.90634100299999998</v>
      </c>
      <c r="J586">
        <f ca="1">IFERROR(IF(0=LEN(ReferenceData!$J$586),"",ReferenceData!$J$586),"")</f>
        <v>0.70157702600000005</v>
      </c>
    </row>
    <row r="587" spans="1:10" x14ac:dyDescent="0.25">
      <c r="A587" t="str">
        <f>IFERROR(IF(0=LEN(ReferenceData!$A$587),"",ReferenceData!$A$587),"")</f>
        <v xml:space="preserve">                    Kukje Machinery Co Ltd</v>
      </c>
      <c r="B587" t="str">
        <f>IFERROR(IF(0=LEN(ReferenceData!$B$587),"",ReferenceData!$B$587),"")</f>
        <v>1154Z KS Equity</v>
      </c>
      <c r="C587" t="str">
        <f>IFERROR(IF(0=LEN(ReferenceData!$C$587),"",ReferenceData!$C$587),"")</f>
        <v>F0946</v>
      </c>
      <c r="D587" t="str">
        <f>IFERROR(IF(0=LEN(ReferenceData!$D$587),"",ReferenceData!$D$587),"")</f>
        <v>TOTAL_GHG_CO2_EMISSIONS</v>
      </c>
      <c r="E587" t="str">
        <f>IFERROR(IF(0=LEN(ReferenceData!$E$587),"",ReferenceData!$E$587),"")</f>
        <v>Dynamic</v>
      </c>
      <c r="F587" t="str">
        <f ca="1">IFERROR(IF(0=LEN(ReferenceData!$F$587),"",ReferenceData!$F$587),"")</f>
        <v/>
      </c>
      <c r="G587" t="str">
        <f ca="1">IFERROR(IF(0=LEN(ReferenceData!$G$587),"",ReferenceData!$G$587),"")</f>
        <v/>
      </c>
      <c r="H587" t="str">
        <f ca="1">IFERROR(IF(0=LEN(ReferenceData!$H$587),"",ReferenceData!$H$587),"")</f>
        <v/>
      </c>
      <c r="I587" t="str">
        <f ca="1">IFERROR(IF(0=LEN(ReferenceData!$I$587),"",ReferenceData!$I$587),"")</f>
        <v/>
      </c>
      <c r="J587" t="str">
        <f ca="1">IFERROR(IF(0=LEN(ReferenceData!$J$587),"",ReferenceData!$J$587),"")</f>
        <v/>
      </c>
    </row>
    <row r="588" spans="1:10" x14ac:dyDescent="0.25">
      <c r="A588" t="str">
        <f>IFERROR(IF(0=LEN(ReferenceData!$A$588),"",ReferenceData!$A$588),"")</f>
        <v xml:space="preserve">                    Kato Works Co Ltd</v>
      </c>
      <c r="B588" t="str">
        <f>IFERROR(IF(0=LEN(ReferenceData!$B$588),"",ReferenceData!$B$588),"")</f>
        <v>6390 JP Equity</v>
      </c>
      <c r="C588" t="str">
        <f>IFERROR(IF(0=LEN(ReferenceData!$C$588),"",ReferenceData!$C$588),"")</f>
        <v>F0946</v>
      </c>
      <c r="D588" t="str">
        <f>IFERROR(IF(0=LEN(ReferenceData!$D$588),"",ReferenceData!$D$588),"")</f>
        <v>TOTAL_GHG_CO2_EMISSIONS</v>
      </c>
      <c r="E588" t="str">
        <f>IFERROR(IF(0=LEN(ReferenceData!$E$588),"",ReferenceData!$E$588),"")</f>
        <v>Dynamic</v>
      </c>
      <c r="F588" t="str">
        <f ca="1">IFERROR(IF(0=LEN(ReferenceData!$F$588),"",ReferenceData!$F$588),"")</f>
        <v/>
      </c>
      <c r="G588" t="str">
        <f ca="1">IFERROR(IF(0=LEN(ReferenceData!$G$588),"",ReferenceData!$G$588),"")</f>
        <v/>
      </c>
      <c r="H588" t="str">
        <f ca="1">IFERROR(IF(0=LEN(ReferenceData!$H$588),"",ReferenceData!$H$588),"")</f>
        <v/>
      </c>
      <c r="I588" t="str">
        <f ca="1">IFERROR(IF(0=LEN(ReferenceData!$I$588),"",ReferenceData!$I$588),"")</f>
        <v/>
      </c>
      <c r="J588" t="str">
        <f ca="1">IFERROR(IF(0=LEN(ReferenceData!$J$588),"",ReferenceData!$J$588),"")</f>
        <v/>
      </c>
    </row>
    <row r="589" spans="1:10" x14ac:dyDescent="0.25">
      <c r="A589" t="str">
        <f>IFERROR(IF(0=LEN(ReferenceData!$A$589),"",ReferenceData!$A$589),"")</f>
        <v xml:space="preserve">                    Kobe Steel Ltd</v>
      </c>
      <c r="B589" t="str">
        <f>IFERROR(IF(0=LEN(ReferenceData!$B$589),"",ReferenceData!$B$589),"")</f>
        <v>5406 JP Equity</v>
      </c>
      <c r="C589" t="str">
        <f>IFERROR(IF(0=LEN(ReferenceData!$C$589),"",ReferenceData!$C$589),"")</f>
        <v>F0946</v>
      </c>
      <c r="D589" t="str">
        <f>IFERROR(IF(0=LEN(ReferenceData!$D$589),"",ReferenceData!$D$589),"")</f>
        <v>TOTAL_GHG_CO2_EMISSIONS</v>
      </c>
      <c r="E589" t="str">
        <f>IFERROR(IF(0=LEN(ReferenceData!$E$589),"",ReferenceData!$E$589),"")</f>
        <v>Dynamic</v>
      </c>
      <c r="F589" t="str">
        <f ca="1">IFERROR(IF(0=LEN(ReferenceData!$F$589),"",ReferenceData!$F$589),"")</f>
        <v/>
      </c>
      <c r="G589">
        <f ca="1">IFERROR(IF(0=LEN(ReferenceData!$G$589),"",ReferenceData!$G$589),"")</f>
        <v>16.100000000000001</v>
      </c>
      <c r="H589">
        <f ca="1">IFERROR(IF(0=LEN(ReferenceData!$H$589),"",ReferenceData!$H$589),"")</f>
        <v>15.3</v>
      </c>
      <c r="I589">
        <f ca="1">IFERROR(IF(0=LEN(ReferenceData!$I$589),"",ReferenceData!$I$589),"")</f>
        <v>16.5</v>
      </c>
      <c r="J589">
        <f ca="1">IFERROR(IF(0=LEN(ReferenceData!$J$589),"",ReferenceData!$J$589),"")</f>
        <v>17.399999999999999</v>
      </c>
    </row>
    <row r="590" spans="1:10" x14ac:dyDescent="0.25">
      <c r="A590" t="str">
        <f>IFERROR(IF(0=LEN(ReferenceData!$A$590),"",ReferenceData!$A$590),"")</f>
        <v xml:space="preserve">                    Komatsu Ltd</v>
      </c>
      <c r="B590" t="str">
        <f>IFERROR(IF(0=LEN(ReferenceData!$B$590),"",ReferenceData!$B$590),"")</f>
        <v>6301 JP Equity</v>
      </c>
      <c r="C590" t="str">
        <f>IFERROR(IF(0=LEN(ReferenceData!$C$590),"",ReferenceData!$C$590),"")</f>
        <v>F0946</v>
      </c>
      <c r="D590" t="str">
        <f>IFERROR(IF(0=LEN(ReferenceData!$D$590),"",ReferenceData!$D$590),"")</f>
        <v>TOTAL_GHG_CO2_EMISSIONS</v>
      </c>
      <c r="E590" t="str">
        <f>IFERROR(IF(0=LEN(ReferenceData!$E$590),"",ReferenceData!$E$590),"")</f>
        <v>Dynamic</v>
      </c>
      <c r="F590" t="str">
        <f ca="1">IFERROR(IF(0=LEN(ReferenceData!$F$590),"",ReferenceData!$F$590),"")</f>
        <v/>
      </c>
      <c r="G590">
        <f ca="1">IFERROR(IF(0=LEN(ReferenceData!$G$590),"",ReferenceData!$G$590),"")</f>
        <v>0.46120001199999999</v>
      </c>
      <c r="H590">
        <f ca="1">IFERROR(IF(0=LEN(ReferenceData!$H$590),"",ReferenceData!$H$590),"")</f>
        <v>0.38179998799999998</v>
      </c>
      <c r="I590">
        <f ca="1">IFERROR(IF(0=LEN(ReferenceData!$I$590),"",ReferenceData!$I$590),"")</f>
        <v>0.40400000000000003</v>
      </c>
      <c r="J590">
        <f ca="1">IFERROR(IF(0=LEN(ReferenceData!$J$590),"",ReferenceData!$J$590),"")</f>
        <v>2.657</v>
      </c>
    </row>
    <row r="591" spans="1:10" x14ac:dyDescent="0.25">
      <c r="A591" t="str">
        <f>IFERROR(IF(0=LEN(ReferenceData!$A$591),"",ReferenceData!$A$591),"")</f>
        <v xml:space="preserve">                    Kubota Corp</v>
      </c>
      <c r="B591" t="str">
        <f>IFERROR(IF(0=LEN(ReferenceData!$B$591),"",ReferenceData!$B$591),"")</f>
        <v>6326 JP Equity</v>
      </c>
      <c r="C591" t="str">
        <f>IFERROR(IF(0=LEN(ReferenceData!$C$591),"",ReferenceData!$C$591),"")</f>
        <v>F0946</v>
      </c>
      <c r="D591" t="str">
        <f>IFERROR(IF(0=LEN(ReferenceData!$D$591),"",ReferenceData!$D$591),"")</f>
        <v>TOTAL_GHG_CO2_EMISSIONS</v>
      </c>
      <c r="E591" t="str">
        <f>IFERROR(IF(0=LEN(ReferenceData!$E$591),"",ReferenceData!$E$591),"")</f>
        <v>Dynamic</v>
      </c>
      <c r="F591" t="str">
        <f ca="1">IFERROR(IF(0=LEN(ReferenceData!$F$591),"",ReferenceData!$F$591),"")</f>
        <v/>
      </c>
      <c r="G591">
        <f ca="1">IFERROR(IF(0=LEN(ReferenceData!$G$591),"",ReferenceData!$G$591),"")</f>
        <v>0.65357202199999997</v>
      </c>
      <c r="H591">
        <f ca="1">IFERROR(IF(0=LEN(ReferenceData!$H$591),"",ReferenceData!$H$591),"")</f>
        <v>0.56999999999999995</v>
      </c>
      <c r="I591">
        <f ca="1">IFERROR(IF(0=LEN(ReferenceData!$I$591),"",ReferenceData!$I$591),"")</f>
        <v>0.63</v>
      </c>
      <c r="J591">
        <f ca="1">IFERROR(IF(0=LEN(ReferenceData!$J$591),"",ReferenceData!$J$591),"")</f>
        <v>0.64700000000000002</v>
      </c>
    </row>
    <row r="592" spans="1:10" x14ac:dyDescent="0.25">
      <c r="A592" t="str">
        <f>IFERROR(IF(0=LEN(ReferenceData!$A$592),"",ReferenceData!$A$592),"")</f>
        <v xml:space="preserve">                    Lonking Holdings Ltd</v>
      </c>
      <c r="B592" t="str">
        <f>IFERROR(IF(0=LEN(ReferenceData!$B$592),"",ReferenceData!$B$592),"")</f>
        <v>3339 HK Equity</v>
      </c>
      <c r="C592" t="str">
        <f>IFERROR(IF(0=LEN(ReferenceData!$C$592),"",ReferenceData!$C$592),"")</f>
        <v>F0946</v>
      </c>
      <c r="D592" t="str">
        <f>IFERROR(IF(0=LEN(ReferenceData!$D$592),"",ReferenceData!$D$592),"")</f>
        <v>TOTAL_GHG_CO2_EMISSIONS</v>
      </c>
      <c r="E592" t="str">
        <f>IFERROR(IF(0=LEN(ReferenceData!$E$592),"",ReferenceData!$E$592),"")</f>
        <v>Dynamic</v>
      </c>
      <c r="F592" t="str">
        <f ca="1">IFERROR(IF(0=LEN(ReferenceData!$F$592),"",ReferenceData!$F$592),"")</f>
        <v/>
      </c>
      <c r="G592">
        <f ca="1">IFERROR(IF(0=LEN(ReferenceData!$G$592),"",ReferenceData!$G$592),"")</f>
        <v>0.27184500099999998</v>
      </c>
      <c r="H592">
        <f ca="1">IFERROR(IF(0=LEN(ReferenceData!$H$592),"",ReferenceData!$H$592),"")</f>
        <v>0.26370901499999999</v>
      </c>
      <c r="I592">
        <f ca="1">IFERROR(IF(0=LEN(ReferenceData!$I$592),"",ReferenceData!$I$592),"")</f>
        <v>0.22591999800000001</v>
      </c>
      <c r="J592">
        <f ca="1">IFERROR(IF(0=LEN(ReferenceData!$J$592),"",ReferenceData!$J$592),"")</f>
        <v>0.24249999999999999</v>
      </c>
    </row>
    <row r="593" spans="1:10" x14ac:dyDescent="0.25">
      <c r="A593" t="str">
        <f>IFERROR(IF(0=LEN(ReferenceData!$A$593),"",ReferenceData!$A$593),"")</f>
        <v xml:space="preserve">                    Liebherr-International Deutsch</v>
      </c>
      <c r="B593" t="str">
        <f>IFERROR(IF(0=LEN(ReferenceData!$B$593),"",ReferenceData!$B$593),"")</f>
        <v>LIEB GR Equity</v>
      </c>
      <c r="C593" t="str">
        <f>IFERROR(IF(0=LEN(ReferenceData!$C$593),"",ReferenceData!$C$593),"")</f>
        <v>F0946</v>
      </c>
      <c r="D593" t="str">
        <f>IFERROR(IF(0=LEN(ReferenceData!$D$593),"",ReferenceData!$D$593),"")</f>
        <v>TOTAL_GHG_CO2_EMISSIONS</v>
      </c>
      <c r="E593" t="str">
        <f>IFERROR(IF(0=LEN(ReferenceData!$E$593),"",ReferenceData!$E$593),"")</f>
        <v>Dynamic</v>
      </c>
      <c r="F593" t="str">
        <f ca="1">IFERROR(IF(0=LEN(ReferenceData!$F$593),"",ReferenceData!$F$593),"")</f>
        <v/>
      </c>
      <c r="G593" t="str">
        <f ca="1">IFERROR(IF(0=LEN(ReferenceData!$G$593),"",ReferenceData!$G$593),"")</f>
        <v/>
      </c>
      <c r="H593" t="str">
        <f ca="1">IFERROR(IF(0=LEN(ReferenceData!$H$593),"",ReferenceData!$H$593),"")</f>
        <v/>
      </c>
      <c r="I593" t="str">
        <f ca="1">IFERROR(IF(0=LEN(ReferenceData!$I$593),"",ReferenceData!$I$593),"")</f>
        <v/>
      </c>
      <c r="J593" t="str">
        <f ca="1">IFERROR(IF(0=LEN(ReferenceData!$J$593),"",ReferenceData!$J$593),"")</f>
        <v/>
      </c>
    </row>
    <row r="594" spans="1:10" x14ac:dyDescent="0.25">
      <c r="A594" t="str">
        <f>IFERROR(IF(0=LEN(ReferenceData!$A$594),"",ReferenceData!$A$594),"")</f>
        <v xml:space="preserve">                    Lindsay Corp</v>
      </c>
      <c r="B594" t="str">
        <f>IFERROR(IF(0=LEN(ReferenceData!$B$594),"",ReferenceData!$B$594),"")</f>
        <v>LNN US Equity</v>
      </c>
      <c r="C594" t="str">
        <f>IFERROR(IF(0=LEN(ReferenceData!$C$594),"",ReferenceData!$C$594),"")</f>
        <v>F0946</v>
      </c>
      <c r="D594" t="str">
        <f>IFERROR(IF(0=LEN(ReferenceData!$D$594),"",ReferenceData!$D$594),"")</f>
        <v>TOTAL_GHG_CO2_EMISSIONS</v>
      </c>
      <c r="E594" t="str">
        <f>IFERROR(IF(0=LEN(ReferenceData!$E$594),"",ReferenceData!$E$594),"")</f>
        <v>Dynamic</v>
      </c>
      <c r="F594" t="str">
        <f ca="1">IFERROR(IF(0=LEN(ReferenceData!$F$594),"",ReferenceData!$F$594),"")</f>
        <v/>
      </c>
      <c r="G594" t="str">
        <f ca="1">IFERROR(IF(0=LEN(ReferenceData!$G$594),"",ReferenceData!$G$594),"")</f>
        <v/>
      </c>
      <c r="H594" t="str">
        <f ca="1">IFERROR(IF(0=LEN(ReferenceData!$H$594),"",ReferenceData!$H$594),"")</f>
        <v/>
      </c>
      <c r="I594" t="str">
        <f ca="1">IFERROR(IF(0=LEN(ReferenceData!$I$594),"",ReferenceData!$I$594),"")</f>
        <v/>
      </c>
      <c r="J594" t="str">
        <f ca="1">IFERROR(IF(0=LEN(ReferenceData!$J$594),"",ReferenceData!$J$594),"")</f>
        <v/>
      </c>
    </row>
    <row r="595" spans="1:10" x14ac:dyDescent="0.25">
      <c r="A595" t="str">
        <f>IFERROR(IF(0=LEN(ReferenceData!$A$595),"",ReferenceData!$A$595),"")</f>
        <v xml:space="preserve">                    Mahindra &amp; Mahindra Ltd</v>
      </c>
      <c r="B595" t="str">
        <f>IFERROR(IF(0=LEN(ReferenceData!$B$595),"",ReferenceData!$B$595),"")</f>
        <v>MM IN Equity</v>
      </c>
      <c r="C595" t="str">
        <f>IFERROR(IF(0=LEN(ReferenceData!$C$595),"",ReferenceData!$C$595),"")</f>
        <v>F0946</v>
      </c>
      <c r="D595" t="str">
        <f>IFERROR(IF(0=LEN(ReferenceData!$D$595),"",ReferenceData!$D$595),"")</f>
        <v>TOTAL_GHG_CO2_EMISSIONS</v>
      </c>
      <c r="E595" t="str">
        <f>IFERROR(IF(0=LEN(ReferenceData!$E$595),"",ReferenceData!$E$595),"")</f>
        <v>Dynamic</v>
      </c>
      <c r="F595" t="str">
        <f ca="1">IFERROR(IF(0=LEN(ReferenceData!$F$595),"",ReferenceData!$F$595),"")</f>
        <v/>
      </c>
      <c r="G595">
        <f ca="1">IFERROR(IF(0=LEN(ReferenceData!$G$595),"",ReferenceData!$G$595),"")</f>
        <v>0</v>
      </c>
      <c r="H595">
        <f ca="1">IFERROR(IF(0=LEN(ReferenceData!$H$595),"",ReferenceData!$H$595),"")</f>
        <v>0.31402300999999999</v>
      </c>
      <c r="I595">
        <f ca="1">IFERROR(IF(0=LEN(ReferenceData!$I$595),"",ReferenceData!$I$595),"")</f>
        <v>0.34870300300000001</v>
      </c>
      <c r="J595">
        <f ca="1">IFERROR(IF(0=LEN(ReferenceData!$J$595),"",ReferenceData!$J$595),"")</f>
        <v>0.40156201200000002</v>
      </c>
    </row>
    <row r="596" spans="1:10" x14ac:dyDescent="0.25">
      <c r="A596" t="str">
        <f>IFERROR(IF(0=LEN(ReferenceData!$A$596),"",ReferenceData!$A$596),"")</f>
        <v xml:space="preserve">                    Metso Outotec Oyj</v>
      </c>
      <c r="B596" t="str">
        <f>IFERROR(IF(0=LEN(ReferenceData!$B$596),"",ReferenceData!$B$596),"")</f>
        <v>MOCORP FH Equity</v>
      </c>
      <c r="C596" t="str">
        <f>IFERROR(IF(0=LEN(ReferenceData!$C$596),"",ReferenceData!$C$596),"")</f>
        <v>F0946</v>
      </c>
      <c r="D596" t="str">
        <f>IFERROR(IF(0=LEN(ReferenceData!$D$596),"",ReferenceData!$D$596),"")</f>
        <v>TOTAL_GHG_CO2_EMISSIONS</v>
      </c>
      <c r="E596" t="str">
        <f>IFERROR(IF(0=LEN(ReferenceData!$E$596),"",ReferenceData!$E$596),"")</f>
        <v>Dynamic</v>
      </c>
      <c r="F596">
        <f ca="1">IFERROR(IF(0=LEN(ReferenceData!$F$596),"",ReferenceData!$F$596),"")</f>
        <v>0.13381899999999999</v>
      </c>
      <c r="G596">
        <f ca="1">IFERROR(IF(0=LEN(ReferenceData!$G$596),"",ReferenceData!$G$596),"")</f>
        <v>0.13492700199999999</v>
      </c>
      <c r="H596">
        <f ca="1">IFERROR(IF(0=LEN(ReferenceData!$H$596),"",ReferenceData!$H$596),"")</f>
        <v>0.10738099700000001</v>
      </c>
      <c r="I596">
        <f ca="1">IFERROR(IF(0=LEN(ReferenceData!$I$596),"",ReferenceData!$I$596),"")</f>
        <v>0.11801200100000001</v>
      </c>
      <c r="J596" t="str">
        <f ca="1">IFERROR(IF(0=LEN(ReferenceData!$J$596),"",ReferenceData!$J$596),"")</f>
        <v/>
      </c>
    </row>
    <row r="597" spans="1:10" x14ac:dyDescent="0.25">
      <c r="A597" t="str">
        <f>IFERROR(IF(0=LEN(ReferenceData!$A$597),"",ReferenceData!$A$597),"")</f>
        <v xml:space="preserve">                    Manitou BF SA</v>
      </c>
      <c r="B597" t="str">
        <f>IFERROR(IF(0=LEN(ReferenceData!$B$597),"",ReferenceData!$B$597),"")</f>
        <v>MTU FP Equity</v>
      </c>
      <c r="C597" t="str">
        <f>IFERROR(IF(0=LEN(ReferenceData!$C$597),"",ReferenceData!$C$597),"")</f>
        <v>F0946</v>
      </c>
      <c r="D597" t="str">
        <f>IFERROR(IF(0=LEN(ReferenceData!$D$597),"",ReferenceData!$D$597),"")</f>
        <v>TOTAL_GHG_CO2_EMISSIONS</v>
      </c>
      <c r="E597" t="str">
        <f>IFERROR(IF(0=LEN(ReferenceData!$E$597),"",ReferenceData!$E$597),"")</f>
        <v>Dynamic</v>
      </c>
      <c r="F597">
        <f ca="1">IFERROR(IF(0=LEN(ReferenceData!$F$597),"",ReferenceData!$F$597),"")</f>
        <v>2.5114000000000001E-2</v>
      </c>
      <c r="G597">
        <f ca="1">IFERROR(IF(0=LEN(ReferenceData!$G$597),"",ReferenceData!$G$597),"")</f>
        <v>2.5617001E-2</v>
      </c>
      <c r="H597">
        <f ca="1">IFERROR(IF(0=LEN(ReferenceData!$H$597),"",ReferenceData!$H$597),"")</f>
        <v>8.9400000000000005E-4</v>
      </c>
      <c r="I597">
        <f ca="1">IFERROR(IF(0=LEN(ReferenceData!$I$597),"",ReferenceData!$I$597),"")</f>
        <v>7.2199999999999999E-4</v>
      </c>
      <c r="J597" t="str">
        <f ca="1">IFERROR(IF(0=LEN(ReferenceData!$J$597),"",ReferenceData!$J$597),"")</f>
        <v/>
      </c>
    </row>
    <row r="598" spans="1:10" x14ac:dyDescent="0.25">
      <c r="A598" t="str">
        <f>IFERROR(IF(0=LEN(ReferenceData!$A$598),"",ReferenceData!$A$598),"")</f>
        <v xml:space="preserve">                    Manitowoc Co Inc/The</v>
      </c>
      <c r="B598" t="str">
        <f>IFERROR(IF(0=LEN(ReferenceData!$B$598),"",ReferenceData!$B$598),"")</f>
        <v>MTW US Equity</v>
      </c>
      <c r="C598" t="str">
        <f>IFERROR(IF(0=LEN(ReferenceData!$C$598),"",ReferenceData!$C$598),"")</f>
        <v>F0946</v>
      </c>
      <c r="D598" t="str">
        <f>IFERROR(IF(0=LEN(ReferenceData!$D$598),"",ReferenceData!$D$598),"")</f>
        <v>TOTAL_GHG_CO2_EMISSIONS</v>
      </c>
      <c r="E598" t="str">
        <f>IFERROR(IF(0=LEN(ReferenceData!$E$598),"",ReferenceData!$E$598),"")</f>
        <v>Dynamic</v>
      </c>
      <c r="F598">
        <f ca="1">IFERROR(IF(0=LEN(ReferenceData!$F$598),"",ReferenceData!$F$598),"")</f>
        <v>3.7790000999999997E-2</v>
      </c>
      <c r="G598">
        <f ca="1">IFERROR(IF(0=LEN(ReferenceData!$G$598),"",ReferenceData!$G$598),"")</f>
        <v>4.4005001000000002E-2</v>
      </c>
      <c r="H598">
        <f ca="1">IFERROR(IF(0=LEN(ReferenceData!$H$598),"",ReferenceData!$H$598),"")</f>
        <v>4.2897998999999999E-2</v>
      </c>
      <c r="I598">
        <f ca="1">IFERROR(IF(0=LEN(ReferenceData!$I$598),"",ReferenceData!$I$598),"")</f>
        <v>4.9049000000000002E-2</v>
      </c>
      <c r="J598" t="str">
        <f ca="1">IFERROR(IF(0=LEN(ReferenceData!$J$598),"",ReferenceData!$J$598),"")</f>
        <v/>
      </c>
    </row>
    <row r="599" spans="1:10" x14ac:dyDescent="0.25">
      <c r="A599" t="str">
        <f>IFERROR(IF(0=LEN(ReferenceData!$A$599),"",ReferenceData!$A$599),"")</f>
        <v xml:space="preserve">                    Neles Oyj</v>
      </c>
      <c r="B599" t="str">
        <f>IFERROR(IF(0=LEN(ReferenceData!$B$599),"",ReferenceData!$B$599),"")</f>
        <v>NELES FH Equity</v>
      </c>
      <c r="C599" t="str">
        <f>IFERROR(IF(0=LEN(ReferenceData!$C$599),"",ReferenceData!$C$599),"")</f>
        <v>F0946</v>
      </c>
      <c r="D599" t="str">
        <f>IFERROR(IF(0=LEN(ReferenceData!$D$599),"",ReferenceData!$D$599),"")</f>
        <v>TOTAL_GHG_CO2_EMISSIONS</v>
      </c>
      <c r="E599" t="str">
        <f>IFERROR(IF(0=LEN(ReferenceData!$E$599),"",ReferenceData!$E$599),"")</f>
        <v>Dynamic</v>
      </c>
      <c r="F599" t="str">
        <f ca="1">IFERROR(IF(0=LEN(ReferenceData!$F$599),"",ReferenceData!$F$599),"")</f>
        <v/>
      </c>
      <c r="G599">
        <f ca="1">IFERROR(IF(0=LEN(ReferenceData!$G$599),"",ReferenceData!$G$599),"")</f>
        <v>8.9689999999999995E-3</v>
      </c>
      <c r="H599">
        <f ca="1">IFERROR(IF(0=LEN(ReferenceData!$H$599),"",ReferenceData!$H$599),"")</f>
        <v>1.0057999999999999E-2</v>
      </c>
      <c r="I599">
        <f ca="1">IFERROR(IF(0=LEN(ReferenceData!$I$599),"",ReferenceData!$I$599),"")</f>
        <v>1.0218E-2</v>
      </c>
      <c r="J599">
        <f ca="1">IFERROR(IF(0=LEN(ReferenceData!$J$599),"",ReferenceData!$J$599),"")</f>
        <v>0.13719799799999999</v>
      </c>
    </row>
    <row r="600" spans="1:10" x14ac:dyDescent="0.25">
      <c r="A600" t="str">
        <f>IFERROR(IF(0=LEN(ReferenceData!$A$600),"",ReferenceData!$A$600),"")</f>
        <v xml:space="preserve">                    Netafim Ltd</v>
      </c>
      <c r="B600" t="str">
        <f>IFERROR(IF(0=LEN(ReferenceData!$B$600),"",ReferenceData!$B$600),"")</f>
        <v>1024923Z IT Equity</v>
      </c>
      <c r="C600" t="str">
        <f>IFERROR(IF(0=LEN(ReferenceData!$C$600),"",ReferenceData!$C$600),"")</f>
        <v>F0946</v>
      </c>
      <c r="D600" t="str">
        <f>IFERROR(IF(0=LEN(ReferenceData!$D$600),"",ReferenceData!$D$600),"")</f>
        <v>TOTAL_GHG_CO2_EMISSIONS</v>
      </c>
      <c r="E600" t="str">
        <f>IFERROR(IF(0=LEN(ReferenceData!$E$600),"",ReferenceData!$E$600),"")</f>
        <v>Dynamic</v>
      </c>
      <c r="F600" t="str">
        <f ca="1">IFERROR(IF(0=LEN(ReferenceData!$F$600),"",ReferenceData!$F$600),"")</f>
        <v/>
      </c>
      <c r="G600" t="str">
        <f ca="1">IFERROR(IF(0=LEN(ReferenceData!$G$600),"",ReferenceData!$G$600),"")</f>
        <v/>
      </c>
      <c r="H600" t="str">
        <f ca="1">IFERROR(IF(0=LEN(ReferenceData!$H$600),"",ReferenceData!$H$600),"")</f>
        <v/>
      </c>
      <c r="I600" t="str">
        <f ca="1">IFERROR(IF(0=LEN(ReferenceData!$I$600),"",ReferenceData!$I$600),"")</f>
        <v/>
      </c>
      <c r="J600" t="str">
        <f ca="1">IFERROR(IF(0=LEN(ReferenceData!$J$600),"",ReferenceData!$J$600),"")</f>
        <v/>
      </c>
    </row>
    <row r="601" spans="1:10" x14ac:dyDescent="0.25">
      <c r="A601" t="str">
        <f>IFERROR(IF(0=LEN(ReferenceData!$A$601),"",ReferenceData!$A$601),"")</f>
        <v xml:space="preserve">                    Oshkosh Corp</v>
      </c>
      <c r="B601" t="str">
        <f>IFERROR(IF(0=LEN(ReferenceData!$B$601),"",ReferenceData!$B$601),"")</f>
        <v>OSK US Equity</v>
      </c>
      <c r="C601" t="str">
        <f>IFERROR(IF(0=LEN(ReferenceData!$C$601),"",ReferenceData!$C$601),"")</f>
        <v>F0946</v>
      </c>
      <c r="D601" t="str">
        <f>IFERROR(IF(0=LEN(ReferenceData!$D$601),"",ReferenceData!$D$601),"")</f>
        <v>TOTAL_GHG_CO2_EMISSIONS</v>
      </c>
      <c r="E601" t="str">
        <f>IFERROR(IF(0=LEN(ReferenceData!$E$601),"",ReferenceData!$E$601),"")</f>
        <v>Dynamic</v>
      </c>
      <c r="F601" t="str">
        <f ca="1">IFERROR(IF(0=LEN(ReferenceData!$F$601),"",ReferenceData!$F$601),"")</f>
        <v/>
      </c>
      <c r="G601">
        <f ca="1">IFERROR(IF(0=LEN(ReferenceData!$G$601),"",ReferenceData!$G$601),"")</f>
        <v>0.12947099300000001</v>
      </c>
      <c r="H601">
        <f ca="1">IFERROR(IF(0=LEN(ReferenceData!$H$601),"",ReferenceData!$H$601),"")</f>
        <v>0.14357800300000001</v>
      </c>
      <c r="I601">
        <f ca="1">IFERROR(IF(0=LEN(ReferenceData!$I$601),"",ReferenceData!$I$601),"")</f>
        <v>0.16275000000000001</v>
      </c>
      <c r="J601">
        <f ca="1">IFERROR(IF(0=LEN(ReferenceData!$J$601),"",ReferenceData!$J$601),"")</f>
        <v>0.16190499899999999</v>
      </c>
    </row>
    <row r="602" spans="1:10" x14ac:dyDescent="0.25">
      <c r="A602" t="str">
        <f>IFERROR(IF(0=LEN(ReferenceData!$A$602),"",ReferenceData!$A$602),"")</f>
        <v xml:space="preserve">                    Ponsse Oyj</v>
      </c>
      <c r="B602" t="str">
        <f>IFERROR(IF(0=LEN(ReferenceData!$B$602),"",ReferenceData!$B$602),"")</f>
        <v>PON1V FH Equity</v>
      </c>
      <c r="C602" t="str">
        <f>IFERROR(IF(0=LEN(ReferenceData!$C$602),"",ReferenceData!$C$602),"")</f>
        <v>F0946</v>
      </c>
      <c r="D602" t="str">
        <f>IFERROR(IF(0=LEN(ReferenceData!$D$602),"",ReferenceData!$D$602),"")</f>
        <v>TOTAL_GHG_CO2_EMISSIONS</v>
      </c>
      <c r="E602" t="str">
        <f>IFERROR(IF(0=LEN(ReferenceData!$E$602),"",ReferenceData!$E$602),"")</f>
        <v>Dynamic</v>
      </c>
      <c r="F602" t="str">
        <f ca="1">IFERROR(IF(0=LEN(ReferenceData!$F$602),"",ReferenceData!$F$602),"")</f>
        <v/>
      </c>
      <c r="G602" t="str">
        <f ca="1">IFERROR(IF(0=LEN(ReferenceData!$G$602),"",ReferenceData!$G$602),"")</f>
        <v/>
      </c>
      <c r="H602" t="str">
        <f ca="1">IFERROR(IF(0=LEN(ReferenceData!$H$602),"",ReferenceData!$H$602),"")</f>
        <v/>
      </c>
      <c r="I602" t="str">
        <f ca="1">IFERROR(IF(0=LEN(ReferenceData!$I$602),"",ReferenceData!$I$602),"")</f>
        <v/>
      </c>
      <c r="J602" t="str">
        <f ca="1">IFERROR(IF(0=LEN(ReferenceData!$J$602),"",ReferenceData!$J$602),"")</f>
        <v/>
      </c>
    </row>
    <row r="603" spans="1:10" x14ac:dyDescent="0.25">
      <c r="A603" t="str">
        <f>IFERROR(IF(0=LEN(ReferenceData!$A$603),"",ReferenceData!$A$603),"")</f>
        <v xml:space="preserve">                    Production Association Minsk T</v>
      </c>
      <c r="B603" t="str">
        <f>IFERROR(IF(0=LEN(ReferenceData!$B$603),"",ReferenceData!$B$603),"")</f>
        <v>4625973Z RB Equity</v>
      </c>
      <c r="C603" t="str">
        <f>IFERROR(IF(0=LEN(ReferenceData!$C$603),"",ReferenceData!$C$603),"")</f>
        <v>F0946</v>
      </c>
      <c r="D603" t="str">
        <f>IFERROR(IF(0=LEN(ReferenceData!$D$603),"",ReferenceData!$D$603),"")</f>
        <v>TOTAL_GHG_CO2_EMISSIONS</v>
      </c>
      <c r="E603" t="str">
        <f>IFERROR(IF(0=LEN(ReferenceData!$E$603),"",ReferenceData!$E$603),"")</f>
        <v>Dynamic</v>
      </c>
      <c r="F603" t="str">
        <f ca="1">IFERROR(IF(0=LEN(ReferenceData!$F$603),"",ReferenceData!$F$603),"")</f>
        <v/>
      </c>
      <c r="G603" t="str">
        <f ca="1">IFERROR(IF(0=LEN(ReferenceData!$G$603),"",ReferenceData!$G$603),"")</f>
        <v/>
      </c>
      <c r="H603" t="str">
        <f ca="1">IFERROR(IF(0=LEN(ReferenceData!$H$603),"",ReferenceData!$H$603),"")</f>
        <v/>
      </c>
      <c r="I603" t="str">
        <f ca="1">IFERROR(IF(0=LEN(ReferenceData!$I$603),"",ReferenceData!$I$603),"")</f>
        <v/>
      </c>
      <c r="J603" t="str">
        <f ca="1">IFERROR(IF(0=LEN(ReferenceData!$J$603),"",ReferenceData!$J$603),"")</f>
        <v/>
      </c>
    </row>
    <row r="604" spans="1:10" x14ac:dyDescent="0.25">
      <c r="A604" t="str">
        <f>IFERROR(IF(0=LEN(ReferenceData!$A$604),"",ReferenceData!$A$604),"")</f>
        <v xml:space="preserve">                    Ritchie Bros Auctioneers Inc</v>
      </c>
      <c r="B604" t="str">
        <f>IFERROR(IF(0=LEN(ReferenceData!$B$604),"",ReferenceData!$B$604),"")</f>
        <v>RBA CN Equity</v>
      </c>
      <c r="C604" t="str">
        <f>IFERROR(IF(0=LEN(ReferenceData!$C$604),"",ReferenceData!$C$604),"")</f>
        <v>F0946</v>
      </c>
      <c r="D604" t="str">
        <f>IFERROR(IF(0=LEN(ReferenceData!$D$604),"",ReferenceData!$D$604),"")</f>
        <v>TOTAL_GHG_CO2_EMISSIONS</v>
      </c>
      <c r="E604" t="str">
        <f>IFERROR(IF(0=LEN(ReferenceData!$E$604),"",ReferenceData!$E$604),"")</f>
        <v>Dynamic</v>
      </c>
      <c r="F604">
        <f ca="1">IFERROR(IF(0=LEN(ReferenceData!$F$604),"",ReferenceData!$F$604),"")</f>
        <v>4.6973000000000001E-2</v>
      </c>
      <c r="G604">
        <f ca="1">IFERROR(IF(0=LEN(ReferenceData!$G$604),"",ReferenceData!$G$604),"")</f>
        <v>4.6261002000000002E-2</v>
      </c>
      <c r="H604" t="str">
        <f ca="1">IFERROR(IF(0=LEN(ReferenceData!$H$604),"",ReferenceData!$H$604),"")</f>
        <v/>
      </c>
      <c r="I604" t="str">
        <f ca="1">IFERROR(IF(0=LEN(ReferenceData!$I$604),"",ReferenceData!$I$604),"")</f>
        <v/>
      </c>
      <c r="J604" t="str">
        <f ca="1">IFERROR(IF(0=LEN(ReferenceData!$J$604),"",ReferenceData!$J$604),"")</f>
        <v/>
      </c>
    </row>
    <row r="605" spans="1:10" x14ac:dyDescent="0.25">
      <c r="A605" t="str">
        <f>IFERROR(IF(0=LEN(ReferenceData!$A$605),"",ReferenceData!$A$605),"")</f>
        <v xml:space="preserve">                    SDF SpA</v>
      </c>
      <c r="B605" t="str">
        <f>IFERROR(IF(0=LEN(ReferenceData!$B$605),"",ReferenceData!$B$605),"")</f>
        <v>276306Z IM Equity</v>
      </c>
      <c r="C605" t="str">
        <f>IFERROR(IF(0=LEN(ReferenceData!$C$605),"",ReferenceData!$C$605),"")</f>
        <v>F0946</v>
      </c>
      <c r="D605" t="str">
        <f>IFERROR(IF(0=LEN(ReferenceData!$D$605),"",ReferenceData!$D$605),"")</f>
        <v>TOTAL_GHG_CO2_EMISSIONS</v>
      </c>
      <c r="E605" t="str">
        <f>IFERROR(IF(0=LEN(ReferenceData!$E$605),"",ReferenceData!$E$605),"")</f>
        <v>Dynamic</v>
      </c>
      <c r="F605" t="str">
        <f ca="1">IFERROR(IF(0=LEN(ReferenceData!$F$605),"",ReferenceData!$F$605),"")</f>
        <v/>
      </c>
      <c r="G605" t="str">
        <f ca="1">IFERROR(IF(0=LEN(ReferenceData!$G$605),"",ReferenceData!$G$605),"")</f>
        <v/>
      </c>
      <c r="H605" t="str">
        <f ca="1">IFERROR(IF(0=LEN(ReferenceData!$H$605),"",ReferenceData!$H$605),"")</f>
        <v/>
      </c>
      <c r="I605" t="str">
        <f ca="1">IFERROR(IF(0=LEN(ReferenceData!$I$605),"",ReferenceData!$I$605),"")</f>
        <v/>
      </c>
      <c r="J605" t="str">
        <f ca="1">IFERROR(IF(0=LEN(ReferenceData!$J$605),"",ReferenceData!$J$605),"")</f>
        <v/>
      </c>
    </row>
    <row r="606" spans="1:10" x14ac:dyDescent="0.25">
      <c r="A606" t="str">
        <f>IFERROR(IF(0=LEN(ReferenceData!$A$606),"",ReferenceData!$A$606),"")</f>
        <v xml:space="preserve">                    Sany Heavy Industry Co Ltd</v>
      </c>
      <c r="B606" t="str">
        <f>IFERROR(IF(0=LEN(ReferenceData!$B$606),"",ReferenceData!$B$606),"")</f>
        <v>600031 CH Equity</v>
      </c>
      <c r="C606" t="str">
        <f>IFERROR(IF(0=LEN(ReferenceData!$C$606),"",ReferenceData!$C$606),"")</f>
        <v>F0946</v>
      </c>
      <c r="D606" t="str">
        <f>IFERROR(IF(0=LEN(ReferenceData!$D$606),"",ReferenceData!$D$606),"")</f>
        <v>TOTAL_GHG_CO2_EMISSIONS</v>
      </c>
      <c r="E606" t="str">
        <f>IFERROR(IF(0=LEN(ReferenceData!$E$606),"",ReferenceData!$E$606),"")</f>
        <v>Dynamic</v>
      </c>
      <c r="F606" t="str">
        <f ca="1">IFERROR(IF(0=LEN(ReferenceData!$F$606),"",ReferenceData!$F$606),"")</f>
        <v/>
      </c>
      <c r="G606">
        <f ca="1">IFERROR(IF(0=LEN(ReferenceData!$G$606),"",ReferenceData!$G$606),"")</f>
        <v>0.45034201099999999</v>
      </c>
      <c r="H606" t="str">
        <f ca="1">IFERROR(IF(0=LEN(ReferenceData!$H$606),"",ReferenceData!$H$606),"")</f>
        <v/>
      </c>
      <c r="I606" t="str">
        <f ca="1">IFERROR(IF(0=LEN(ReferenceData!$I$606),"",ReferenceData!$I$606),"")</f>
        <v/>
      </c>
      <c r="J606" t="str">
        <f ca="1">IFERROR(IF(0=LEN(ReferenceData!$J$606),"",ReferenceData!$J$606),"")</f>
        <v/>
      </c>
    </row>
    <row r="607" spans="1:10" x14ac:dyDescent="0.25">
      <c r="A607" t="str">
        <f>IFERROR(IF(0=LEN(ReferenceData!$A$607),"",ReferenceData!$A$607),"")</f>
        <v xml:space="preserve">                    Seven Group Holdings Ltd</v>
      </c>
      <c r="B607" t="str">
        <f>IFERROR(IF(0=LEN(ReferenceData!$B$607),"",ReferenceData!$B$607),"")</f>
        <v>SVW AU Equity</v>
      </c>
      <c r="C607" t="str">
        <f>IFERROR(IF(0=LEN(ReferenceData!$C$607),"",ReferenceData!$C$607),"")</f>
        <v>F0946</v>
      </c>
      <c r="D607" t="str">
        <f>IFERROR(IF(0=LEN(ReferenceData!$D$607),"",ReferenceData!$D$607),"")</f>
        <v>TOTAL_GHG_CO2_EMISSIONS</v>
      </c>
      <c r="E607" t="str">
        <f>IFERROR(IF(0=LEN(ReferenceData!$E$607),"",ReferenceData!$E$607),"")</f>
        <v>Dynamic</v>
      </c>
      <c r="F607" t="str">
        <f ca="1">IFERROR(IF(0=LEN(ReferenceData!$F$607),"",ReferenceData!$F$607),"")</f>
        <v/>
      </c>
      <c r="G607">
        <f ca="1">IFERROR(IF(0=LEN(ReferenceData!$G$607),"",ReferenceData!$G$607),"")</f>
        <v>4.6113998000000003E-2</v>
      </c>
      <c r="H607" t="str">
        <f ca="1">IFERROR(IF(0=LEN(ReferenceData!$H$607),"",ReferenceData!$H$607),"")</f>
        <v/>
      </c>
      <c r="I607" t="str">
        <f ca="1">IFERROR(IF(0=LEN(ReferenceData!$I$607),"",ReferenceData!$I$607),"")</f>
        <v/>
      </c>
      <c r="J607" t="str">
        <f ca="1">IFERROR(IF(0=LEN(ReferenceData!$J$607),"",ReferenceData!$J$607),"")</f>
        <v/>
      </c>
    </row>
    <row r="608" spans="1:10" x14ac:dyDescent="0.25">
      <c r="A608" t="str">
        <f>IFERROR(IF(0=LEN(ReferenceData!$A$608),"",ReferenceData!$A$608),"")</f>
        <v xml:space="preserve">                    Shandong Lingong Construction</v>
      </c>
      <c r="B608" t="str">
        <f>IFERROR(IF(0=LEN(ReferenceData!$B$608),"",ReferenceData!$B$608),"")</f>
        <v>SHANGDZ CH Equity</v>
      </c>
      <c r="C608" t="str">
        <f>IFERROR(IF(0=LEN(ReferenceData!$C$608),"",ReferenceData!$C$608),"")</f>
        <v>F0946</v>
      </c>
      <c r="D608" t="str">
        <f>IFERROR(IF(0=LEN(ReferenceData!$D$608),"",ReferenceData!$D$608),"")</f>
        <v>TOTAL_GHG_CO2_EMISSIONS</v>
      </c>
      <c r="E608" t="str">
        <f>IFERROR(IF(0=LEN(ReferenceData!$E$608),"",ReferenceData!$E$608),"")</f>
        <v>Dynamic</v>
      </c>
      <c r="F608" t="str">
        <f ca="1">IFERROR(IF(0=LEN(ReferenceData!$F$608),"",ReferenceData!$F$608),"")</f>
        <v/>
      </c>
      <c r="G608" t="str">
        <f ca="1">IFERROR(IF(0=LEN(ReferenceData!$G$608),"",ReferenceData!$G$608),"")</f>
        <v/>
      </c>
      <c r="H608" t="str">
        <f ca="1">IFERROR(IF(0=LEN(ReferenceData!$H$608),"",ReferenceData!$H$608),"")</f>
        <v/>
      </c>
      <c r="I608" t="str">
        <f ca="1">IFERROR(IF(0=LEN(ReferenceData!$I$608),"",ReferenceData!$I$608),"")</f>
        <v/>
      </c>
      <c r="J608" t="str">
        <f ca="1">IFERROR(IF(0=LEN(ReferenceData!$J$608),"",ReferenceData!$J$608),"")</f>
        <v/>
      </c>
    </row>
    <row r="609" spans="1:10" x14ac:dyDescent="0.25">
      <c r="A609" t="str">
        <f>IFERROR(IF(0=LEN(ReferenceData!$A$609),"",ReferenceData!$A$609),"")</f>
        <v xml:space="preserve">                    Shantui Construction Machinery</v>
      </c>
      <c r="B609" t="str">
        <f>IFERROR(IF(0=LEN(ReferenceData!$B$609),"",ReferenceData!$B$609),"")</f>
        <v>000680 CH Equity</v>
      </c>
      <c r="C609" t="str">
        <f>IFERROR(IF(0=LEN(ReferenceData!$C$609),"",ReferenceData!$C$609),"")</f>
        <v>F0946</v>
      </c>
      <c r="D609" t="str">
        <f>IFERROR(IF(0=LEN(ReferenceData!$D$609),"",ReferenceData!$D$609),"")</f>
        <v>TOTAL_GHG_CO2_EMISSIONS</v>
      </c>
      <c r="E609" t="str">
        <f>IFERROR(IF(0=LEN(ReferenceData!$E$609),"",ReferenceData!$E$609),"")</f>
        <v>Dynamic</v>
      </c>
      <c r="F609" t="str">
        <f ca="1">IFERROR(IF(0=LEN(ReferenceData!$F$609),"",ReferenceData!$F$609),"")</f>
        <v/>
      </c>
      <c r="G609" t="str">
        <f ca="1">IFERROR(IF(0=LEN(ReferenceData!$G$609),"",ReferenceData!$G$609),"")</f>
        <v/>
      </c>
      <c r="H609" t="str">
        <f ca="1">IFERROR(IF(0=LEN(ReferenceData!$H$609),"",ReferenceData!$H$609),"")</f>
        <v/>
      </c>
      <c r="I609" t="str">
        <f ca="1">IFERROR(IF(0=LEN(ReferenceData!$I$609),"",ReferenceData!$I$609),"")</f>
        <v/>
      </c>
      <c r="J609" t="str">
        <f ca="1">IFERROR(IF(0=LEN(ReferenceData!$J$609),"",ReferenceData!$J$609),"")</f>
        <v/>
      </c>
    </row>
    <row r="610" spans="1:10" x14ac:dyDescent="0.25">
      <c r="A610" t="str">
        <f>IFERROR(IF(0=LEN(ReferenceData!$A$610),"",ReferenceData!$A$610),"")</f>
        <v xml:space="preserve">                    Sichuan Chengdu Chenggong Cons</v>
      </c>
      <c r="B610" t="str">
        <f>IFERROR(IF(0=LEN(ReferenceData!$B$610),"",ReferenceData!$B$610),"")</f>
        <v>SCCCMZ CH Equity</v>
      </c>
      <c r="C610" t="str">
        <f>IFERROR(IF(0=LEN(ReferenceData!$C$610),"",ReferenceData!$C$610),"")</f>
        <v>F0946</v>
      </c>
      <c r="D610" t="str">
        <f>IFERROR(IF(0=LEN(ReferenceData!$D$610),"",ReferenceData!$D$610),"")</f>
        <v>TOTAL_GHG_CO2_EMISSIONS</v>
      </c>
      <c r="E610" t="str">
        <f>IFERROR(IF(0=LEN(ReferenceData!$E$610),"",ReferenceData!$E$610),"")</f>
        <v>Dynamic</v>
      </c>
      <c r="F610" t="str">
        <f ca="1">IFERROR(IF(0=LEN(ReferenceData!$F$610),"",ReferenceData!$F$610),"")</f>
        <v/>
      </c>
      <c r="G610" t="str">
        <f ca="1">IFERROR(IF(0=LEN(ReferenceData!$G$610),"",ReferenceData!$G$610),"")</f>
        <v/>
      </c>
      <c r="H610" t="str">
        <f ca="1">IFERROR(IF(0=LEN(ReferenceData!$H$610),"",ReferenceData!$H$610),"")</f>
        <v/>
      </c>
      <c r="I610" t="str">
        <f ca="1">IFERROR(IF(0=LEN(ReferenceData!$I$610),"",ReferenceData!$I$610),"")</f>
        <v/>
      </c>
      <c r="J610" t="str">
        <f ca="1">IFERROR(IF(0=LEN(ReferenceData!$J$610),"",ReferenceData!$J$610),"")</f>
        <v/>
      </c>
    </row>
    <row r="611" spans="1:10" x14ac:dyDescent="0.25">
      <c r="A611" t="str">
        <f>IFERROR(IF(0=LEN(ReferenceData!$A$611),"",ReferenceData!$A$611),"")</f>
        <v xml:space="preserve">                    Sime Darby Bhd</v>
      </c>
      <c r="B611" t="str">
        <f>IFERROR(IF(0=LEN(ReferenceData!$B$611),"",ReferenceData!$B$611),"")</f>
        <v>SIME MK Equity</v>
      </c>
      <c r="C611" t="str">
        <f>IFERROR(IF(0=LEN(ReferenceData!$C$611),"",ReferenceData!$C$611),"")</f>
        <v>F0946</v>
      </c>
      <c r="D611" t="str">
        <f>IFERROR(IF(0=LEN(ReferenceData!$D$611),"",ReferenceData!$D$611),"")</f>
        <v>TOTAL_GHG_CO2_EMISSIONS</v>
      </c>
      <c r="E611" t="str">
        <f>IFERROR(IF(0=LEN(ReferenceData!$E$611),"",ReferenceData!$E$611),"")</f>
        <v>Dynamic</v>
      </c>
      <c r="F611" t="str">
        <f ca="1">IFERROR(IF(0=LEN(ReferenceData!$F$611),"",ReferenceData!$F$611),"")</f>
        <v/>
      </c>
      <c r="G611">
        <f ca="1">IFERROR(IF(0=LEN(ReferenceData!$G$611),"",ReferenceData!$G$611),"")</f>
        <v>0.11</v>
      </c>
      <c r="H611" t="str">
        <f ca="1">IFERROR(IF(0=LEN(ReferenceData!$H$611),"",ReferenceData!$H$611),"")</f>
        <v/>
      </c>
      <c r="I611" t="str">
        <f ca="1">IFERROR(IF(0=LEN(ReferenceData!$I$611),"",ReferenceData!$I$611),"")</f>
        <v/>
      </c>
      <c r="J611" t="str">
        <f ca="1">IFERROR(IF(0=LEN(ReferenceData!$J$611),"",ReferenceData!$J$611),"")</f>
        <v/>
      </c>
    </row>
    <row r="612" spans="1:10" x14ac:dyDescent="0.25">
      <c r="A612" t="str">
        <f>IFERROR(IF(0=LEN(ReferenceData!$A$612),"",ReferenceData!$A$612),"")</f>
        <v xml:space="preserve">                    Sumec Corp Ltd</v>
      </c>
      <c r="B612" t="str">
        <f>IFERROR(IF(0=LEN(ReferenceData!$B$612),"",ReferenceData!$B$612),"")</f>
        <v>600710 CH Equity</v>
      </c>
      <c r="C612" t="str">
        <f>IFERROR(IF(0=LEN(ReferenceData!$C$612),"",ReferenceData!$C$612),"")</f>
        <v>F0946</v>
      </c>
      <c r="D612" t="str">
        <f>IFERROR(IF(0=LEN(ReferenceData!$D$612),"",ReferenceData!$D$612),"")</f>
        <v>TOTAL_GHG_CO2_EMISSIONS</v>
      </c>
      <c r="E612" t="str">
        <f>IFERROR(IF(0=LEN(ReferenceData!$E$612),"",ReferenceData!$E$612),"")</f>
        <v>Dynamic</v>
      </c>
      <c r="F612" t="str">
        <f ca="1">IFERROR(IF(0=LEN(ReferenceData!$F$612),"",ReferenceData!$F$612),"")</f>
        <v/>
      </c>
      <c r="G612" t="str">
        <f ca="1">IFERROR(IF(0=LEN(ReferenceData!$G$612),"",ReferenceData!$G$612),"")</f>
        <v/>
      </c>
      <c r="H612" t="str">
        <f ca="1">IFERROR(IF(0=LEN(ReferenceData!$H$612),"",ReferenceData!$H$612),"")</f>
        <v/>
      </c>
      <c r="I612" t="str">
        <f ca="1">IFERROR(IF(0=LEN(ReferenceData!$I$612),"",ReferenceData!$I$612),"")</f>
        <v/>
      </c>
      <c r="J612" t="str">
        <f ca="1">IFERROR(IF(0=LEN(ReferenceData!$J$612),"",ReferenceData!$J$612),"")</f>
        <v/>
      </c>
    </row>
    <row r="613" spans="1:10" x14ac:dyDescent="0.25">
      <c r="A613" t="str">
        <f>IFERROR(IF(0=LEN(ReferenceData!$A$613),"",ReferenceData!$A$613),"")</f>
        <v xml:space="preserve">                    Sandvik AB</v>
      </c>
      <c r="B613" t="str">
        <f>IFERROR(IF(0=LEN(ReferenceData!$B$613),"",ReferenceData!$B$613),"")</f>
        <v>SAND SS Equity</v>
      </c>
      <c r="C613" t="str">
        <f>IFERROR(IF(0=LEN(ReferenceData!$C$613),"",ReferenceData!$C$613),"")</f>
        <v>F0946</v>
      </c>
      <c r="D613" t="str">
        <f>IFERROR(IF(0=LEN(ReferenceData!$D$613),"",ReferenceData!$D$613),"")</f>
        <v>TOTAL_GHG_CO2_EMISSIONS</v>
      </c>
      <c r="E613" t="str">
        <f>IFERROR(IF(0=LEN(ReferenceData!$E$613),"",ReferenceData!$E$613),"")</f>
        <v>Dynamic</v>
      </c>
      <c r="F613">
        <f ca="1">IFERROR(IF(0=LEN(ReferenceData!$F$613),"",ReferenceData!$F$613),"")</f>
        <v>0.26500000000000001</v>
      </c>
      <c r="G613">
        <f ca="1">IFERROR(IF(0=LEN(ReferenceData!$G$613),"",ReferenceData!$G$613),"")</f>
        <v>0.41699999999999998</v>
      </c>
      <c r="H613">
        <f ca="1">IFERROR(IF(0=LEN(ReferenceData!$H$613),"",ReferenceData!$H$613),"")</f>
        <v>0.38600000000000001</v>
      </c>
      <c r="I613">
        <f ca="1">IFERROR(IF(0=LEN(ReferenceData!$I$613),"",ReferenceData!$I$613),"")</f>
        <v>0.45</v>
      </c>
      <c r="J613">
        <f ca="1">IFERROR(IF(0=LEN(ReferenceData!$J$613),"",ReferenceData!$J$613),"")</f>
        <v>0.46700000000000003</v>
      </c>
    </row>
    <row r="614" spans="1:10" x14ac:dyDescent="0.25">
      <c r="A614" t="str">
        <f>IFERROR(IF(0=LEN(ReferenceData!$A$614),"",ReferenceData!$A$614),"")</f>
        <v xml:space="preserve">                    Strong Construction Machinery</v>
      </c>
      <c r="B614" t="str">
        <f>IFERROR(IF(0=LEN(ReferenceData!$B$614),"",ReferenceData!$B$614),"")</f>
        <v>STRONZ CH Equity</v>
      </c>
      <c r="C614" t="str">
        <f>IFERROR(IF(0=LEN(ReferenceData!$C$614),"",ReferenceData!$C$614),"")</f>
        <v>F0946</v>
      </c>
      <c r="D614" t="str">
        <f>IFERROR(IF(0=LEN(ReferenceData!$D$614),"",ReferenceData!$D$614),"")</f>
        <v>TOTAL_GHG_CO2_EMISSIONS</v>
      </c>
      <c r="E614" t="str">
        <f>IFERROR(IF(0=LEN(ReferenceData!$E$614),"",ReferenceData!$E$614),"")</f>
        <v>Dynamic</v>
      </c>
      <c r="F614" t="str">
        <f ca="1">IFERROR(IF(0=LEN(ReferenceData!$F$614),"",ReferenceData!$F$614),"")</f>
        <v/>
      </c>
      <c r="G614" t="str">
        <f ca="1">IFERROR(IF(0=LEN(ReferenceData!$G$614),"",ReferenceData!$G$614),"")</f>
        <v/>
      </c>
      <c r="H614" t="str">
        <f ca="1">IFERROR(IF(0=LEN(ReferenceData!$H$614),"",ReferenceData!$H$614),"")</f>
        <v/>
      </c>
      <c r="I614" t="str">
        <f ca="1">IFERROR(IF(0=LEN(ReferenceData!$I$614),"",ReferenceData!$I$614),"")</f>
        <v/>
      </c>
      <c r="J614" t="str">
        <f ca="1">IFERROR(IF(0=LEN(ReferenceData!$J$614),"",ReferenceData!$J$614),"")</f>
        <v/>
      </c>
    </row>
    <row r="615" spans="1:10" x14ac:dyDescent="0.25">
      <c r="A615" t="str">
        <f>IFERROR(IF(0=LEN(ReferenceData!$A$615),"",ReferenceData!$A$615),"")</f>
        <v xml:space="preserve">                    Sumitomo Heavy Industries Ltd</v>
      </c>
      <c r="B615" t="str">
        <f>IFERROR(IF(0=LEN(ReferenceData!$B$615),"",ReferenceData!$B$615),"")</f>
        <v>6302 JP Equity</v>
      </c>
      <c r="C615" t="str">
        <f>IFERROR(IF(0=LEN(ReferenceData!$C$615),"",ReferenceData!$C$615),"")</f>
        <v>F0946</v>
      </c>
      <c r="D615" t="str">
        <f>IFERROR(IF(0=LEN(ReferenceData!$D$615),"",ReferenceData!$D$615),"")</f>
        <v>TOTAL_GHG_CO2_EMISSIONS</v>
      </c>
      <c r="E615" t="str">
        <f>IFERROR(IF(0=LEN(ReferenceData!$E$615),"",ReferenceData!$E$615),"")</f>
        <v>Dynamic</v>
      </c>
      <c r="F615" t="str">
        <f ca="1">IFERROR(IF(0=LEN(ReferenceData!$F$615),"",ReferenceData!$F$615),"")</f>
        <v/>
      </c>
      <c r="G615" t="str">
        <f ca="1">IFERROR(IF(0=LEN(ReferenceData!$G$615),"",ReferenceData!$G$615),"")</f>
        <v/>
      </c>
      <c r="H615">
        <f ca="1">IFERROR(IF(0=LEN(ReferenceData!$H$615),"",ReferenceData!$H$615),"")</f>
        <v>0.17344700599999999</v>
      </c>
      <c r="I615">
        <f ca="1">IFERROR(IF(0=LEN(ReferenceData!$I$615),"",ReferenceData!$I$615),"")</f>
        <v>0.19033999600000001</v>
      </c>
      <c r="J615">
        <f ca="1">IFERROR(IF(0=LEN(ReferenceData!$J$615),"",ReferenceData!$J$615),"")</f>
        <v>0.198550003</v>
      </c>
    </row>
    <row r="616" spans="1:10" x14ac:dyDescent="0.25">
      <c r="A616" t="str">
        <f>IFERROR(IF(0=LEN(ReferenceData!$A$616),"",ReferenceData!$A$616),"")</f>
        <v xml:space="preserve">                    Sunward Intelligent Equipment</v>
      </c>
      <c r="B616" t="str">
        <f>IFERROR(IF(0=LEN(ReferenceData!$B$616),"",ReferenceData!$B$616),"")</f>
        <v>002097 CH Equity</v>
      </c>
      <c r="C616" t="str">
        <f>IFERROR(IF(0=LEN(ReferenceData!$C$616),"",ReferenceData!$C$616),"")</f>
        <v>F0946</v>
      </c>
      <c r="D616" t="str">
        <f>IFERROR(IF(0=LEN(ReferenceData!$D$616),"",ReferenceData!$D$616),"")</f>
        <v>TOTAL_GHG_CO2_EMISSIONS</v>
      </c>
      <c r="E616" t="str">
        <f>IFERROR(IF(0=LEN(ReferenceData!$E$616),"",ReferenceData!$E$616),"")</f>
        <v>Dynamic</v>
      </c>
      <c r="F616" t="str">
        <f ca="1">IFERROR(IF(0=LEN(ReferenceData!$F$616),"",ReferenceData!$F$616),"")</f>
        <v/>
      </c>
      <c r="G616" t="str">
        <f ca="1">IFERROR(IF(0=LEN(ReferenceData!$G$616),"",ReferenceData!$G$616),"")</f>
        <v/>
      </c>
      <c r="H616" t="str">
        <f ca="1">IFERROR(IF(0=LEN(ReferenceData!$H$616),"",ReferenceData!$H$616),"")</f>
        <v/>
      </c>
      <c r="I616" t="str">
        <f ca="1">IFERROR(IF(0=LEN(ReferenceData!$I$616),"",ReferenceData!$I$616),"")</f>
        <v/>
      </c>
      <c r="J616" t="str">
        <f ca="1">IFERROR(IF(0=LEN(ReferenceData!$J$616),"",ReferenceData!$J$616),"")</f>
        <v/>
      </c>
    </row>
    <row r="617" spans="1:10" x14ac:dyDescent="0.25">
      <c r="A617" t="str">
        <f>IFERROR(IF(0=LEN(ReferenceData!$A$617),"",ReferenceData!$A$617),"")</f>
        <v xml:space="preserve">                    Titan International Inc</v>
      </c>
      <c r="B617" t="str">
        <f>IFERROR(IF(0=LEN(ReferenceData!$B$617),"",ReferenceData!$B$617),"")</f>
        <v>TWI US Equity</v>
      </c>
      <c r="C617" t="str">
        <f>IFERROR(IF(0=LEN(ReferenceData!$C$617),"",ReferenceData!$C$617),"")</f>
        <v>F0946</v>
      </c>
      <c r="D617" t="str">
        <f>IFERROR(IF(0=LEN(ReferenceData!$D$617),"",ReferenceData!$D$617),"")</f>
        <v>TOTAL_GHG_CO2_EMISSIONS</v>
      </c>
      <c r="E617" t="str">
        <f>IFERROR(IF(0=LEN(ReferenceData!$E$617),"",ReferenceData!$E$617),"")</f>
        <v>Dynamic</v>
      </c>
      <c r="F617" t="str">
        <f ca="1">IFERROR(IF(0=LEN(ReferenceData!$F$617),"",ReferenceData!$F$617),"")</f>
        <v/>
      </c>
      <c r="G617" t="str">
        <f ca="1">IFERROR(IF(0=LEN(ReferenceData!$G$617),"",ReferenceData!$G$617),"")</f>
        <v/>
      </c>
      <c r="H617" t="str">
        <f ca="1">IFERROR(IF(0=LEN(ReferenceData!$H$617),"",ReferenceData!$H$617),"")</f>
        <v/>
      </c>
      <c r="I617" t="str">
        <f ca="1">IFERROR(IF(0=LEN(ReferenceData!$I$617),"",ReferenceData!$I$617),"")</f>
        <v/>
      </c>
      <c r="J617" t="str">
        <f ca="1">IFERROR(IF(0=LEN(ReferenceData!$J$617),"",ReferenceData!$J$617),"")</f>
        <v/>
      </c>
    </row>
    <row r="618" spans="1:10" x14ac:dyDescent="0.25">
      <c r="A618" t="str">
        <f>IFERROR(IF(0=LEN(ReferenceData!$A$618),"",ReferenceData!$A$618),"")</f>
        <v xml:space="preserve">                    Titan Machinery Inc</v>
      </c>
      <c r="B618" t="str">
        <f>IFERROR(IF(0=LEN(ReferenceData!$B$618),"",ReferenceData!$B$618),"")</f>
        <v>TITN US Equity</v>
      </c>
      <c r="C618" t="str">
        <f>IFERROR(IF(0=LEN(ReferenceData!$C$618),"",ReferenceData!$C$618),"")</f>
        <v>F0946</v>
      </c>
      <c r="D618" t="str">
        <f>IFERROR(IF(0=LEN(ReferenceData!$D$618),"",ReferenceData!$D$618),"")</f>
        <v>TOTAL_GHG_CO2_EMISSIONS</v>
      </c>
      <c r="E618" t="str">
        <f>IFERROR(IF(0=LEN(ReferenceData!$E$618),"",ReferenceData!$E$618),"")</f>
        <v>Dynamic</v>
      </c>
      <c r="F618" t="str">
        <f ca="1">IFERROR(IF(0=LEN(ReferenceData!$F$618),"",ReferenceData!$F$618),"")</f>
        <v/>
      </c>
      <c r="G618" t="str">
        <f ca="1">IFERROR(IF(0=LEN(ReferenceData!$G$618),"",ReferenceData!$G$618),"")</f>
        <v/>
      </c>
      <c r="H618" t="str">
        <f ca="1">IFERROR(IF(0=LEN(ReferenceData!$H$618),"",ReferenceData!$H$618),"")</f>
        <v/>
      </c>
      <c r="I618" t="str">
        <f ca="1">IFERROR(IF(0=LEN(ReferenceData!$I$618),"",ReferenceData!$I$618),"")</f>
        <v/>
      </c>
      <c r="J618" t="str">
        <f ca="1">IFERROR(IF(0=LEN(ReferenceData!$J$618),"",ReferenceData!$J$618),"")</f>
        <v/>
      </c>
    </row>
    <row r="619" spans="1:10" x14ac:dyDescent="0.25">
      <c r="A619" t="str">
        <f>IFERROR(IF(0=LEN(ReferenceData!$A$619),"",ReferenceData!$A$619),"")</f>
        <v xml:space="preserve">                    TYM Corp</v>
      </c>
      <c r="B619" t="str">
        <f>IFERROR(IF(0=LEN(ReferenceData!$B$619),"",ReferenceData!$B$619),"")</f>
        <v>002900 KS Equity</v>
      </c>
      <c r="C619" t="str">
        <f>IFERROR(IF(0=LEN(ReferenceData!$C$619),"",ReferenceData!$C$619),"")</f>
        <v>F0946</v>
      </c>
      <c r="D619" t="str">
        <f>IFERROR(IF(0=LEN(ReferenceData!$D$619),"",ReferenceData!$D$619),"")</f>
        <v>TOTAL_GHG_CO2_EMISSIONS</v>
      </c>
      <c r="E619" t="str">
        <f>IFERROR(IF(0=LEN(ReferenceData!$E$619),"",ReferenceData!$E$619),"")</f>
        <v>Dynamic</v>
      </c>
      <c r="F619" t="str">
        <f ca="1">IFERROR(IF(0=LEN(ReferenceData!$F$619),"",ReferenceData!$F$619),"")</f>
        <v/>
      </c>
      <c r="G619">
        <f ca="1">IFERROR(IF(0=LEN(ReferenceData!$G$619),"",ReferenceData!$G$619),"")</f>
        <v>7.4200000000000004E-3</v>
      </c>
      <c r="H619" t="str">
        <f ca="1">IFERROR(IF(0=LEN(ReferenceData!$H$619),"",ReferenceData!$H$619),"")</f>
        <v/>
      </c>
      <c r="I619" t="str">
        <f ca="1">IFERROR(IF(0=LEN(ReferenceData!$I$619),"",ReferenceData!$I$619),"")</f>
        <v/>
      </c>
      <c r="J619" t="str">
        <f ca="1">IFERROR(IF(0=LEN(ReferenceData!$J$619),"",ReferenceData!$J$619),"")</f>
        <v/>
      </c>
    </row>
    <row r="620" spans="1:10" x14ac:dyDescent="0.25">
      <c r="A620" t="str">
        <f>IFERROR(IF(0=LEN(ReferenceData!$A$620),"",ReferenceData!$A$620),"")</f>
        <v xml:space="preserve">                    Tadano Ltd</v>
      </c>
      <c r="B620" t="str">
        <f>IFERROR(IF(0=LEN(ReferenceData!$B$620),"",ReferenceData!$B$620),"")</f>
        <v>6395 JP Equity</v>
      </c>
      <c r="C620" t="str">
        <f>IFERROR(IF(0=LEN(ReferenceData!$C$620),"",ReferenceData!$C$620),"")</f>
        <v>F0946</v>
      </c>
      <c r="D620" t="str">
        <f>IFERROR(IF(0=LEN(ReferenceData!$D$620),"",ReferenceData!$D$620),"")</f>
        <v>TOTAL_GHG_CO2_EMISSIONS</v>
      </c>
      <c r="E620" t="str">
        <f>IFERROR(IF(0=LEN(ReferenceData!$E$620),"",ReferenceData!$E$620),"")</f>
        <v>Dynamic</v>
      </c>
      <c r="F620" t="str">
        <f ca="1">IFERROR(IF(0=LEN(ReferenceData!$F$620),"",ReferenceData!$F$620),"")</f>
        <v/>
      </c>
      <c r="G620" t="str">
        <f ca="1">IFERROR(IF(0=LEN(ReferenceData!$G$620),"",ReferenceData!$G$620),"")</f>
        <v/>
      </c>
      <c r="H620">
        <f ca="1">IFERROR(IF(0=LEN(ReferenceData!$H$620),"",ReferenceData!$H$620),"")</f>
        <v>2.6179001E-2</v>
      </c>
      <c r="I620">
        <f ca="1">IFERROR(IF(0=LEN(ReferenceData!$I$620),"",ReferenceData!$I$620),"")</f>
        <v>3.0018999000000001E-2</v>
      </c>
      <c r="J620" t="str">
        <f ca="1">IFERROR(IF(0=LEN(ReferenceData!$J$620),"",ReferenceData!$J$620),"")</f>
        <v/>
      </c>
    </row>
    <row r="621" spans="1:10" x14ac:dyDescent="0.25">
      <c r="A621" t="str">
        <f>IFERROR(IF(0=LEN(ReferenceData!$A$621),"",ReferenceData!$A$621),"")</f>
        <v xml:space="preserve">                    Terex Corp</v>
      </c>
      <c r="B621" t="str">
        <f>IFERROR(IF(0=LEN(ReferenceData!$B$621),"",ReferenceData!$B$621),"")</f>
        <v>TEX US Equity</v>
      </c>
      <c r="C621" t="str">
        <f>IFERROR(IF(0=LEN(ReferenceData!$C$621),"",ReferenceData!$C$621),"")</f>
        <v>F0946</v>
      </c>
      <c r="D621" t="str">
        <f>IFERROR(IF(0=LEN(ReferenceData!$D$621),"",ReferenceData!$D$621),"")</f>
        <v>TOTAL_GHG_CO2_EMISSIONS</v>
      </c>
      <c r="E621" t="str">
        <f>IFERROR(IF(0=LEN(ReferenceData!$E$621),"",ReferenceData!$E$621),"")</f>
        <v>Dynamic</v>
      </c>
      <c r="F621" t="str">
        <f ca="1">IFERROR(IF(0=LEN(ReferenceData!$F$621),"",ReferenceData!$F$621),"")</f>
        <v/>
      </c>
      <c r="G621">
        <f ca="1">IFERROR(IF(0=LEN(ReferenceData!$G$621),"",ReferenceData!$G$621),"")</f>
        <v>6.6510001999999999E-2</v>
      </c>
      <c r="H621">
        <f ca="1">IFERROR(IF(0=LEN(ReferenceData!$H$621),"",ReferenceData!$H$621),"")</f>
        <v>5.7646000000000003E-2</v>
      </c>
      <c r="I621">
        <f ca="1">IFERROR(IF(0=LEN(ReferenceData!$I$621),"",ReferenceData!$I$621),"")</f>
        <v>6.9311996000000001E-2</v>
      </c>
      <c r="J621">
        <f ca="1">IFERROR(IF(0=LEN(ReferenceData!$J$621),"",ReferenceData!$J$621),"")</f>
        <v>8.7246002000000003E-2</v>
      </c>
    </row>
    <row r="622" spans="1:10" x14ac:dyDescent="0.25">
      <c r="A622" t="str">
        <f>IFERROR(IF(0=LEN(ReferenceData!$A$622),"",ReferenceData!$A$622),"")</f>
        <v xml:space="preserve">                    Toromont Industries Ltd</v>
      </c>
      <c r="B622" t="str">
        <f>IFERROR(IF(0=LEN(ReferenceData!$B$622),"",ReferenceData!$B$622),"")</f>
        <v>TIH CN Equity</v>
      </c>
      <c r="C622" t="str">
        <f>IFERROR(IF(0=LEN(ReferenceData!$C$622),"",ReferenceData!$C$622),"")</f>
        <v>F0946</v>
      </c>
      <c r="D622" t="str">
        <f>IFERROR(IF(0=LEN(ReferenceData!$D$622),"",ReferenceData!$D$622),"")</f>
        <v>TOTAL_GHG_CO2_EMISSIONS</v>
      </c>
      <c r="E622" t="str">
        <f>IFERROR(IF(0=LEN(ReferenceData!$E$622),"",ReferenceData!$E$622),"")</f>
        <v>Dynamic</v>
      </c>
      <c r="F622">
        <f ca="1">IFERROR(IF(0=LEN(ReferenceData!$F$622),"",ReferenceData!$F$622),"")</f>
        <v>6.2299999000000002E-2</v>
      </c>
      <c r="G622">
        <f ca="1">IFERROR(IF(0=LEN(ReferenceData!$G$622),"",ReferenceData!$G$622),"")</f>
        <v>7.7207000999999997E-2</v>
      </c>
      <c r="H622">
        <f ca="1">IFERROR(IF(0=LEN(ReferenceData!$H$622),"",ReferenceData!$H$622),"")</f>
        <v>7.5454002000000006E-2</v>
      </c>
      <c r="I622">
        <f ca="1">IFERROR(IF(0=LEN(ReferenceData!$I$622),"",ReferenceData!$I$622),"")</f>
        <v>7.0900002000000004E-2</v>
      </c>
      <c r="J622">
        <f ca="1">IFERROR(IF(0=LEN(ReferenceData!$J$622),"",ReferenceData!$J$622),"")</f>
        <v>7.1130997000000001E-2</v>
      </c>
    </row>
    <row r="623" spans="1:10" x14ac:dyDescent="0.25">
      <c r="A623" t="str">
        <f>IFERROR(IF(0=LEN(ReferenceData!$A$623),"",ReferenceData!$A$623),"")</f>
        <v xml:space="preserve">                    Trimble Inc</v>
      </c>
      <c r="B623" t="str">
        <f>IFERROR(IF(0=LEN(ReferenceData!$B$623),"",ReferenceData!$B$623),"")</f>
        <v>TRMB US Equity</v>
      </c>
      <c r="C623" t="str">
        <f>IFERROR(IF(0=LEN(ReferenceData!$C$623),"",ReferenceData!$C$623),"")</f>
        <v>F0946</v>
      </c>
      <c r="D623" t="str">
        <f>IFERROR(IF(0=LEN(ReferenceData!$D$623),"",ReferenceData!$D$623),"")</f>
        <v>TOTAL_GHG_CO2_EMISSIONS</v>
      </c>
      <c r="E623" t="str">
        <f>IFERROR(IF(0=LEN(ReferenceData!$E$623),"",ReferenceData!$E$623),"")</f>
        <v>Dynamic</v>
      </c>
      <c r="F623" t="str">
        <f ca="1">IFERROR(IF(0=LEN(ReferenceData!$F$623),"",ReferenceData!$F$623),"")</f>
        <v/>
      </c>
      <c r="G623">
        <f ca="1">IFERROR(IF(0=LEN(ReferenceData!$G$623),"",ReferenceData!$G$623),"")</f>
        <v>1.4271000000000001E-2</v>
      </c>
      <c r="H623">
        <f ca="1">IFERROR(IF(0=LEN(ReferenceData!$H$623),"",ReferenceData!$H$623),"")</f>
        <v>9.7000000000000003E-3</v>
      </c>
      <c r="I623">
        <f ca="1">IFERROR(IF(0=LEN(ReferenceData!$I$623),"",ReferenceData!$I$623),"")</f>
        <v>1.32E-2</v>
      </c>
      <c r="J623">
        <f ca="1">IFERROR(IF(0=LEN(ReferenceData!$J$623),"",ReferenceData!$J$623),"")</f>
        <v>1.4999999999999999E-2</v>
      </c>
    </row>
    <row r="624" spans="1:10" x14ac:dyDescent="0.25">
      <c r="A624" t="str">
        <f>IFERROR(IF(0=LEN(ReferenceData!$A$624),"",ReferenceData!$A$624),"")</f>
        <v xml:space="preserve">                    United Rentals Inc</v>
      </c>
      <c r="B624" t="str">
        <f>IFERROR(IF(0=LEN(ReferenceData!$B$624),"",ReferenceData!$B$624),"")</f>
        <v>URI US Equity</v>
      </c>
      <c r="C624" t="str">
        <f>IFERROR(IF(0=LEN(ReferenceData!$C$624),"",ReferenceData!$C$624),"")</f>
        <v>F0946</v>
      </c>
      <c r="D624" t="str">
        <f>IFERROR(IF(0=LEN(ReferenceData!$D$624),"",ReferenceData!$D$624),"")</f>
        <v>TOTAL_GHG_CO2_EMISSIONS</v>
      </c>
      <c r="E624" t="str">
        <f>IFERROR(IF(0=LEN(ReferenceData!$E$624),"",ReferenceData!$E$624),"")</f>
        <v>Dynamic</v>
      </c>
      <c r="F624" t="str">
        <f ca="1">IFERROR(IF(0=LEN(ReferenceData!$F$624),"",ReferenceData!$F$624),"")</f>
        <v/>
      </c>
      <c r="G624">
        <f ca="1">IFERROR(IF(0=LEN(ReferenceData!$G$624),"",ReferenceData!$G$624),"")</f>
        <v>0.407832001</v>
      </c>
      <c r="H624">
        <f ca="1">IFERROR(IF(0=LEN(ReferenceData!$H$624),"",ReferenceData!$H$624),"")</f>
        <v>0.39674301200000001</v>
      </c>
      <c r="I624">
        <f ca="1">IFERROR(IF(0=LEN(ReferenceData!$I$624),"",ReferenceData!$I$624),"")</f>
        <v>0.38338598600000001</v>
      </c>
      <c r="J624">
        <f ca="1">IFERROR(IF(0=LEN(ReferenceData!$J$624),"",ReferenceData!$J$624),"")</f>
        <v>0.37574099700000002</v>
      </c>
    </row>
    <row r="625" spans="1:10" x14ac:dyDescent="0.25">
      <c r="A625" t="str">
        <f>IFERROR(IF(0=LEN(ReferenceData!$A$625),"",ReferenceData!$A$625),"")</f>
        <v xml:space="preserve">                    United Tractors Tbk PT</v>
      </c>
      <c r="B625" t="str">
        <f>IFERROR(IF(0=LEN(ReferenceData!$B$625),"",ReferenceData!$B$625),"")</f>
        <v>UNTR IJ Equity</v>
      </c>
      <c r="C625" t="str">
        <f>IFERROR(IF(0=LEN(ReferenceData!$C$625),"",ReferenceData!$C$625),"")</f>
        <v>F0946</v>
      </c>
      <c r="D625" t="str">
        <f>IFERROR(IF(0=LEN(ReferenceData!$D$625),"",ReferenceData!$D$625),"")</f>
        <v>TOTAL_GHG_CO2_EMISSIONS</v>
      </c>
      <c r="E625" t="str">
        <f>IFERROR(IF(0=LEN(ReferenceData!$E$625),"",ReferenceData!$E$625),"")</f>
        <v>Dynamic</v>
      </c>
      <c r="F625">
        <f ca="1">IFERROR(IF(0=LEN(ReferenceData!$F$625),"",ReferenceData!$F$625),"")</f>
        <v>3.219540039</v>
      </c>
      <c r="G625">
        <f ca="1">IFERROR(IF(0=LEN(ReferenceData!$G$625),"",ReferenceData!$G$625),"")</f>
        <v>3.1945600590000001</v>
      </c>
      <c r="H625">
        <f ca="1">IFERROR(IF(0=LEN(ReferenceData!$H$625),"",ReferenceData!$H$625),"")</f>
        <v>3.4378701170000001</v>
      </c>
      <c r="I625">
        <f ca="1">IFERROR(IF(0=LEN(ReferenceData!$I$625),"",ReferenceData!$I$625),"")</f>
        <v>3.95273999</v>
      </c>
      <c r="J625" t="str">
        <f ca="1">IFERROR(IF(0=LEN(ReferenceData!$J$625),"",ReferenceData!$J$625),"")</f>
        <v/>
      </c>
    </row>
    <row r="626" spans="1:10" x14ac:dyDescent="0.25">
      <c r="A626" t="str">
        <f>IFERROR(IF(0=LEN(ReferenceData!$A$626),"",ReferenceData!$A$626),"")</f>
        <v xml:space="preserve">                    Valmont Industries Inc</v>
      </c>
      <c r="B626" t="str">
        <f>IFERROR(IF(0=LEN(ReferenceData!$B$626),"",ReferenceData!$B$626),"")</f>
        <v>VMI US Equity</v>
      </c>
      <c r="C626" t="str">
        <f>IFERROR(IF(0=LEN(ReferenceData!$C$626),"",ReferenceData!$C$626),"")</f>
        <v>F0946</v>
      </c>
      <c r="D626" t="str">
        <f>IFERROR(IF(0=LEN(ReferenceData!$D$626),"",ReferenceData!$D$626),"")</f>
        <v>TOTAL_GHG_CO2_EMISSIONS</v>
      </c>
      <c r="E626" t="str">
        <f>IFERROR(IF(0=LEN(ReferenceData!$E$626),"",ReferenceData!$E$626),"")</f>
        <v>Dynamic</v>
      </c>
      <c r="F626">
        <f ca="1">IFERROR(IF(0=LEN(ReferenceData!$F$626),"",ReferenceData!$F$626),"")</f>
        <v>0.193300003</v>
      </c>
      <c r="G626">
        <f ca="1">IFERROR(IF(0=LEN(ReferenceData!$G$626),"",ReferenceData!$G$626),"")</f>
        <v>0.19705099500000001</v>
      </c>
      <c r="H626">
        <f ca="1">IFERROR(IF(0=LEN(ReferenceData!$H$626),"",ReferenceData!$H$626),"")</f>
        <v>0.20192700199999999</v>
      </c>
      <c r="I626">
        <f ca="1">IFERROR(IF(0=LEN(ReferenceData!$I$626),"",ReferenceData!$I$626),"")</f>
        <v>0.20829499800000001</v>
      </c>
      <c r="J626">
        <f ca="1">IFERROR(IF(0=LEN(ReferenceData!$J$626),"",ReferenceData!$J$626),"")</f>
        <v>0.217554001</v>
      </c>
    </row>
    <row r="627" spans="1:10" x14ac:dyDescent="0.25">
      <c r="A627" t="str">
        <f>IFERROR(IF(0=LEN(ReferenceData!$A$627),"",ReferenceData!$A$627),"")</f>
        <v xml:space="preserve">                    Volvo AB</v>
      </c>
      <c r="B627" t="str">
        <f>IFERROR(IF(0=LEN(ReferenceData!$B$627),"",ReferenceData!$B$627),"")</f>
        <v>VOLVB SS Equity</v>
      </c>
      <c r="C627" t="str">
        <f>IFERROR(IF(0=LEN(ReferenceData!$C$627),"",ReferenceData!$C$627),"")</f>
        <v>F0946</v>
      </c>
      <c r="D627" t="str">
        <f>IFERROR(IF(0=LEN(ReferenceData!$D$627),"",ReferenceData!$D$627),"")</f>
        <v>TOTAL_GHG_CO2_EMISSIONS</v>
      </c>
      <c r="E627" t="str">
        <f>IFERROR(IF(0=LEN(ReferenceData!$E$627),"",ReferenceData!$E$627),"")</f>
        <v>Dynamic</v>
      </c>
      <c r="F627">
        <f ca="1">IFERROR(IF(0=LEN(ReferenceData!$F$627),"",ReferenceData!$F$627),"")</f>
        <v>0.42299999999999999</v>
      </c>
      <c r="G627">
        <f ca="1">IFERROR(IF(0=LEN(ReferenceData!$G$627),"",ReferenceData!$G$627),"")</f>
        <v>0.44900000000000001</v>
      </c>
      <c r="H627">
        <f ca="1">IFERROR(IF(0=LEN(ReferenceData!$H$627),"",ReferenceData!$H$627),"")</f>
        <v>0.39800000000000002</v>
      </c>
      <c r="I627">
        <f ca="1">IFERROR(IF(0=LEN(ReferenceData!$I$627),"",ReferenceData!$I$627),"")</f>
        <v>0.46</v>
      </c>
      <c r="J627">
        <f ca="1">IFERROR(IF(0=LEN(ReferenceData!$J$627),"",ReferenceData!$J$627),"")</f>
        <v>0.42099999999999999</v>
      </c>
    </row>
    <row r="628" spans="1:10" x14ac:dyDescent="0.25">
      <c r="A628" t="str">
        <f>IFERROR(IF(0=LEN(ReferenceData!$A$628),"",ReferenceData!$A$628),"")</f>
        <v xml:space="preserve">                    Wacker Neuson SE</v>
      </c>
      <c r="B628" t="str">
        <f>IFERROR(IF(0=LEN(ReferenceData!$B$628),"",ReferenceData!$B$628),"")</f>
        <v>WAC GR Equity</v>
      </c>
      <c r="C628" t="str">
        <f>IFERROR(IF(0=LEN(ReferenceData!$C$628),"",ReferenceData!$C$628),"")</f>
        <v>F0946</v>
      </c>
      <c r="D628" t="str">
        <f>IFERROR(IF(0=LEN(ReferenceData!$D$628),"",ReferenceData!$D$628),"")</f>
        <v>TOTAL_GHG_CO2_EMISSIONS</v>
      </c>
      <c r="E628" t="str">
        <f>IFERROR(IF(0=LEN(ReferenceData!$E$628),"",ReferenceData!$E$628),"")</f>
        <v>Dynamic</v>
      </c>
      <c r="F628">
        <f ca="1">IFERROR(IF(0=LEN(ReferenceData!$F$628),"",ReferenceData!$F$628),"")</f>
        <v>1.8740999000000001E-2</v>
      </c>
      <c r="G628">
        <f ca="1">IFERROR(IF(0=LEN(ReferenceData!$G$628),"",ReferenceData!$G$628),"")</f>
        <v>1.8162001000000001E-2</v>
      </c>
      <c r="H628">
        <f ca="1">IFERROR(IF(0=LEN(ReferenceData!$H$628),"",ReferenceData!$H$628),"")</f>
        <v>3.0389999000000001E-2</v>
      </c>
      <c r="I628">
        <f ca="1">IFERROR(IF(0=LEN(ReferenceData!$I$628),"",ReferenceData!$I$628),"")</f>
        <v>3.7743999E-2</v>
      </c>
      <c r="J628">
        <f ca="1">IFERROR(IF(0=LEN(ReferenceData!$J$628),"",ReferenceData!$J$628),"")</f>
        <v>3.6584999E-2</v>
      </c>
    </row>
    <row r="629" spans="1:10" x14ac:dyDescent="0.25">
      <c r="A629" t="str">
        <f>IFERROR(IF(0=LEN(ReferenceData!$A$629),"",ReferenceData!$A$629),"")</f>
        <v xml:space="preserve">                    Wajax Corp</v>
      </c>
      <c r="B629" t="str">
        <f>IFERROR(IF(0=LEN(ReferenceData!$B$629),"",ReferenceData!$B$629),"")</f>
        <v>WJX CN Equity</v>
      </c>
      <c r="C629" t="str">
        <f>IFERROR(IF(0=LEN(ReferenceData!$C$629),"",ReferenceData!$C$629),"")</f>
        <v>F0946</v>
      </c>
      <c r="D629" t="str">
        <f>IFERROR(IF(0=LEN(ReferenceData!$D$629),"",ReferenceData!$D$629),"")</f>
        <v>TOTAL_GHG_CO2_EMISSIONS</v>
      </c>
      <c r="E629" t="str">
        <f>IFERROR(IF(0=LEN(ReferenceData!$E$629),"",ReferenceData!$E$629),"")</f>
        <v>Dynamic</v>
      </c>
      <c r="F629">
        <f ca="1">IFERROR(IF(0=LEN(ReferenceData!$F$629),"",ReferenceData!$F$629),"")</f>
        <v>1.9525998999999999E-2</v>
      </c>
      <c r="G629">
        <f ca="1">IFERROR(IF(0=LEN(ReferenceData!$G$629),"",ReferenceData!$G$629),"")</f>
        <v>2.0489E-2</v>
      </c>
      <c r="H629">
        <f ca="1">IFERROR(IF(0=LEN(ReferenceData!$H$629),"",ReferenceData!$H$629),"")</f>
        <v>1.7037001E-2</v>
      </c>
      <c r="I629" t="str">
        <f ca="1">IFERROR(IF(0=LEN(ReferenceData!$I$629),"",ReferenceData!$I$629),"")</f>
        <v/>
      </c>
      <c r="J629" t="str">
        <f ca="1">IFERROR(IF(0=LEN(ReferenceData!$J$629),"",ReferenceData!$J$629),"")</f>
        <v/>
      </c>
    </row>
    <row r="630" spans="1:10" x14ac:dyDescent="0.25">
      <c r="A630" t="str">
        <f>IFERROR(IF(0=LEN(ReferenceData!$A$630),"",ReferenceData!$A$630),"")</f>
        <v xml:space="preserve">                    XCMG Construction Machinery Co</v>
      </c>
      <c r="B630" t="str">
        <f>IFERROR(IF(0=LEN(ReferenceData!$B$630),"",ReferenceData!$B$630),"")</f>
        <v>000425 CH Equity</v>
      </c>
      <c r="C630" t="str">
        <f>IFERROR(IF(0=LEN(ReferenceData!$C$630),"",ReferenceData!$C$630),"")</f>
        <v>F0946</v>
      </c>
      <c r="D630" t="str">
        <f>IFERROR(IF(0=LEN(ReferenceData!$D$630),"",ReferenceData!$D$630),"")</f>
        <v>TOTAL_GHG_CO2_EMISSIONS</v>
      </c>
      <c r="E630" t="str">
        <f>IFERROR(IF(0=LEN(ReferenceData!$E$630),"",ReferenceData!$E$630),"")</f>
        <v>Dynamic</v>
      </c>
      <c r="F630" t="str">
        <f ca="1">IFERROR(IF(0=LEN(ReferenceData!$F$630),"",ReferenceData!$F$630),"")</f>
        <v/>
      </c>
      <c r="G630" t="str">
        <f ca="1">IFERROR(IF(0=LEN(ReferenceData!$G$630),"",ReferenceData!$G$630),"")</f>
        <v/>
      </c>
      <c r="H630" t="str">
        <f ca="1">IFERROR(IF(0=LEN(ReferenceData!$H$630),"",ReferenceData!$H$630),"")</f>
        <v/>
      </c>
      <c r="I630" t="str">
        <f ca="1">IFERROR(IF(0=LEN(ReferenceData!$I$630),"",ReferenceData!$I$630),"")</f>
        <v/>
      </c>
      <c r="J630" t="str">
        <f ca="1">IFERROR(IF(0=LEN(ReferenceData!$J$630),"",ReferenceData!$J$630),"")</f>
        <v/>
      </c>
    </row>
    <row r="631" spans="1:10" x14ac:dyDescent="0.25">
      <c r="A631" t="str">
        <f>IFERROR(IF(0=LEN(ReferenceData!$A$631),"",ReferenceData!$A$631),"")</f>
        <v xml:space="preserve">                    Xiamen XGMA Machinery Co Ltd</v>
      </c>
      <c r="B631" t="str">
        <f>IFERROR(IF(0=LEN(ReferenceData!$B$631),"",ReferenceData!$B$631),"")</f>
        <v>600815 CH Equity</v>
      </c>
      <c r="C631" t="str">
        <f>IFERROR(IF(0=LEN(ReferenceData!$C$631),"",ReferenceData!$C$631),"")</f>
        <v>F0946</v>
      </c>
      <c r="D631" t="str">
        <f>IFERROR(IF(0=LEN(ReferenceData!$D$631),"",ReferenceData!$D$631),"")</f>
        <v>TOTAL_GHG_CO2_EMISSIONS</v>
      </c>
      <c r="E631" t="str">
        <f>IFERROR(IF(0=LEN(ReferenceData!$E$631),"",ReferenceData!$E$631),"")</f>
        <v>Dynamic</v>
      </c>
      <c r="F631" t="str">
        <f ca="1">IFERROR(IF(0=LEN(ReferenceData!$F$631),"",ReferenceData!$F$631),"")</f>
        <v/>
      </c>
      <c r="G631" t="str">
        <f ca="1">IFERROR(IF(0=LEN(ReferenceData!$G$631),"",ReferenceData!$G$631),"")</f>
        <v/>
      </c>
      <c r="H631" t="str">
        <f ca="1">IFERROR(IF(0=LEN(ReferenceData!$H$631),"",ReferenceData!$H$631),"")</f>
        <v/>
      </c>
      <c r="I631" t="str">
        <f ca="1">IFERROR(IF(0=LEN(ReferenceData!$I$631),"",ReferenceData!$I$631),"")</f>
        <v/>
      </c>
      <c r="J631" t="str">
        <f ca="1">IFERROR(IF(0=LEN(ReferenceData!$J$631),"",ReferenceData!$J$631),"")</f>
        <v/>
      </c>
    </row>
    <row r="632" spans="1:10" x14ac:dyDescent="0.25">
      <c r="A632" t="str">
        <f>IFERROR(IF(0=LEN(ReferenceData!$A$632),"",ReferenceData!$A$632),"")</f>
        <v xml:space="preserve">                    Xiamen Xiagong Machine Constru</v>
      </c>
      <c r="B632" t="str">
        <f>IFERROR(IF(0=LEN(ReferenceData!$B$632),"",ReferenceData!$B$632),"")</f>
        <v>XMXGMZ CH Equity</v>
      </c>
      <c r="C632" t="str">
        <f>IFERROR(IF(0=LEN(ReferenceData!$C$632),"",ReferenceData!$C$632),"")</f>
        <v>F0946</v>
      </c>
      <c r="D632" t="str">
        <f>IFERROR(IF(0=LEN(ReferenceData!$D$632),"",ReferenceData!$D$632),"")</f>
        <v>TOTAL_GHG_CO2_EMISSIONS</v>
      </c>
      <c r="E632" t="str">
        <f>IFERROR(IF(0=LEN(ReferenceData!$E$632),"",ReferenceData!$E$632),"")</f>
        <v>Dynamic</v>
      </c>
      <c r="F632" t="str">
        <f ca="1">IFERROR(IF(0=LEN(ReferenceData!$F$632),"",ReferenceData!$F$632),"")</f>
        <v/>
      </c>
      <c r="G632" t="str">
        <f ca="1">IFERROR(IF(0=LEN(ReferenceData!$G$632),"",ReferenceData!$G$632),"")</f>
        <v/>
      </c>
      <c r="H632" t="str">
        <f ca="1">IFERROR(IF(0=LEN(ReferenceData!$H$632),"",ReferenceData!$H$632),"")</f>
        <v/>
      </c>
      <c r="I632" t="str">
        <f ca="1">IFERROR(IF(0=LEN(ReferenceData!$I$632),"",ReferenceData!$I$632),"")</f>
        <v/>
      </c>
      <c r="J632" t="str">
        <f ca="1">IFERROR(IF(0=LEN(ReferenceData!$J$632),"",ReferenceData!$J$632),"")</f>
        <v/>
      </c>
    </row>
    <row r="633" spans="1:10" x14ac:dyDescent="0.25">
      <c r="A633" t="str">
        <f>IFERROR(IF(0=LEN(ReferenceData!$A$633),"",ReferenceData!$A$633),"")</f>
        <v xml:space="preserve">                    Yanmar Power Technology Co Ltd</v>
      </c>
      <c r="B633" t="str">
        <f>IFERROR(IF(0=LEN(ReferenceData!$B$633),"",ReferenceData!$B$633),"")</f>
        <v>YANMZ JP Equity</v>
      </c>
      <c r="C633" t="str">
        <f>IFERROR(IF(0=LEN(ReferenceData!$C$633),"",ReferenceData!$C$633),"")</f>
        <v>F0946</v>
      </c>
      <c r="D633" t="str">
        <f>IFERROR(IF(0=LEN(ReferenceData!$D$633),"",ReferenceData!$D$633),"")</f>
        <v>TOTAL_GHG_CO2_EMISSIONS</v>
      </c>
      <c r="E633" t="str">
        <f>IFERROR(IF(0=LEN(ReferenceData!$E$633),"",ReferenceData!$E$633),"")</f>
        <v>Dynamic</v>
      </c>
      <c r="F633" t="str">
        <f ca="1">IFERROR(IF(0=LEN(ReferenceData!$F$633),"",ReferenceData!$F$633),"")</f>
        <v/>
      </c>
      <c r="G633" t="str">
        <f ca="1">IFERROR(IF(0=LEN(ReferenceData!$G$633),"",ReferenceData!$G$633),"")</f>
        <v/>
      </c>
      <c r="H633" t="str">
        <f ca="1">IFERROR(IF(0=LEN(ReferenceData!$H$633),"",ReferenceData!$H$633),"")</f>
        <v/>
      </c>
      <c r="I633" t="str">
        <f ca="1">IFERROR(IF(0=LEN(ReferenceData!$I$633),"",ReferenceData!$I$633),"")</f>
        <v/>
      </c>
      <c r="J633" t="str">
        <f ca="1">IFERROR(IF(0=LEN(ReferenceData!$J$633),"",ReferenceData!$J$633),"")</f>
        <v/>
      </c>
    </row>
    <row r="634" spans="1:10" x14ac:dyDescent="0.25">
      <c r="A634" t="str">
        <f>IFERROR(IF(0=LEN(ReferenceData!$A$634),"",ReferenceData!$A$634),"")</f>
        <v xml:space="preserve">                    YTO Group Corp</v>
      </c>
      <c r="B634" t="str">
        <f>IFERROR(IF(0=LEN(ReferenceData!$B$634),"",ReferenceData!$B$634),"")</f>
        <v>YTGGRZ CH Equity</v>
      </c>
      <c r="C634" t="str">
        <f>IFERROR(IF(0=LEN(ReferenceData!$C$634),"",ReferenceData!$C$634),"")</f>
        <v>F0946</v>
      </c>
      <c r="D634" t="str">
        <f>IFERROR(IF(0=LEN(ReferenceData!$D$634),"",ReferenceData!$D$634),"")</f>
        <v>TOTAL_GHG_CO2_EMISSIONS</v>
      </c>
      <c r="E634" t="str">
        <f>IFERROR(IF(0=LEN(ReferenceData!$E$634),"",ReferenceData!$E$634),"")</f>
        <v>Dynamic</v>
      </c>
      <c r="F634" t="str">
        <f ca="1">IFERROR(IF(0=LEN(ReferenceData!$F$634),"",ReferenceData!$F$634),"")</f>
        <v/>
      </c>
      <c r="G634" t="str">
        <f ca="1">IFERROR(IF(0=LEN(ReferenceData!$G$634),"",ReferenceData!$G$634),"")</f>
        <v/>
      </c>
      <c r="H634" t="str">
        <f ca="1">IFERROR(IF(0=LEN(ReferenceData!$H$634),"",ReferenceData!$H$634),"")</f>
        <v/>
      </c>
      <c r="I634" t="str">
        <f ca="1">IFERROR(IF(0=LEN(ReferenceData!$I$634),"",ReferenceData!$I$634),"")</f>
        <v/>
      </c>
      <c r="J634" t="str">
        <f ca="1">IFERROR(IF(0=LEN(ReferenceData!$J$634),"",ReferenceData!$J$634),"")</f>
        <v/>
      </c>
    </row>
    <row r="635" spans="1:10" x14ac:dyDescent="0.25">
      <c r="A635" t="str">
        <f>IFERROR(IF(0=LEN(ReferenceData!$A$635),"",ReferenceData!$A$635),"")</f>
        <v xml:space="preserve">                    Zaklady Sprzetu Mechanicznego</v>
      </c>
      <c r="B635" t="str">
        <f>IFERROR(IF(0=LEN(ReferenceData!$B$635),"",ReferenceData!$B$635),"")</f>
        <v>4625985Z PW Equity</v>
      </c>
      <c r="C635" t="str">
        <f>IFERROR(IF(0=LEN(ReferenceData!$C$635),"",ReferenceData!$C$635),"")</f>
        <v>F0946</v>
      </c>
      <c r="D635" t="str">
        <f>IFERROR(IF(0=LEN(ReferenceData!$D$635),"",ReferenceData!$D$635),"")</f>
        <v>TOTAL_GHG_CO2_EMISSIONS</v>
      </c>
      <c r="E635" t="str">
        <f>IFERROR(IF(0=LEN(ReferenceData!$E$635),"",ReferenceData!$E$635),"")</f>
        <v>Dynamic</v>
      </c>
      <c r="F635" t="str">
        <f ca="1">IFERROR(IF(0=LEN(ReferenceData!$F$635),"",ReferenceData!$F$635),"")</f>
        <v/>
      </c>
      <c r="G635" t="str">
        <f ca="1">IFERROR(IF(0=LEN(ReferenceData!$G$635),"",ReferenceData!$G$635),"")</f>
        <v/>
      </c>
      <c r="H635" t="str">
        <f ca="1">IFERROR(IF(0=LEN(ReferenceData!$H$635),"",ReferenceData!$H$635),"")</f>
        <v/>
      </c>
      <c r="I635" t="str">
        <f ca="1">IFERROR(IF(0=LEN(ReferenceData!$I$635),"",ReferenceData!$I$635),"")</f>
        <v/>
      </c>
      <c r="J635" t="str">
        <f ca="1">IFERROR(IF(0=LEN(ReferenceData!$J$635),"",ReferenceData!$J$635),"")</f>
        <v/>
      </c>
    </row>
    <row r="636" spans="1:10" x14ac:dyDescent="0.25">
      <c r="A636" t="str">
        <f>IFERROR(IF(0=LEN(ReferenceData!$A$636),"",ReferenceData!$A$636),"")</f>
        <v xml:space="preserve">                    Zetor AS</v>
      </c>
      <c r="B636" t="str">
        <f>IFERROR(IF(0=LEN(ReferenceData!$B$636),"",ReferenceData!$B$636),"")</f>
        <v>ZETOR CP Equity</v>
      </c>
      <c r="C636" t="str">
        <f>IFERROR(IF(0=LEN(ReferenceData!$C$636),"",ReferenceData!$C$636),"")</f>
        <v>F0946</v>
      </c>
      <c r="D636" t="str">
        <f>IFERROR(IF(0=LEN(ReferenceData!$D$636),"",ReferenceData!$D$636),"")</f>
        <v>TOTAL_GHG_CO2_EMISSIONS</v>
      </c>
      <c r="E636" t="str">
        <f>IFERROR(IF(0=LEN(ReferenceData!$E$636),"",ReferenceData!$E$636),"")</f>
        <v>Dynamic</v>
      </c>
      <c r="F636" t="str">
        <f ca="1">IFERROR(IF(0=LEN(ReferenceData!$F$636),"",ReferenceData!$F$636),"")</f>
        <v/>
      </c>
      <c r="G636" t="str">
        <f ca="1">IFERROR(IF(0=LEN(ReferenceData!$G$636),"",ReferenceData!$G$636),"")</f>
        <v/>
      </c>
      <c r="H636" t="str">
        <f ca="1">IFERROR(IF(0=LEN(ReferenceData!$H$636),"",ReferenceData!$H$636),"")</f>
        <v/>
      </c>
      <c r="I636" t="str">
        <f ca="1">IFERROR(IF(0=LEN(ReferenceData!$I$636),"",ReferenceData!$I$636),"")</f>
        <v/>
      </c>
      <c r="J636" t="str">
        <f ca="1">IFERROR(IF(0=LEN(ReferenceData!$J$636),"",ReferenceData!$J$636),"")</f>
        <v/>
      </c>
    </row>
    <row r="637" spans="1:10" x14ac:dyDescent="0.25">
      <c r="A637" t="str">
        <f>IFERROR(IF(0=LEN(ReferenceData!$A$637),"",ReferenceData!$A$637),"")</f>
        <v xml:space="preserve">                    Zoomlion Heavy Industry Scienc</v>
      </c>
      <c r="B637" t="str">
        <f>IFERROR(IF(0=LEN(ReferenceData!$B$637),"",ReferenceData!$B$637),"")</f>
        <v>000157 CH Equity</v>
      </c>
      <c r="C637" t="str">
        <f>IFERROR(IF(0=LEN(ReferenceData!$C$637),"",ReferenceData!$C$637),"")</f>
        <v>F0946</v>
      </c>
      <c r="D637" t="str">
        <f>IFERROR(IF(0=LEN(ReferenceData!$D$637),"",ReferenceData!$D$637),"")</f>
        <v>TOTAL_GHG_CO2_EMISSIONS</v>
      </c>
      <c r="E637" t="str">
        <f>IFERROR(IF(0=LEN(ReferenceData!$E$637),"",ReferenceData!$E$637),"")</f>
        <v>Dynamic</v>
      </c>
      <c r="F637">
        <f ca="1">IFERROR(IF(0=LEN(ReferenceData!$F$637),"",ReferenceData!$F$637),"")</f>
        <v>0.17304699700000001</v>
      </c>
      <c r="G637">
        <f ca="1">IFERROR(IF(0=LEN(ReferenceData!$G$637),"",ReferenceData!$G$637),"")</f>
        <v>0.20809599300000001</v>
      </c>
      <c r="H637">
        <f ca="1">IFERROR(IF(0=LEN(ReferenceData!$H$637),"",ReferenceData!$H$637),"")</f>
        <v>0.20441099500000001</v>
      </c>
      <c r="I637">
        <f ca="1">IFERROR(IF(0=LEN(ReferenceData!$I$637),"",ReferenceData!$I$637),"")</f>
        <v>0.16900799599999999</v>
      </c>
      <c r="J637">
        <f ca="1">IFERROR(IF(0=LEN(ReferenceData!$J$637),"",ReferenceData!$J$637),"")</f>
        <v>0.102828003</v>
      </c>
    </row>
    <row r="638" spans="1:10" x14ac:dyDescent="0.25">
      <c r="A638" t="str">
        <f>IFERROR(IF(0=LEN(ReferenceData!$A$638),"",ReferenceData!$A$638),"")</f>
        <v xml:space="preserve">            Industrial Services</v>
      </c>
      <c r="B638" t="str">
        <f>IFERROR(IF(0=LEN(ReferenceData!$B$638),"",ReferenceData!$B$638),"")</f>
        <v/>
      </c>
      <c r="C638" t="str">
        <f>IFERROR(IF(0=LEN(ReferenceData!$C$638),"",ReferenceData!$C$638),"")</f>
        <v/>
      </c>
      <c r="D638" t="str">
        <f>IFERROR(IF(0=LEN(ReferenceData!$D$638),"",ReferenceData!$D$638),"")</f>
        <v/>
      </c>
      <c r="E638" t="str">
        <f>IFERROR(IF(0=LEN(ReferenceData!$E$638),"",ReferenceData!$E$638),"")</f>
        <v>Sum</v>
      </c>
      <c r="F638">
        <f ca="1">IFERROR(IF(0=LEN(ReferenceData!$F$638),"",ReferenceData!$F$638),"")</f>
        <v>87.680894004999999</v>
      </c>
      <c r="G638">
        <f ca="1">IFERROR(IF(0=LEN(ReferenceData!$G$638),"",ReferenceData!$G$638),"")</f>
        <v>203.354500221</v>
      </c>
      <c r="H638">
        <f ca="1">IFERROR(IF(0=LEN(ReferenceData!$H$638),"",ReferenceData!$H$638),"")</f>
        <v>160.39919306099998</v>
      </c>
      <c r="I638">
        <f ca="1">IFERROR(IF(0=LEN(ReferenceData!$I$638),"",ReferenceData!$I$638),"")</f>
        <v>245.59289917000001</v>
      </c>
      <c r="J638">
        <f ca="1">IFERROR(IF(0=LEN(ReferenceData!$J$638),"",ReferenceData!$J$638),"")</f>
        <v>243.62843506199997</v>
      </c>
    </row>
    <row r="639" spans="1:10" x14ac:dyDescent="0.25">
      <c r="A639" t="str">
        <f>IFERROR(IF(0=LEN(ReferenceData!$A$639),"",ReferenceData!$A$639),"")</f>
        <v xml:space="preserve">                Transportation</v>
      </c>
      <c r="B639" t="str">
        <f>IFERROR(IF(0=LEN(ReferenceData!$B$639),"",ReferenceData!$B$639),"")</f>
        <v/>
      </c>
      <c r="C639" t="str">
        <f>IFERROR(IF(0=LEN(ReferenceData!$C$639),"",ReferenceData!$C$639),"")</f>
        <v/>
      </c>
      <c r="D639" t="str">
        <f>IFERROR(IF(0=LEN(ReferenceData!$D$639),"",ReferenceData!$D$639),"")</f>
        <v/>
      </c>
      <c r="E639" t="str">
        <f>IFERROR(IF(0=LEN(ReferenceData!$E$639),"",ReferenceData!$E$639),"")</f>
        <v>Sum</v>
      </c>
      <c r="F639">
        <f ca="1">IFERROR(IF(0=LEN(ReferenceData!$F$639),"",ReferenceData!$F$639),"")</f>
        <v>87.680894004999999</v>
      </c>
      <c r="G639">
        <f ca="1">IFERROR(IF(0=LEN(ReferenceData!$G$639),"",ReferenceData!$G$639),"")</f>
        <v>203.354500221</v>
      </c>
      <c r="H639">
        <f ca="1">IFERROR(IF(0=LEN(ReferenceData!$H$639),"",ReferenceData!$H$639),"")</f>
        <v>160.39919306099998</v>
      </c>
      <c r="I639">
        <f ca="1">IFERROR(IF(0=LEN(ReferenceData!$I$639),"",ReferenceData!$I$639),"")</f>
        <v>245.59289917000001</v>
      </c>
      <c r="J639">
        <f ca="1">IFERROR(IF(0=LEN(ReferenceData!$J$639),"",ReferenceData!$J$639),"")</f>
        <v>243.62843506199997</v>
      </c>
    </row>
    <row r="640" spans="1:10" x14ac:dyDescent="0.25">
      <c r="A640" t="str">
        <f>IFERROR(IF(0=LEN(ReferenceData!$A$640),"",ReferenceData!$A$640),"")</f>
        <v xml:space="preserve">                    Airlines</v>
      </c>
      <c r="B640" t="str">
        <f>IFERROR(IF(0=LEN(ReferenceData!$B$640),"",ReferenceData!$B$640),"")</f>
        <v/>
      </c>
      <c r="C640" t="str">
        <f>IFERROR(IF(0=LEN(ReferenceData!$C$640),"",ReferenceData!$C$640),"")</f>
        <v/>
      </c>
      <c r="D640" t="str">
        <f>IFERROR(IF(0=LEN(ReferenceData!$D$640),"",ReferenceData!$D$640),"")</f>
        <v/>
      </c>
      <c r="E640" t="str">
        <f>IFERROR(IF(0=LEN(ReferenceData!$E$640),"",ReferenceData!$E$640),"")</f>
        <v>Sum</v>
      </c>
      <c r="F640">
        <f ca="1">IFERROR(IF(0=LEN(ReferenceData!$F$640),"",ReferenceData!$F$640),"")</f>
        <v>61.509500000000003</v>
      </c>
      <c r="G640">
        <f ca="1">IFERROR(IF(0=LEN(ReferenceData!$G$640),"",ReferenceData!$G$640),"")</f>
        <v>126.29225121899999</v>
      </c>
      <c r="H640">
        <f ca="1">IFERROR(IF(0=LEN(ReferenceData!$H$640),"",ReferenceData!$H$640),"")</f>
        <v>85.607882929999988</v>
      </c>
      <c r="I640">
        <f ca="1">IFERROR(IF(0=LEN(ReferenceData!$I$640),"",ReferenceData!$I$640),"")</f>
        <v>171.64107396200001</v>
      </c>
      <c r="J640">
        <f ca="1">IFERROR(IF(0=LEN(ReferenceData!$J$640),"",ReferenceData!$J$640),"")</f>
        <v>167.59342603599998</v>
      </c>
    </row>
    <row r="641" spans="1:10" x14ac:dyDescent="0.25">
      <c r="A641" t="str">
        <f>IFERROR(IF(0=LEN(ReferenceData!$A$641),"",ReferenceData!$A$641),"")</f>
        <v xml:space="preserve">                        Allegiant Travel Co</v>
      </c>
      <c r="B641" t="str">
        <f>IFERROR(IF(0=LEN(ReferenceData!$B$641),"",ReferenceData!$B$641),"")</f>
        <v>ALGT US Equity</v>
      </c>
      <c r="C641" t="str">
        <f>IFERROR(IF(0=LEN(ReferenceData!$C$641),"",ReferenceData!$C$641),"")</f>
        <v>F0946</v>
      </c>
      <c r="D641" t="str">
        <f>IFERROR(IF(0=LEN(ReferenceData!$D$641),"",ReferenceData!$D$641),"")</f>
        <v>TOTAL_GHG_CO2_EMISSIONS</v>
      </c>
      <c r="E641" t="str">
        <f>IFERROR(IF(0=LEN(ReferenceData!$E$641),"",ReferenceData!$E$641),"")</f>
        <v>Dynamic</v>
      </c>
      <c r="F641" t="str">
        <f ca="1">IFERROR(IF(0=LEN(ReferenceData!$F$641),"",ReferenceData!$F$641),"")</f>
        <v/>
      </c>
      <c r="G641">
        <f ca="1">IFERROR(IF(0=LEN(ReferenceData!$G$641),"",ReferenceData!$G$641),"")</f>
        <v>1.9878100590000001</v>
      </c>
      <c r="H641" t="str">
        <f ca="1">IFERROR(IF(0=LEN(ReferenceData!$H$641),"",ReferenceData!$H$641),"")</f>
        <v/>
      </c>
      <c r="I641" t="str">
        <f ca="1">IFERROR(IF(0=LEN(ReferenceData!$I$641),"",ReferenceData!$I$641),"")</f>
        <v/>
      </c>
      <c r="J641" t="str">
        <f ca="1">IFERROR(IF(0=LEN(ReferenceData!$J$641),"",ReferenceData!$J$641),"")</f>
        <v/>
      </c>
    </row>
    <row r="642" spans="1:10" x14ac:dyDescent="0.25">
      <c r="A642" t="str">
        <f>IFERROR(IF(0=LEN(ReferenceData!$A$642),"",ReferenceData!$A$642),"")</f>
        <v xml:space="preserve">                        American Airlines Group Inc</v>
      </c>
      <c r="B642" t="str">
        <f>IFERROR(IF(0=LEN(ReferenceData!$B$642),"",ReferenceData!$B$642),"")</f>
        <v>AAL US Equity</v>
      </c>
      <c r="C642" t="str">
        <f>IFERROR(IF(0=LEN(ReferenceData!$C$642),"",ReferenceData!$C$642),"")</f>
        <v>F0946</v>
      </c>
      <c r="D642" t="str">
        <f>IFERROR(IF(0=LEN(ReferenceData!$D$642),"",ReferenceData!$D$642),"")</f>
        <v>TOTAL_GHG_CO2_EMISSIONS</v>
      </c>
      <c r="E642" t="str">
        <f>IFERROR(IF(0=LEN(ReferenceData!$E$642),"",ReferenceData!$E$642),"")</f>
        <v>Dynamic</v>
      </c>
      <c r="F642" t="str">
        <f ca="1">IFERROR(IF(0=LEN(ReferenceData!$F$642),"",ReferenceData!$F$642),"")</f>
        <v/>
      </c>
      <c r="G642">
        <f ca="1">IFERROR(IF(0=LEN(ReferenceData!$G$642),"",ReferenceData!$G$642),"")</f>
        <v>29.06090039</v>
      </c>
      <c r="H642">
        <f ca="1">IFERROR(IF(0=LEN(ReferenceData!$H$642),"",ReferenceData!$H$642),"")</f>
        <v>20.088999999999999</v>
      </c>
      <c r="I642">
        <f ca="1">IFERROR(IF(0=LEN(ReferenceData!$I$642),"",ReferenceData!$I$642),"")</f>
        <v>41.43960156</v>
      </c>
      <c r="J642">
        <f ca="1">IFERROR(IF(0=LEN(ReferenceData!$J$642),"",ReferenceData!$J$642),"")</f>
        <v>40.604898439999999</v>
      </c>
    </row>
    <row r="643" spans="1:10" x14ac:dyDescent="0.25">
      <c r="A643" t="str">
        <f>IFERROR(IF(0=LEN(ReferenceData!$A$643),"",ReferenceData!$A$643),"")</f>
        <v xml:space="preserve">                        Air Canada</v>
      </c>
      <c r="B643" t="str">
        <f>IFERROR(IF(0=LEN(ReferenceData!$B$643),"",ReferenceData!$B$643),"")</f>
        <v>AC CN Equity</v>
      </c>
      <c r="C643" t="str">
        <f>IFERROR(IF(0=LEN(ReferenceData!$C$643),"",ReferenceData!$C$643),"")</f>
        <v>F0946</v>
      </c>
      <c r="D643" t="str">
        <f>IFERROR(IF(0=LEN(ReferenceData!$D$643),"",ReferenceData!$D$643),"")</f>
        <v>TOTAL_GHG_CO2_EMISSIONS</v>
      </c>
      <c r="E643" t="str">
        <f>IFERROR(IF(0=LEN(ReferenceData!$E$643),"",ReferenceData!$E$643),"")</f>
        <v>Dynamic</v>
      </c>
      <c r="F643" t="str">
        <f ca="1">IFERROR(IF(0=LEN(ReferenceData!$F$643),"",ReferenceData!$F$643),"")</f>
        <v/>
      </c>
      <c r="G643">
        <f ca="1">IFERROR(IF(0=LEN(ReferenceData!$G$643),"",ReferenceData!$G$643),"")</f>
        <v>4.9203999019999998</v>
      </c>
      <c r="H643">
        <f ca="1">IFERROR(IF(0=LEN(ReferenceData!$H$643),"",ReferenceData!$H$643),"")</f>
        <v>5.0442499999999999</v>
      </c>
      <c r="I643">
        <f ca="1">IFERROR(IF(0=LEN(ReferenceData!$I$643),"",ReferenceData!$I$643),"")</f>
        <v>13.215799799999999</v>
      </c>
      <c r="J643">
        <f ca="1">IFERROR(IF(0=LEN(ReferenceData!$J$643),"",ReferenceData!$J$643),"")</f>
        <v>12.8852002</v>
      </c>
    </row>
    <row r="644" spans="1:10" x14ac:dyDescent="0.25">
      <c r="A644" t="str">
        <f>IFERROR(IF(0=LEN(ReferenceData!$A$644),"",ReferenceData!$A$644),"")</f>
        <v xml:space="preserve">                        Alaska Air Group Inc</v>
      </c>
      <c r="B644" t="str">
        <f>IFERROR(IF(0=LEN(ReferenceData!$B$644),"",ReferenceData!$B$644),"")</f>
        <v>ALK US Equity</v>
      </c>
      <c r="C644" t="str">
        <f>IFERROR(IF(0=LEN(ReferenceData!$C$644),"",ReferenceData!$C$644),"")</f>
        <v>F0946</v>
      </c>
      <c r="D644" t="str">
        <f>IFERROR(IF(0=LEN(ReferenceData!$D$644),"",ReferenceData!$D$644),"")</f>
        <v>TOTAL_GHG_CO2_EMISSIONS</v>
      </c>
      <c r="E644" t="str">
        <f>IFERROR(IF(0=LEN(ReferenceData!$E$644),"",ReferenceData!$E$644),"")</f>
        <v>Dynamic</v>
      </c>
      <c r="F644" t="str">
        <f ca="1">IFERROR(IF(0=LEN(ReferenceData!$F$644),"",ReferenceData!$F$644),"")</f>
        <v/>
      </c>
      <c r="G644">
        <f ca="1">IFERROR(IF(0=LEN(ReferenceData!$G$644),"",ReferenceData!$G$644),"")</f>
        <v>5.9703999019999996</v>
      </c>
      <c r="H644">
        <f ca="1">IFERROR(IF(0=LEN(ReferenceData!$H$644),"",ReferenceData!$H$644),"")</f>
        <v>4.1798701170000001</v>
      </c>
      <c r="I644">
        <f ca="1">IFERROR(IF(0=LEN(ReferenceData!$I$644),"",ReferenceData!$I$644),"")</f>
        <v>7.9870297849999998</v>
      </c>
      <c r="J644">
        <f ca="1">IFERROR(IF(0=LEN(ReferenceData!$J$644),"",ReferenceData!$J$644),"")</f>
        <v>7.7619999999999996</v>
      </c>
    </row>
    <row r="645" spans="1:10" x14ac:dyDescent="0.25">
      <c r="A645" t="str">
        <f>IFERROR(IF(0=LEN(ReferenceData!$A$645),"",ReferenceData!$A$645),"")</f>
        <v xml:space="preserve">                        Copa Holdings SA</v>
      </c>
      <c r="B645" t="str">
        <f>IFERROR(IF(0=LEN(ReferenceData!$B$645),"",ReferenceData!$B$645),"")</f>
        <v>CPA US Equity</v>
      </c>
      <c r="C645" t="str">
        <f>IFERROR(IF(0=LEN(ReferenceData!$C$645),"",ReferenceData!$C$645),"")</f>
        <v>F0946</v>
      </c>
      <c r="D645" t="str">
        <f>IFERROR(IF(0=LEN(ReferenceData!$D$645),"",ReferenceData!$D$645),"")</f>
        <v>TOTAL_GHG_CO2_EMISSIONS</v>
      </c>
      <c r="E645" t="str">
        <f>IFERROR(IF(0=LEN(ReferenceData!$E$645),"",ReferenceData!$E$645),"")</f>
        <v>Dynamic</v>
      </c>
      <c r="F645" t="str">
        <f ca="1">IFERROR(IF(0=LEN(ReferenceData!$F$645),"",ReferenceData!$F$645),"")</f>
        <v/>
      </c>
      <c r="G645">
        <f ca="1">IFERROR(IF(0=LEN(ReferenceData!$G$645),"",ReferenceData!$G$645),"")</f>
        <v>1.70352002</v>
      </c>
      <c r="H645">
        <f ca="1">IFERROR(IF(0=LEN(ReferenceData!$H$645),"",ReferenceData!$H$645),"")</f>
        <v>0.88630297899999999</v>
      </c>
      <c r="I645" t="str">
        <f ca="1">IFERROR(IF(0=LEN(ReferenceData!$I$645),"",ReferenceData!$I$645),"")</f>
        <v/>
      </c>
      <c r="J645" t="str">
        <f ca="1">IFERROR(IF(0=LEN(ReferenceData!$J$645),"",ReferenceData!$J$645),"")</f>
        <v/>
      </c>
    </row>
    <row r="646" spans="1:10" x14ac:dyDescent="0.25">
      <c r="A646" t="str">
        <f>IFERROR(IF(0=LEN(ReferenceData!$A$646),"",ReferenceData!$A$646),"")</f>
        <v xml:space="preserve">                        Controladora Vuela Cia de Avia</v>
      </c>
      <c r="B646" t="str">
        <f>IFERROR(IF(0=LEN(ReferenceData!$B$646),"",ReferenceData!$B$646),"")</f>
        <v>VOLARA MM Equity</v>
      </c>
      <c r="C646" t="str">
        <f>IFERROR(IF(0=LEN(ReferenceData!$C$646),"",ReferenceData!$C$646),"")</f>
        <v>F0946</v>
      </c>
      <c r="D646" t="str">
        <f>IFERROR(IF(0=LEN(ReferenceData!$D$646),"",ReferenceData!$D$646),"")</f>
        <v>TOTAL_GHG_CO2_EMISSIONS</v>
      </c>
      <c r="E646" t="str">
        <f>IFERROR(IF(0=LEN(ReferenceData!$E$646),"",ReferenceData!$E$646),"")</f>
        <v>Dynamic</v>
      </c>
      <c r="F646" t="str">
        <f ca="1">IFERROR(IF(0=LEN(ReferenceData!$F$646),"",ReferenceData!$F$646),"")</f>
        <v/>
      </c>
      <c r="G646">
        <f ca="1">IFERROR(IF(0=LEN(ReferenceData!$G$646),"",ReferenceData!$G$646),"")</f>
        <v>2.6845400389999998</v>
      </c>
      <c r="H646">
        <f ca="1">IFERROR(IF(0=LEN(ReferenceData!$H$646),"",ReferenceData!$H$646),"")</f>
        <v>2.1169699710000001</v>
      </c>
      <c r="I646">
        <f ca="1">IFERROR(IF(0=LEN(ReferenceData!$I$646),"",ReferenceData!$I$646),"")</f>
        <v>2.4170300290000002</v>
      </c>
      <c r="J646">
        <f ca="1">IFERROR(IF(0=LEN(ReferenceData!$J$646),"",ReferenceData!$J$646),"")</f>
        <v>2.3331799320000002</v>
      </c>
    </row>
    <row r="647" spans="1:10" x14ac:dyDescent="0.25">
      <c r="A647" t="str">
        <f>IFERROR(IF(0=LEN(ReferenceData!$A$647),"",ReferenceData!$A$647),"")</f>
        <v xml:space="preserve">                        Delta Air Lines Inc</v>
      </c>
      <c r="B647" t="str">
        <f>IFERROR(IF(0=LEN(ReferenceData!$B$647),"",ReferenceData!$B$647),"")</f>
        <v>DAL US Equity</v>
      </c>
      <c r="C647" t="str">
        <f>IFERROR(IF(0=LEN(ReferenceData!$C$647),"",ReferenceData!$C$647),"")</f>
        <v>F0946</v>
      </c>
      <c r="D647" t="str">
        <f>IFERROR(IF(0=LEN(ReferenceData!$D$647),"",ReferenceData!$D$647),"")</f>
        <v>TOTAL_GHG_CO2_EMISSIONS</v>
      </c>
      <c r="E647" t="str">
        <f>IFERROR(IF(0=LEN(ReferenceData!$E$647),"",ReferenceData!$E$647),"")</f>
        <v>Dynamic</v>
      </c>
      <c r="F647">
        <f ca="1">IFERROR(IF(0=LEN(ReferenceData!$F$647),"",ReferenceData!$F$647),"")</f>
        <v>30.944500000000001</v>
      </c>
      <c r="G647">
        <f ca="1">IFERROR(IF(0=LEN(ReferenceData!$G$647),"",ReferenceData!$G$647),"")</f>
        <v>24.807500000000001</v>
      </c>
      <c r="H647">
        <f ca="1">IFERROR(IF(0=LEN(ReferenceData!$H$647),"",ReferenceData!$H$647),"")</f>
        <v>17.81559961</v>
      </c>
      <c r="I647">
        <f ca="1">IFERROR(IF(0=LEN(ReferenceData!$I$647),"",ReferenceData!$I$647),"")</f>
        <v>38.452601559999998</v>
      </c>
      <c r="J647">
        <f ca="1">IFERROR(IF(0=LEN(ReferenceData!$J$647),"",ReferenceData!$J$647),"")</f>
        <v>37.267898440000003</v>
      </c>
    </row>
    <row r="648" spans="1:10" x14ac:dyDescent="0.25">
      <c r="A648" t="str">
        <f>IFERROR(IF(0=LEN(ReferenceData!$A$648),"",ReferenceData!$A$648),"")</f>
        <v xml:space="preserve">                        Frontier Group Holdings Inc</v>
      </c>
      <c r="B648" t="str">
        <f>IFERROR(IF(0=LEN(ReferenceData!$B$648),"",ReferenceData!$B$648),"")</f>
        <v>ULCC US Equity</v>
      </c>
      <c r="C648" t="str">
        <f>IFERROR(IF(0=LEN(ReferenceData!$C$648),"",ReferenceData!$C$648),"")</f>
        <v>F0946</v>
      </c>
      <c r="D648" t="str">
        <f>IFERROR(IF(0=LEN(ReferenceData!$D$648),"",ReferenceData!$D$648),"")</f>
        <v>TOTAL_GHG_CO2_EMISSIONS</v>
      </c>
      <c r="E648" t="str">
        <f>IFERROR(IF(0=LEN(ReferenceData!$E$648),"",ReferenceData!$E$648),"")</f>
        <v>Dynamic</v>
      </c>
      <c r="F648" t="str">
        <f ca="1">IFERROR(IF(0=LEN(ReferenceData!$F$648),"",ReferenceData!$F$648),"")</f>
        <v/>
      </c>
      <c r="G648" t="str">
        <f ca="1">IFERROR(IF(0=LEN(ReferenceData!$G$648),"",ReferenceData!$G$648),"")</f>
        <v/>
      </c>
      <c r="H648" t="str">
        <f ca="1">IFERROR(IF(0=LEN(ReferenceData!$H$648),"",ReferenceData!$H$648),"")</f>
        <v/>
      </c>
      <c r="I648" t="str">
        <f ca="1">IFERROR(IF(0=LEN(ReferenceData!$I$648),"",ReferenceData!$I$648),"")</f>
        <v/>
      </c>
      <c r="J648" t="str">
        <f ca="1">IFERROR(IF(0=LEN(ReferenceData!$J$648),"",ReferenceData!$J$648),"")</f>
        <v/>
      </c>
    </row>
    <row r="649" spans="1:10" x14ac:dyDescent="0.25">
      <c r="A649" t="str">
        <f>IFERROR(IF(0=LEN(ReferenceData!$A$649),"",ReferenceData!$A$649),"")</f>
        <v xml:space="preserve">                        Grupo Aeromexico SAB de CV</v>
      </c>
      <c r="B649" t="str">
        <f>IFERROR(IF(0=LEN(ReferenceData!$B$649),"",ReferenceData!$B$649),"")</f>
        <v>AEROMEX* MM Equity</v>
      </c>
      <c r="C649" t="str">
        <f>IFERROR(IF(0=LEN(ReferenceData!$C$649),"",ReferenceData!$C$649),"")</f>
        <v>F0946</v>
      </c>
      <c r="D649" t="str">
        <f>IFERROR(IF(0=LEN(ReferenceData!$D$649),"",ReferenceData!$D$649),"")</f>
        <v>TOTAL_GHG_CO2_EMISSIONS</v>
      </c>
      <c r="E649" t="str">
        <f>IFERROR(IF(0=LEN(ReferenceData!$E$649),"",ReferenceData!$E$649),"")</f>
        <v>Dynamic</v>
      </c>
      <c r="F649" t="str">
        <f ca="1">IFERROR(IF(0=LEN(ReferenceData!$F$649),"",ReferenceData!$F$649),"")</f>
        <v/>
      </c>
      <c r="G649">
        <f ca="1">IFERROR(IF(0=LEN(ReferenceData!$G$649),"",ReferenceData!$G$649),"")</f>
        <v>2.8746599119999998</v>
      </c>
      <c r="H649">
        <f ca="1">IFERROR(IF(0=LEN(ReferenceData!$H$649),"",ReferenceData!$H$649),"")</f>
        <v>2.0476600340000002</v>
      </c>
      <c r="I649">
        <f ca="1">IFERROR(IF(0=LEN(ReferenceData!$I$649),"",ReferenceData!$I$649),"")</f>
        <v>4.1866098630000002</v>
      </c>
      <c r="J649">
        <f ca="1">IFERROR(IF(0=LEN(ReferenceData!$J$649),"",ReferenceData!$J$649),"")</f>
        <v>4.2914501950000004</v>
      </c>
    </row>
    <row r="650" spans="1:10" x14ac:dyDescent="0.25">
      <c r="A650" t="str">
        <f>IFERROR(IF(0=LEN(ReferenceData!$A$650),"",ReferenceData!$A$650),"")</f>
        <v xml:space="preserve">                        Hawaiian Holdings Inc</v>
      </c>
      <c r="B650" t="str">
        <f>IFERROR(IF(0=LEN(ReferenceData!$B$650),"",ReferenceData!$B$650),"")</f>
        <v>HA US Equity</v>
      </c>
      <c r="C650" t="str">
        <f>IFERROR(IF(0=LEN(ReferenceData!$C$650),"",ReferenceData!$C$650),"")</f>
        <v>F0946</v>
      </c>
      <c r="D650" t="str">
        <f>IFERROR(IF(0=LEN(ReferenceData!$D$650),"",ReferenceData!$D$650),"")</f>
        <v>TOTAL_GHG_CO2_EMISSIONS</v>
      </c>
      <c r="E650" t="str">
        <f>IFERROR(IF(0=LEN(ReferenceData!$E$650),"",ReferenceData!$E$650),"")</f>
        <v>Dynamic</v>
      </c>
      <c r="F650" t="str">
        <f ca="1">IFERROR(IF(0=LEN(ReferenceData!$F$650),"",ReferenceData!$F$650),"")</f>
        <v/>
      </c>
      <c r="G650">
        <f ca="1">IFERROR(IF(0=LEN(ReferenceData!$G$650),"",ReferenceData!$G$650),"")</f>
        <v>1.734290039</v>
      </c>
      <c r="H650">
        <f ca="1">IFERROR(IF(0=LEN(ReferenceData!$H$650),"",ReferenceData!$H$650),"")</f>
        <v>1.02922998</v>
      </c>
      <c r="I650" t="str">
        <f ca="1">IFERROR(IF(0=LEN(ReferenceData!$I$650),"",ReferenceData!$I$650),"")</f>
        <v/>
      </c>
      <c r="J650" t="str">
        <f ca="1">IFERROR(IF(0=LEN(ReferenceData!$J$650),"",ReferenceData!$J$650),"")</f>
        <v/>
      </c>
    </row>
    <row r="651" spans="1:10" x14ac:dyDescent="0.25">
      <c r="A651" t="str">
        <f>IFERROR(IF(0=LEN(ReferenceData!$A$651),"",ReferenceData!$A$651),"")</f>
        <v xml:space="preserve">                        JetBlue Airways Corp</v>
      </c>
      <c r="B651" t="str">
        <f>IFERROR(IF(0=LEN(ReferenceData!$B$651),"",ReferenceData!$B$651),"")</f>
        <v>JBLU US Equity</v>
      </c>
      <c r="C651" t="str">
        <f>IFERROR(IF(0=LEN(ReferenceData!$C$651),"",ReferenceData!$C$651),"")</f>
        <v>F0946</v>
      </c>
      <c r="D651" t="str">
        <f>IFERROR(IF(0=LEN(ReferenceData!$D$651),"",ReferenceData!$D$651),"")</f>
        <v>TOTAL_GHG_CO2_EMISSIONS</v>
      </c>
      <c r="E651" t="str">
        <f>IFERROR(IF(0=LEN(ReferenceData!$E$651),"",ReferenceData!$E$651),"")</f>
        <v>Dynamic</v>
      </c>
      <c r="F651" t="str">
        <f ca="1">IFERROR(IF(0=LEN(ReferenceData!$F$651),"",ReferenceData!$F$651),"")</f>
        <v/>
      </c>
      <c r="G651">
        <f ca="1">IFERROR(IF(0=LEN(ReferenceData!$G$651),"",ReferenceData!$G$651),"")</f>
        <v>6.8798701170000003</v>
      </c>
      <c r="H651">
        <f ca="1">IFERROR(IF(0=LEN(ReferenceData!$H$651),"",ReferenceData!$H$651),"")</f>
        <v>4.0873000490000004</v>
      </c>
      <c r="I651">
        <f ca="1">IFERROR(IF(0=LEN(ReferenceData!$I$651),"",ReferenceData!$I$651),"")</f>
        <v>8.7567001950000005</v>
      </c>
      <c r="J651">
        <f ca="1">IFERROR(IF(0=LEN(ReferenceData!$J$651),"",ReferenceData!$J$651),"")</f>
        <v>8.3975996090000002</v>
      </c>
    </row>
    <row r="652" spans="1:10" x14ac:dyDescent="0.25">
      <c r="A652" t="str">
        <f>IFERROR(IF(0=LEN(ReferenceData!$A$652),"",ReferenceData!$A$652),"")</f>
        <v xml:space="preserve">                        SkyWest Inc</v>
      </c>
      <c r="B652" t="str">
        <f>IFERROR(IF(0=LEN(ReferenceData!$B$652),"",ReferenceData!$B$652),"")</f>
        <v>SKYW US Equity</v>
      </c>
      <c r="C652" t="str">
        <f>IFERROR(IF(0=LEN(ReferenceData!$C$652),"",ReferenceData!$C$652),"")</f>
        <v>F0946</v>
      </c>
      <c r="D652" t="str">
        <f>IFERROR(IF(0=LEN(ReferenceData!$D$652),"",ReferenceData!$D$652),"")</f>
        <v>TOTAL_GHG_CO2_EMISSIONS</v>
      </c>
      <c r="E652" t="str">
        <f>IFERROR(IF(0=LEN(ReferenceData!$E$652),"",ReferenceData!$E$652),"")</f>
        <v>Dynamic</v>
      </c>
      <c r="F652" t="str">
        <f ca="1">IFERROR(IF(0=LEN(ReferenceData!$F$652),"",ReferenceData!$F$652),"")</f>
        <v/>
      </c>
      <c r="G652">
        <f ca="1">IFERROR(IF(0=LEN(ReferenceData!$G$652),"",ReferenceData!$G$652),"")</f>
        <v>5.7285600590000003</v>
      </c>
      <c r="H652" t="str">
        <f ca="1">IFERROR(IF(0=LEN(ReferenceData!$H$652),"",ReferenceData!$H$652),"")</f>
        <v/>
      </c>
      <c r="I652" t="str">
        <f ca="1">IFERROR(IF(0=LEN(ReferenceData!$I$652),"",ReferenceData!$I$652),"")</f>
        <v/>
      </c>
      <c r="J652" t="str">
        <f ca="1">IFERROR(IF(0=LEN(ReferenceData!$J$652),"",ReferenceData!$J$652),"")</f>
        <v/>
      </c>
    </row>
    <row r="653" spans="1:10" x14ac:dyDescent="0.25">
      <c r="A653" t="str">
        <f>IFERROR(IF(0=LEN(ReferenceData!$A$653),"",ReferenceData!$A$653),"")</f>
        <v xml:space="preserve">                        Southwest Airlines Co</v>
      </c>
      <c r="B653" t="str">
        <f>IFERROR(IF(0=LEN(ReferenceData!$B$653),"",ReferenceData!$B$653),"")</f>
        <v>LUV US Equity</v>
      </c>
      <c r="C653" t="str">
        <f>IFERROR(IF(0=LEN(ReferenceData!$C$653),"",ReferenceData!$C$653),"")</f>
        <v>F0946</v>
      </c>
      <c r="D653" t="str">
        <f>IFERROR(IF(0=LEN(ReferenceData!$D$653),"",ReferenceData!$D$653),"")</f>
        <v>TOTAL_GHG_CO2_EMISSIONS</v>
      </c>
      <c r="E653" t="str">
        <f>IFERROR(IF(0=LEN(ReferenceData!$E$653),"",ReferenceData!$E$653),"")</f>
        <v>Dynamic</v>
      </c>
      <c r="F653" t="str">
        <f ca="1">IFERROR(IF(0=LEN(ReferenceData!$F$653),"",ReferenceData!$F$653),"")</f>
        <v/>
      </c>
      <c r="G653">
        <f ca="1">IFERROR(IF(0=LEN(ReferenceData!$G$653),"",ReferenceData!$G$653),"")</f>
        <v>16.385999999999999</v>
      </c>
      <c r="H653">
        <f ca="1">IFERROR(IF(0=LEN(ReferenceData!$H$653),"",ReferenceData!$H$653),"")</f>
        <v>12.6302998</v>
      </c>
      <c r="I653">
        <f ca="1">IFERROR(IF(0=LEN(ReferenceData!$I$653),"",ReferenceData!$I$653),"")</f>
        <v>20.577099610000001</v>
      </c>
      <c r="J653">
        <f ca="1">IFERROR(IF(0=LEN(ReferenceData!$J$653),"",ReferenceData!$J$653),"")</f>
        <v>20.584699220000001</v>
      </c>
    </row>
    <row r="654" spans="1:10" x14ac:dyDescent="0.25">
      <c r="A654" t="str">
        <f>IFERROR(IF(0=LEN(ReferenceData!$A$654),"",ReferenceData!$A$654),"")</f>
        <v xml:space="preserve">                        Spirit Airlines Inc</v>
      </c>
      <c r="B654" t="str">
        <f>IFERROR(IF(0=LEN(ReferenceData!$B$654),"",ReferenceData!$B$654),"")</f>
        <v>SAVE US Equity</v>
      </c>
      <c r="C654" t="str">
        <f>IFERROR(IF(0=LEN(ReferenceData!$C$654),"",ReferenceData!$C$654),"")</f>
        <v>F0946</v>
      </c>
      <c r="D654" t="str">
        <f>IFERROR(IF(0=LEN(ReferenceData!$D$654),"",ReferenceData!$D$654),"")</f>
        <v>TOTAL_GHG_CO2_EMISSIONS</v>
      </c>
      <c r="E654" t="str">
        <f>IFERROR(IF(0=LEN(ReferenceData!$E$654),"",ReferenceData!$E$654),"")</f>
        <v>Dynamic</v>
      </c>
      <c r="F654" t="str">
        <f ca="1">IFERROR(IF(0=LEN(ReferenceData!$F$654),"",ReferenceData!$F$654),"")</f>
        <v/>
      </c>
      <c r="G654" t="str">
        <f ca="1">IFERROR(IF(0=LEN(ReferenceData!$G$654),"",ReferenceData!$G$654),"")</f>
        <v/>
      </c>
      <c r="H654" t="str">
        <f ca="1">IFERROR(IF(0=LEN(ReferenceData!$H$654),"",ReferenceData!$H$654),"")</f>
        <v/>
      </c>
      <c r="I654" t="str">
        <f ca="1">IFERROR(IF(0=LEN(ReferenceData!$I$654),"",ReferenceData!$I$654),"")</f>
        <v/>
      </c>
      <c r="J654" t="str">
        <f ca="1">IFERROR(IF(0=LEN(ReferenceData!$J$654),"",ReferenceData!$J$654),"")</f>
        <v/>
      </c>
    </row>
    <row r="655" spans="1:10" x14ac:dyDescent="0.25">
      <c r="A655" t="str">
        <f>IFERROR(IF(0=LEN(ReferenceData!$A$655),"",ReferenceData!$A$655),"")</f>
        <v xml:space="preserve">                        United Airlines Holdings Inc</v>
      </c>
      <c r="B655" t="str">
        <f>IFERROR(IF(0=LEN(ReferenceData!$B$655),"",ReferenceData!$B$655),"")</f>
        <v>UAL US Equity</v>
      </c>
      <c r="C655" t="str">
        <f>IFERROR(IF(0=LEN(ReferenceData!$C$655),"",ReferenceData!$C$655),"")</f>
        <v>F0946</v>
      </c>
      <c r="D655" t="str">
        <f>IFERROR(IF(0=LEN(ReferenceData!$D$655),"",ReferenceData!$D$655),"")</f>
        <v>TOTAL_GHG_CO2_EMISSIONS</v>
      </c>
      <c r="E655" t="str">
        <f>IFERROR(IF(0=LEN(ReferenceData!$E$655),"",ReferenceData!$E$655),"")</f>
        <v>Dynamic</v>
      </c>
      <c r="F655">
        <f ca="1">IFERROR(IF(0=LEN(ReferenceData!$F$655),"",ReferenceData!$F$655),"")</f>
        <v>30.565000000000001</v>
      </c>
      <c r="G655">
        <f ca="1">IFERROR(IF(0=LEN(ReferenceData!$G$655),"",ReferenceData!$G$655),"")</f>
        <v>21.55380078</v>
      </c>
      <c r="H655">
        <f ca="1">IFERROR(IF(0=LEN(ReferenceData!$H$655),"",ReferenceData!$H$655),"")</f>
        <v>15.68140039</v>
      </c>
      <c r="I655">
        <f ca="1">IFERROR(IF(0=LEN(ReferenceData!$I$655),"",ReferenceData!$I$655),"")</f>
        <v>34.608601559999997</v>
      </c>
      <c r="J655">
        <f ca="1">IFERROR(IF(0=LEN(ReferenceData!$J$655),"",ReferenceData!$J$655),"")</f>
        <v>33.466500000000003</v>
      </c>
    </row>
    <row r="656" spans="1:10" x14ac:dyDescent="0.25">
      <c r="A656" t="str">
        <f>IFERROR(IF(0=LEN(ReferenceData!$A$656),"",ReferenceData!$A$656),"")</f>
        <v xml:space="preserve">                    Rail Freight</v>
      </c>
      <c r="B656" t="str">
        <f>IFERROR(IF(0=LEN(ReferenceData!$B$656),"",ReferenceData!$B$656),"")</f>
        <v/>
      </c>
      <c r="C656" t="str">
        <f>IFERROR(IF(0=LEN(ReferenceData!$C$656),"",ReferenceData!$C$656),"")</f>
        <v/>
      </c>
      <c r="D656" t="str">
        <f>IFERROR(IF(0=LEN(ReferenceData!$D$656),"",ReferenceData!$D$656),"")</f>
        <v/>
      </c>
      <c r="E656" t="str">
        <f>IFERROR(IF(0=LEN(ReferenceData!$E$656),"",ReferenceData!$E$656),"")</f>
        <v>Sum</v>
      </c>
      <c r="F656" t="str">
        <f ca="1">IFERROR(IF(0=LEN(ReferenceData!$F$656),"",ReferenceData!$F$656),"")</f>
        <v/>
      </c>
      <c r="G656">
        <f ca="1">IFERROR(IF(0=LEN(ReferenceData!$G$656),"",ReferenceData!$G$656),"")</f>
        <v>26.133709961000001</v>
      </c>
      <c r="H656">
        <f ca="1">IFERROR(IF(0=LEN(ReferenceData!$H$656),"",ReferenceData!$H$656),"")</f>
        <v>25.566679688000001</v>
      </c>
      <c r="I656">
        <f ca="1">IFERROR(IF(0=LEN(ReferenceData!$I$656),"",ReferenceData!$I$656),"")</f>
        <v>29.019280029999997</v>
      </c>
      <c r="J656">
        <f ca="1">IFERROR(IF(0=LEN(ReferenceData!$J$656),"",ReferenceData!$J$656),"")</f>
        <v>30.734209965000005</v>
      </c>
    </row>
    <row r="657" spans="1:10" x14ac:dyDescent="0.25">
      <c r="A657" t="str">
        <f>IFERROR(IF(0=LEN(ReferenceData!$A$657),"",ReferenceData!$A$657),"")</f>
        <v xml:space="preserve">                        Canadian Pacific Railway Ltd</v>
      </c>
      <c r="B657" t="str">
        <f>IFERROR(IF(0=LEN(ReferenceData!$B$657),"",ReferenceData!$B$657),"")</f>
        <v>CP CN Equity</v>
      </c>
      <c r="C657" t="str">
        <f>IFERROR(IF(0=LEN(ReferenceData!$C$657),"",ReferenceData!$C$657),"")</f>
        <v>F0946</v>
      </c>
      <c r="D657" t="str">
        <f>IFERROR(IF(0=LEN(ReferenceData!$D$657),"",ReferenceData!$D$657),"")</f>
        <v>TOTAL_GHG_CO2_EMISSIONS</v>
      </c>
      <c r="E657" t="str">
        <f>IFERROR(IF(0=LEN(ReferenceData!$E$657),"",ReferenceData!$E$657),"")</f>
        <v>Dynamic</v>
      </c>
      <c r="F657" t="str">
        <f ca="1">IFERROR(IF(0=LEN(ReferenceData!$F$657),"",ReferenceData!$F$657),"")</f>
        <v/>
      </c>
      <c r="G657">
        <f ca="1">IFERROR(IF(0=LEN(ReferenceData!$G$657),"",ReferenceData!$G$657),"")</f>
        <v>2.991189941</v>
      </c>
      <c r="H657">
        <f ca="1">IFERROR(IF(0=LEN(ReferenceData!$H$657),"",ReferenceData!$H$657),"")</f>
        <v>3.0308701170000001</v>
      </c>
      <c r="I657">
        <f ca="1">IFERROR(IF(0=LEN(ReferenceData!$I$657),"",ReferenceData!$I$657),"")</f>
        <v>3.1792399900000001</v>
      </c>
      <c r="J657">
        <f ca="1">IFERROR(IF(0=LEN(ReferenceData!$J$657),"",ReferenceData!$J$657),"")</f>
        <v>3.1019399409999999</v>
      </c>
    </row>
    <row r="658" spans="1:10" x14ac:dyDescent="0.25">
      <c r="A658" t="str">
        <f>IFERROR(IF(0=LEN(ReferenceData!$A$658),"",ReferenceData!$A$658),"")</f>
        <v xml:space="preserve">                        CSX Corp</v>
      </c>
      <c r="B658" t="str">
        <f>IFERROR(IF(0=LEN(ReferenceData!$B$658),"",ReferenceData!$B$658),"")</f>
        <v>CSX US Equity</v>
      </c>
      <c r="C658" t="str">
        <f>IFERROR(IF(0=LEN(ReferenceData!$C$658),"",ReferenceData!$C$658),"")</f>
        <v>F0946</v>
      </c>
      <c r="D658" t="str">
        <f>IFERROR(IF(0=LEN(ReferenceData!$D$658),"",ReferenceData!$D$658),"")</f>
        <v>TOTAL_GHG_CO2_EMISSIONS</v>
      </c>
      <c r="E658" t="str">
        <f>IFERROR(IF(0=LEN(ReferenceData!$E$658),"",ReferenceData!$E$658),"")</f>
        <v>Dynamic</v>
      </c>
      <c r="F658" t="str">
        <f ca="1">IFERROR(IF(0=LEN(ReferenceData!$F$658),"",ReferenceData!$F$658),"")</f>
        <v/>
      </c>
      <c r="G658">
        <f ca="1">IFERROR(IF(0=LEN(ReferenceData!$G$658),"",ReferenceData!$G$658),"")</f>
        <v>4.1294199220000003</v>
      </c>
      <c r="H658">
        <f ca="1">IFERROR(IF(0=LEN(ReferenceData!$H$658),"",ReferenceData!$H$658),"")</f>
        <v>4.0007399899999996</v>
      </c>
      <c r="I658">
        <f ca="1">IFERROR(IF(0=LEN(ReferenceData!$I$658),"",ReferenceData!$I$658),"")</f>
        <v>4.504919922</v>
      </c>
      <c r="J658">
        <f ca="1">IFERROR(IF(0=LEN(ReferenceData!$J$658),"",ReferenceData!$J$658),"")</f>
        <v>4.7816201170000001</v>
      </c>
    </row>
    <row r="659" spans="1:10" x14ac:dyDescent="0.25">
      <c r="A659" t="str">
        <f>IFERROR(IF(0=LEN(ReferenceData!$A$659),"",ReferenceData!$A$659),"")</f>
        <v xml:space="preserve">                        Canadian National Railway Co</v>
      </c>
      <c r="B659" t="str">
        <f>IFERROR(IF(0=LEN(ReferenceData!$B$659),"",ReferenceData!$B$659),"")</f>
        <v>CNR CN Equity</v>
      </c>
      <c r="C659" t="str">
        <f>IFERROR(IF(0=LEN(ReferenceData!$C$659),"",ReferenceData!$C$659),"")</f>
        <v>F0946</v>
      </c>
      <c r="D659" t="str">
        <f>IFERROR(IF(0=LEN(ReferenceData!$D$659),"",ReferenceData!$D$659),"")</f>
        <v>TOTAL_GHG_CO2_EMISSIONS</v>
      </c>
      <c r="E659" t="str">
        <f>IFERROR(IF(0=LEN(ReferenceData!$E$659),"",ReferenceData!$E$659),"")</f>
        <v>Dynamic</v>
      </c>
      <c r="F659" t="str">
        <f ca="1">IFERROR(IF(0=LEN(ReferenceData!$F$659),"",ReferenceData!$F$659),"")</f>
        <v/>
      </c>
      <c r="G659">
        <f ca="1">IFERROR(IF(0=LEN(ReferenceData!$G$659),"",ReferenceData!$G$659),"")</f>
        <v>5.2335600590000002</v>
      </c>
      <c r="H659">
        <f ca="1">IFERROR(IF(0=LEN(ReferenceData!$H$659),"",ReferenceData!$H$659),"")</f>
        <v>5.3976699220000004</v>
      </c>
      <c r="I659">
        <f ca="1">IFERROR(IF(0=LEN(ReferenceData!$I$659),"",ReferenceData!$I$659),"")</f>
        <v>5.934100098</v>
      </c>
      <c r="J659">
        <f ca="1">IFERROR(IF(0=LEN(ReferenceData!$J$659),"",ReferenceData!$J$659),"")</f>
        <v>5.9651699220000003</v>
      </c>
    </row>
    <row r="660" spans="1:10" x14ac:dyDescent="0.25">
      <c r="A660" t="str">
        <f>IFERROR(IF(0=LEN(ReferenceData!$A$660),"",ReferenceData!$A$660),"")</f>
        <v xml:space="preserve">                        Norfolk Southern Corp</v>
      </c>
      <c r="B660" t="str">
        <f>IFERROR(IF(0=LEN(ReferenceData!$B$660),"",ReferenceData!$B$660),"")</f>
        <v>NSC US Equity</v>
      </c>
      <c r="C660" t="str">
        <f>IFERROR(IF(0=LEN(ReferenceData!$C$660),"",ReferenceData!$C$660),"")</f>
        <v>F0946</v>
      </c>
      <c r="D660" t="str">
        <f>IFERROR(IF(0=LEN(ReferenceData!$D$660),"",ReferenceData!$D$660),"")</f>
        <v>TOTAL_GHG_CO2_EMISSIONS</v>
      </c>
      <c r="E660" t="str">
        <f>IFERROR(IF(0=LEN(ReferenceData!$E$660),"",ReferenceData!$E$660),"")</f>
        <v>Dynamic</v>
      </c>
      <c r="F660" t="str">
        <f ca="1">IFERROR(IF(0=LEN(ReferenceData!$F$660),"",ReferenceData!$F$660),"")</f>
        <v/>
      </c>
      <c r="G660">
        <f ca="1">IFERROR(IF(0=LEN(ReferenceData!$G$660),"",ReferenceData!$G$660),"")</f>
        <v>4.3137099609999998</v>
      </c>
      <c r="H660">
        <f ca="1">IFERROR(IF(0=LEN(ReferenceData!$H$660),"",ReferenceData!$H$660),"")</f>
        <v>3.9799299320000001</v>
      </c>
      <c r="I660">
        <f ca="1">IFERROR(IF(0=LEN(ReferenceData!$I$660),"",ReferenceData!$I$660),"")</f>
        <v>4.9855200200000001</v>
      </c>
      <c r="J660">
        <f ca="1">IFERROR(IF(0=LEN(ReferenceData!$J$660),"",ReferenceData!$J$660),"")</f>
        <v>5.1262797850000004</v>
      </c>
    </row>
    <row r="661" spans="1:10" x14ac:dyDescent="0.25">
      <c r="A661" t="str">
        <f>IFERROR(IF(0=LEN(ReferenceData!$A$661),"",ReferenceData!$A$661),"")</f>
        <v xml:space="preserve">                        Union Pacific Corp</v>
      </c>
      <c r="B661" t="str">
        <f>IFERROR(IF(0=LEN(ReferenceData!$B$661),"",ReferenceData!$B$661),"")</f>
        <v>UNP US Equity</v>
      </c>
      <c r="C661" t="str">
        <f>IFERROR(IF(0=LEN(ReferenceData!$C$661),"",ReferenceData!$C$661),"")</f>
        <v>F0946</v>
      </c>
      <c r="D661" t="str">
        <f>IFERROR(IF(0=LEN(ReferenceData!$D$661),"",ReferenceData!$D$661),"")</f>
        <v>TOTAL_GHG_CO2_EMISSIONS</v>
      </c>
      <c r="E661" t="str">
        <f>IFERROR(IF(0=LEN(ReferenceData!$E$661),"",ReferenceData!$E$661),"")</f>
        <v>Dynamic</v>
      </c>
      <c r="F661" t="str">
        <f ca="1">IFERROR(IF(0=LEN(ReferenceData!$F$661),"",ReferenceData!$F$661),"")</f>
        <v/>
      </c>
      <c r="G661">
        <f ca="1">IFERROR(IF(0=LEN(ReferenceData!$G$661),"",ReferenceData!$G$661),"")</f>
        <v>9.4658300779999998</v>
      </c>
      <c r="H661">
        <f ca="1">IFERROR(IF(0=LEN(ReferenceData!$H$661),"",ReferenceData!$H$661),"")</f>
        <v>9.1574697270000005</v>
      </c>
      <c r="I661">
        <f ca="1">IFERROR(IF(0=LEN(ReferenceData!$I$661),"",ReferenceData!$I$661),"")</f>
        <v>10.4155</v>
      </c>
      <c r="J661">
        <f ca="1">IFERROR(IF(0=LEN(ReferenceData!$J$661),"",ReferenceData!$J$661),"")</f>
        <v>11.7592002</v>
      </c>
    </row>
    <row r="662" spans="1:10" x14ac:dyDescent="0.25">
      <c r="A662" t="str">
        <f>IFERROR(IF(0=LEN(ReferenceData!$A$662),"",ReferenceData!$A$662),"")</f>
        <v xml:space="preserve">                    Courier Services</v>
      </c>
      <c r="B662" t="str">
        <f>IFERROR(IF(0=LEN(ReferenceData!$B$662),"",ReferenceData!$B$662),"")</f>
        <v/>
      </c>
      <c r="C662" t="str">
        <f>IFERROR(IF(0=LEN(ReferenceData!$C$662),"",ReferenceData!$C$662),"")</f>
        <v/>
      </c>
      <c r="D662" t="str">
        <f>IFERROR(IF(0=LEN(ReferenceData!$D$662),"",ReferenceData!$D$662),"")</f>
        <v/>
      </c>
      <c r="E662" t="str">
        <f>IFERROR(IF(0=LEN(ReferenceData!$E$662),"",ReferenceData!$E$662),"")</f>
        <v>Sum</v>
      </c>
      <c r="F662">
        <f ca="1">IFERROR(IF(0=LEN(ReferenceData!$F$662),"",ReferenceData!$F$662),"")</f>
        <v>26.171394005</v>
      </c>
      <c r="G662">
        <f ca="1">IFERROR(IF(0=LEN(ReferenceData!$G$662),"",ReferenceData!$G$662),"")</f>
        <v>50.928539040999993</v>
      </c>
      <c r="H662">
        <f ca="1">IFERROR(IF(0=LEN(ReferenceData!$H$662),"",ReferenceData!$H$662),"")</f>
        <v>49.224630443000002</v>
      </c>
      <c r="I662">
        <f ca="1">IFERROR(IF(0=LEN(ReferenceData!$I$662),"",ReferenceData!$I$662),"")</f>
        <v>44.932545177999998</v>
      </c>
      <c r="J662">
        <f ca="1">IFERROR(IF(0=LEN(ReferenceData!$J$662),"",ReferenceData!$J$662),"")</f>
        <v>45.300799060999999</v>
      </c>
    </row>
    <row r="663" spans="1:10" x14ac:dyDescent="0.25">
      <c r="A663" t="str">
        <f>IFERROR(IF(0=LEN(ReferenceData!$A$663),"",ReferenceData!$A$663),"")</f>
        <v xml:space="preserve">                        Express &amp; Courier Services</v>
      </c>
      <c r="B663" t="str">
        <f>IFERROR(IF(0=LEN(ReferenceData!$B$663),"",ReferenceData!$B$663),"")</f>
        <v/>
      </c>
      <c r="C663" t="str">
        <f>IFERROR(IF(0=LEN(ReferenceData!$C$663),"",ReferenceData!$C$663),"")</f>
        <v/>
      </c>
      <c r="D663" t="str">
        <f>IFERROR(IF(0=LEN(ReferenceData!$D$663),"",ReferenceData!$D$663),"")</f>
        <v/>
      </c>
      <c r="E663" t="str">
        <f>IFERROR(IF(0=LEN(ReferenceData!$E$663),"",ReferenceData!$E$663),"")</f>
        <v>Sum</v>
      </c>
      <c r="F663">
        <f ca="1">IFERROR(IF(0=LEN(ReferenceData!$F$663),"",ReferenceData!$F$663),"")</f>
        <v>26.171394005</v>
      </c>
      <c r="G663">
        <f ca="1">IFERROR(IF(0=LEN(ReferenceData!$G$663),"",ReferenceData!$G$663),"")</f>
        <v>50.928539040999993</v>
      </c>
      <c r="H663">
        <f ca="1">IFERROR(IF(0=LEN(ReferenceData!$H$663),"",ReferenceData!$H$663),"")</f>
        <v>49.224630443000002</v>
      </c>
      <c r="I663">
        <f ca="1">IFERROR(IF(0=LEN(ReferenceData!$I$663),"",ReferenceData!$I$663),"")</f>
        <v>44.932545177999998</v>
      </c>
      <c r="J663">
        <f ca="1">IFERROR(IF(0=LEN(ReferenceData!$J$663),"",ReferenceData!$J$663),"")</f>
        <v>45.300799060999999</v>
      </c>
    </row>
    <row r="664" spans="1:10" x14ac:dyDescent="0.25">
      <c r="A664" t="str">
        <f>IFERROR(IF(0=LEN(ReferenceData!$A$664),"",ReferenceData!$A$664),"")</f>
        <v xml:space="preserve">                        United States Postal Service</v>
      </c>
      <c r="B664" t="str">
        <f>IFERROR(IF(0=LEN(ReferenceData!$B$664),"",ReferenceData!$B$664),"")</f>
        <v>6507Z US Equity</v>
      </c>
      <c r="C664" t="str">
        <f>IFERROR(IF(0=LEN(ReferenceData!$C$664),"",ReferenceData!$C$664),"")</f>
        <v>F0946</v>
      </c>
      <c r="D664" t="str">
        <f>IFERROR(IF(0=LEN(ReferenceData!$D$664),"",ReferenceData!$D$664),"")</f>
        <v>TOTAL_GHG_CO2_EMISSIONS</v>
      </c>
      <c r="E664" t="str">
        <f>IFERROR(IF(0=LEN(ReferenceData!$E$664),"",ReferenceData!$E$664),"")</f>
        <v>Dynamic</v>
      </c>
      <c r="F664" t="str">
        <f ca="1">IFERROR(IF(0=LEN(ReferenceData!$F$664),"",ReferenceData!$F$664),"")</f>
        <v/>
      </c>
      <c r="G664" t="str">
        <f ca="1">IFERROR(IF(0=LEN(ReferenceData!$G$664),"",ReferenceData!$G$664),"")</f>
        <v/>
      </c>
      <c r="H664" t="str">
        <f ca="1">IFERROR(IF(0=LEN(ReferenceData!$H$664),"",ReferenceData!$H$664),"")</f>
        <v/>
      </c>
      <c r="I664" t="str">
        <f ca="1">IFERROR(IF(0=LEN(ReferenceData!$I$664),"",ReferenceData!$I$664),"")</f>
        <v/>
      </c>
      <c r="J664" t="str">
        <f ca="1">IFERROR(IF(0=LEN(ReferenceData!$J$664),"",ReferenceData!$J$664),"")</f>
        <v/>
      </c>
    </row>
    <row r="665" spans="1:10" x14ac:dyDescent="0.25">
      <c r="A665" t="str">
        <f>IFERROR(IF(0=LEN(ReferenceData!$A$665),"",ReferenceData!$A$665),"")</f>
        <v xml:space="preserve">                        Aramex PJSC</v>
      </c>
      <c r="B665" t="str">
        <f>IFERROR(IF(0=LEN(ReferenceData!$B$665),"",ReferenceData!$B$665),"")</f>
        <v>ARMX UH Equity</v>
      </c>
      <c r="C665" t="str">
        <f>IFERROR(IF(0=LEN(ReferenceData!$C$665),"",ReferenceData!$C$665),"")</f>
        <v>F0946</v>
      </c>
      <c r="D665" t="str">
        <f>IFERROR(IF(0=LEN(ReferenceData!$D$665),"",ReferenceData!$D$665),"")</f>
        <v>TOTAL_GHG_CO2_EMISSIONS</v>
      </c>
      <c r="E665" t="str">
        <f>IFERROR(IF(0=LEN(ReferenceData!$E$665),"",ReferenceData!$E$665),"")</f>
        <v>Dynamic</v>
      </c>
      <c r="F665">
        <f ca="1">IFERROR(IF(0=LEN(ReferenceData!$F$665),"",ReferenceData!$F$665),"")</f>
        <v>8.6911003000000001E-2</v>
      </c>
      <c r="G665">
        <f ca="1">IFERROR(IF(0=LEN(ReferenceData!$G$665),"",ReferenceData!$G$665),"")</f>
        <v>9.5421996999999995E-2</v>
      </c>
      <c r="H665">
        <f ca="1">IFERROR(IF(0=LEN(ReferenceData!$H$665),"",ReferenceData!$H$665),"")</f>
        <v>9.8660003999999996E-2</v>
      </c>
      <c r="I665">
        <f ca="1">IFERROR(IF(0=LEN(ReferenceData!$I$665),"",ReferenceData!$I$665),"")</f>
        <v>9.9269996999999999E-2</v>
      </c>
      <c r="J665">
        <f ca="1">IFERROR(IF(0=LEN(ReferenceData!$J$665),"",ReferenceData!$J$665),"")</f>
        <v>8.0814002999999995E-2</v>
      </c>
    </row>
    <row r="666" spans="1:10" x14ac:dyDescent="0.25">
      <c r="A666" t="str">
        <f>IFERROR(IF(0=LEN(ReferenceData!$A$666),"",ReferenceData!$A$666),"")</f>
        <v xml:space="preserve">                        Australian Postal Corp</v>
      </c>
      <c r="B666" t="str">
        <f>IFERROR(IF(0=LEN(ReferenceData!$B$666),"",ReferenceData!$B$666),"")</f>
        <v>1067Z AU Equity</v>
      </c>
      <c r="C666" t="str">
        <f>IFERROR(IF(0=LEN(ReferenceData!$C$666),"",ReferenceData!$C$666),"")</f>
        <v>F0946</v>
      </c>
      <c r="D666" t="str">
        <f>IFERROR(IF(0=LEN(ReferenceData!$D$666),"",ReferenceData!$D$666),"")</f>
        <v>TOTAL_GHG_CO2_EMISSIONS</v>
      </c>
      <c r="E666" t="str">
        <f>IFERROR(IF(0=LEN(ReferenceData!$E$666),"",ReferenceData!$E$666),"")</f>
        <v>Dynamic</v>
      </c>
      <c r="F666" t="str">
        <f ca="1">IFERROR(IF(0=LEN(ReferenceData!$F$666),"",ReferenceData!$F$666),"")</f>
        <v/>
      </c>
      <c r="G666" t="str">
        <f ca="1">IFERROR(IF(0=LEN(ReferenceData!$G$666),"",ReferenceData!$G$666),"")</f>
        <v/>
      </c>
      <c r="H666" t="str">
        <f ca="1">IFERROR(IF(0=LEN(ReferenceData!$H$666),"",ReferenceData!$H$666),"")</f>
        <v/>
      </c>
      <c r="I666" t="str">
        <f ca="1">IFERROR(IF(0=LEN(ReferenceData!$I$666),"",ReferenceData!$I$666),"")</f>
        <v/>
      </c>
      <c r="J666" t="str">
        <f ca="1">IFERROR(IF(0=LEN(ReferenceData!$J$666),"",ReferenceData!$J$666),"")</f>
        <v/>
      </c>
    </row>
    <row r="667" spans="1:10" x14ac:dyDescent="0.25">
      <c r="A667" t="str">
        <f>IFERROR(IF(0=LEN(ReferenceData!$A$667),"",ReferenceData!$A$667),"")</f>
        <v xml:space="preserve">                        Canada Post Corp</v>
      </c>
      <c r="B667" t="str">
        <f>IFERROR(IF(0=LEN(ReferenceData!$B$667),"",ReferenceData!$B$667),"")</f>
        <v>3471586Z US Equity</v>
      </c>
      <c r="C667" t="str">
        <f>IFERROR(IF(0=LEN(ReferenceData!$C$667),"",ReferenceData!$C$667),"")</f>
        <v>F0946</v>
      </c>
      <c r="D667" t="str">
        <f>IFERROR(IF(0=LEN(ReferenceData!$D$667),"",ReferenceData!$D$667),"")</f>
        <v>TOTAL_GHG_CO2_EMISSIONS</v>
      </c>
      <c r="E667" t="str">
        <f>IFERROR(IF(0=LEN(ReferenceData!$E$667),"",ReferenceData!$E$667),"")</f>
        <v>Dynamic</v>
      </c>
      <c r="F667" t="str">
        <f ca="1">IFERROR(IF(0=LEN(ReferenceData!$F$667),"",ReferenceData!$F$667),"")</f>
        <v/>
      </c>
      <c r="G667" t="str">
        <f ca="1">IFERROR(IF(0=LEN(ReferenceData!$G$667),"",ReferenceData!$G$667),"")</f>
        <v/>
      </c>
      <c r="H667" t="str">
        <f ca="1">IFERROR(IF(0=LEN(ReferenceData!$H$667),"",ReferenceData!$H$667),"")</f>
        <v/>
      </c>
      <c r="I667" t="str">
        <f ca="1">IFERROR(IF(0=LEN(ReferenceData!$I$667),"",ReferenceData!$I$667),"")</f>
        <v/>
      </c>
      <c r="J667" t="str">
        <f ca="1">IFERROR(IF(0=LEN(ReferenceData!$J$667),"",ReferenceData!$J$667),"")</f>
        <v/>
      </c>
    </row>
    <row r="668" spans="1:10" x14ac:dyDescent="0.25">
      <c r="A668" t="str">
        <f>IFERROR(IF(0=LEN(ReferenceData!$A$668),"",ReferenceData!$A$668),"")</f>
        <v xml:space="preserve">                        CJ Logistics Corp</v>
      </c>
      <c r="B668" t="str">
        <f>IFERROR(IF(0=LEN(ReferenceData!$B$668),"",ReferenceData!$B$668),"")</f>
        <v>000120 KS Equity</v>
      </c>
      <c r="C668" t="str">
        <f>IFERROR(IF(0=LEN(ReferenceData!$C$668),"",ReferenceData!$C$668),"")</f>
        <v>F0946</v>
      </c>
      <c r="D668" t="str">
        <f>IFERROR(IF(0=LEN(ReferenceData!$D$668),"",ReferenceData!$D$668),"")</f>
        <v>TOTAL_GHG_CO2_EMISSIONS</v>
      </c>
      <c r="E668" t="str">
        <f>IFERROR(IF(0=LEN(ReferenceData!$E$668),"",ReferenceData!$E$668),"")</f>
        <v>Dynamic</v>
      </c>
      <c r="F668" t="str">
        <f ca="1">IFERROR(IF(0=LEN(ReferenceData!$F$668),"",ReferenceData!$F$668),"")</f>
        <v/>
      </c>
      <c r="G668">
        <f ca="1">IFERROR(IF(0=LEN(ReferenceData!$G$668),"",ReferenceData!$G$668),"")</f>
        <v>0.228289993</v>
      </c>
      <c r="H668">
        <f ca="1">IFERROR(IF(0=LEN(ReferenceData!$H$668),"",ReferenceData!$H$668),"")</f>
        <v>0.22717599499999999</v>
      </c>
      <c r="I668">
        <f ca="1">IFERROR(IF(0=LEN(ReferenceData!$I$668),"",ReferenceData!$I$668),"")</f>
        <v>0.214807999</v>
      </c>
      <c r="J668">
        <f ca="1">IFERROR(IF(0=LEN(ReferenceData!$J$668),"",ReferenceData!$J$668),"")</f>
        <v>0.21665800499999999</v>
      </c>
    </row>
    <row r="669" spans="1:10" x14ac:dyDescent="0.25">
      <c r="A669" t="str">
        <f>IFERROR(IF(0=LEN(ReferenceData!$A$669),"",ReferenceData!$A$669),"")</f>
        <v xml:space="preserve">                        Deutsche Post AG</v>
      </c>
      <c r="B669" t="str">
        <f>IFERROR(IF(0=LEN(ReferenceData!$B$669),"",ReferenceData!$B$669),"")</f>
        <v>DPW GR Equity</v>
      </c>
      <c r="C669" t="str">
        <f>IFERROR(IF(0=LEN(ReferenceData!$C$669),"",ReferenceData!$C$669),"")</f>
        <v>F0946</v>
      </c>
      <c r="D669" t="str">
        <f>IFERROR(IF(0=LEN(ReferenceData!$D$669),"",ReferenceData!$D$669),"")</f>
        <v>TOTAL_GHG_CO2_EMISSIONS</v>
      </c>
      <c r="E669" t="str">
        <f>IFERROR(IF(0=LEN(ReferenceData!$E$669),"",ReferenceData!$E$669),"")</f>
        <v>Dynamic</v>
      </c>
      <c r="F669">
        <f ca="1">IFERROR(IF(0=LEN(ReferenceData!$F$669),"",ReferenceData!$F$669),"")</f>
        <v>8.99</v>
      </c>
      <c r="G669">
        <f ca="1">IFERROR(IF(0=LEN(ReferenceData!$G$669),"",ReferenceData!$G$669),"")</f>
        <v>8.07</v>
      </c>
      <c r="H669">
        <f ca="1">IFERROR(IF(0=LEN(ReferenceData!$H$669),"",ReferenceData!$H$669),"")</f>
        <v>7.2480000000000002</v>
      </c>
      <c r="I669">
        <f ca="1">IFERROR(IF(0=LEN(ReferenceData!$I$669),"",ReferenceData!$I$669),"")</f>
        <v>7.13</v>
      </c>
      <c r="J669">
        <f ca="1">IFERROR(IF(0=LEN(ReferenceData!$J$669),"",ReferenceData!$J$669),"")</f>
        <v>7.1</v>
      </c>
    </row>
    <row r="670" spans="1:10" x14ac:dyDescent="0.25">
      <c r="A670" t="str">
        <f>IFERROR(IF(0=LEN(ReferenceData!$A$670),"",ReferenceData!$A$670),"")</f>
        <v xml:space="preserve">                        Empresa Brasileira de Correios</v>
      </c>
      <c r="B670" t="str">
        <f>IFERROR(IF(0=LEN(ReferenceData!$B$670),"",ReferenceData!$B$670),"")</f>
        <v>3623171Z BZ Equity</v>
      </c>
      <c r="C670" t="str">
        <f>IFERROR(IF(0=LEN(ReferenceData!$C$670),"",ReferenceData!$C$670),"")</f>
        <v>F0946</v>
      </c>
      <c r="D670" t="str">
        <f>IFERROR(IF(0=LEN(ReferenceData!$D$670),"",ReferenceData!$D$670),"")</f>
        <v>TOTAL_GHG_CO2_EMISSIONS</v>
      </c>
      <c r="E670" t="str">
        <f>IFERROR(IF(0=LEN(ReferenceData!$E$670),"",ReferenceData!$E$670),"")</f>
        <v>Dynamic</v>
      </c>
      <c r="F670" t="str">
        <f ca="1">IFERROR(IF(0=LEN(ReferenceData!$F$670),"",ReferenceData!$F$670),"")</f>
        <v/>
      </c>
      <c r="G670" t="str">
        <f ca="1">IFERROR(IF(0=LEN(ReferenceData!$G$670),"",ReferenceData!$G$670),"")</f>
        <v/>
      </c>
      <c r="H670" t="str">
        <f ca="1">IFERROR(IF(0=LEN(ReferenceData!$H$670),"",ReferenceData!$H$670),"")</f>
        <v/>
      </c>
      <c r="I670" t="str">
        <f ca="1">IFERROR(IF(0=LEN(ReferenceData!$I$670),"",ReferenceData!$I$670),"")</f>
        <v/>
      </c>
      <c r="J670" t="str">
        <f ca="1">IFERROR(IF(0=LEN(ReferenceData!$J$670),"",ReferenceData!$J$670),"")</f>
        <v/>
      </c>
    </row>
    <row r="671" spans="1:10" x14ac:dyDescent="0.25">
      <c r="A671" t="str">
        <f>IFERROR(IF(0=LEN(ReferenceData!$A$671),"",ReferenceData!$A$671),"")</f>
        <v xml:space="preserve">                        FedEx Corp</v>
      </c>
      <c r="B671" t="str">
        <f>IFERROR(IF(0=LEN(ReferenceData!$B$671),"",ReferenceData!$B$671),"")</f>
        <v>FDX US Equity</v>
      </c>
      <c r="C671" t="str">
        <f>IFERROR(IF(0=LEN(ReferenceData!$C$671),"",ReferenceData!$C$671),"")</f>
        <v>F0946</v>
      </c>
      <c r="D671" t="str">
        <f>IFERROR(IF(0=LEN(ReferenceData!$D$671),"",ReferenceData!$D$671),"")</f>
        <v>TOTAL_GHG_CO2_EMISSIONS</v>
      </c>
      <c r="E671" t="str">
        <f>IFERROR(IF(0=LEN(ReferenceData!$E$671),"",ReferenceData!$E$671),"")</f>
        <v>Dynamic</v>
      </c>
      <c r="F671" t="str">
        <f ca="1">IFERROR(IF(0=LEN(ReferenceData!$F$671),"",ReferenceData!$F$671),"")</f>
        <v/>
      </c>
      <c r="G671">
        <f ca="1">IFERROR(IF(0=LEN(ReferenceData!$G$671),"",ReferenceData!$G$671),"")</f>
        <v>17.978300780000001</v>
      </c>
      <c r="H671">
        <f ca="1">IFERROR(IF(0=LEN(ReferenceData!$H$671),"",ReferenceData!$H$671),"")</f>
        <v>17.593900390000002</v>
      </c>
      <c r="I671">
        <f ca="1">IFERROR(IF(0=LEN(ReferenceData!$I$671),"",ReferenceData!$I$671),"")</f>
        <v>16.183599610000002</v>
      </c>
      <c r="J671">
        <f ca="1">IFERROR(IF(0=LEN(ReferenceData!$J$671),"",ReferenceData!$J$671),"")</f>
        <v>16.40219922</v>
      </c>
    </row>
    <row r="672" spans="1:10" x14ac:dyDescent="0.25">
      <c r="A672" t="str">
        <f>IFERROR(IF(0=LEN(ReferenceData!$A$672),"",ReferenceData!$A$672),"")</f>
        <v xml:space="preserve">                        Freightways Group Ltd</v>
      </c>
      <c r="B672" t="str">
        <f>IFERROR(IF(0=LEN(ReferenceData!$B$672),"",ReferenceData!$B$672),"")</f>
        <v>FRW NZ Equity</v>
      </c>
      <c r="C672" t="str">
        <f>IFERROR(IF(0=LEN(ReferenceData!$C$672),"",ReferenceData!$C$672),"")</f>
        <v>F0946</v>
      </c>
      <c r="D672" t="str">
        <f>IFERROR(IF(0=LEN(ReferenceData!$D$672),"",ReferenceData!$D$672),"")</f>
        <v>TOTAL_GHG_CO2_EMISSIONS</v>
      </c>
      <c r="E672" t="str">
        <f>IFERROR(IF(0=LEN(ReferenceData!$E$672),"",ReferenceData!$E$672),"")</f>
        <v>Dynamic</v>
      </c>
      <c r="F672" t="str">
        <f ca="1">IFERROR(IF(0=LEN(ReferenceData!$F$672),"",ReferenceData!$F$672),"")</f>
        <v/>
      </c>
      <c r="G672">
        <f ca="1">IFERROR(IF(0=LEN(ReferenceData!$G$672),"",ReferenceData!$G$672),"")</f>
        <v>1.4115900000000001E-2</v>
      </c>
      <c r="H672">
        <f ca="1">IFERROR(IF(0=LEN(ReferenceData!$H$672),"",ReferenceData!$H$672),"")</f>
        <v>4.5058299999999997E-3</v>
      </c>
      <c r="I672">
        <f ca="1">IFERROR(IF(0=LEN(ReferenceData!$I$672),"",ReferenceData!$I$672),"")</f>
        <v>4.7103600000000002E-3</v>
      </c>
      <c r="J672">
        <f ca="1">IFERROR(IF(0=LEN(ReferenceData!$J$672),"",ReferenceData!$J$672),"")</f>
        <v>4.7854100000000004E-3</v>
      </c>
    </row>
    <row r="673" spans="1:10" x14ac:dyDescent="0.25">
      <c r="A673" t="str">
        <f>IFERROR(IF(0=LEN(ReferenceData!$A$673),"",ReferenceData!$A$673),"")</f>
        <v xml:space="preserve">                        HMM Co Ltd</v>
      </c>
      <c r="B673" t="str">
        <f>IFERROR(IF(0=LEN(ReferenceData!$B$673),"",ReferenceData!$B$673),"")</f>
        <v>011200 KS Equity</v>
      </c>
      <c r="C673" t="str">
        <f>IFERROR(IF(0=LEN(ReferenceData!$C$673),"",ReferenceData!$C$673),"")</f>
        <v>F0946</v>
      </c>
      <c r="D673" t="str">
        <f>IFERROR(IF(0=LEN(ReferenceData!$D$673),"",ReferenceData!$D$673),"")</f>
        <v>TOTAL_GHG_CO2_EMISSIONS</v>
      </c>
      <c r="E673" t="str">
        <f>IFERROR(IF(0=LEN(ReferenceData!$E$673),"",ReferenceData!$E$673),"")</f>
        <v>Dynamic</v>
      </c>
      <c r="F673" t="str">
        <f ca="1">IFERROR(IF(0=LEN(ReferenceData!$F$673),"",ReferenceData!$F$673),"")</f>
        <v/>
      </c>
      <c r="G673">
        <f ca="1">IFERROR(IF(0=LEN(ReferenceData!$G$673),"",ReferenceData!$G$673),"")</f>
        <v>5.5133500980000001</v>
      </c>
      <c r="H673">
        <f ca="1">IFERROR(IF(0=LEN(ReferenceData!$H$673),"",ReferenceData!$H$673),"")</f>
        <v>4.9119702150000002</v>
      </c>
      <c r="I673">
        <f ca="1">IFERROR(IF(0=LEN(ReferenceData!$I$673),"",ReferenceData!$I$673),"")</f>
        <v>4.2374501950000001</v>
      </c>
      <c r="J673">
        <f ca="1">IFERROR(IF(0=LEN(ReferenceData!$J$673),"",ReferenceData!$J$673),"")</f>
        <v>4.7311601559999996</v>
      </c>
    </row>
    <row r="674" spans="1:10" x14ac:dyDescent="0.25">
      <c r="A674" t="str">
        <f>IFERROR(IF(0=LEN(ReferenceData!$A$674),"",ReferenceData!$A$674),"")</f>
        <v xml:space="preserve">                        Hanjin Transportation Co Ltd</v>
      </c>
      <c r="B674" t="str">
        <f>IFERROR(IF(0=LEN(ReferenceData!$B$674),"",ReferenceData!$B$674),"")</f>
        <v>002320 KS Equity</v>
      </c>
      <c r="C674" t="str">
        <f>IFERROR(IF(0=LEN(ReferenceData!$C$674),"",ReferenceData!$C$674),"")</f>
        <v>F0946</v>
      </c>
      <c r="D674" t="str">
        <f>IFERROR(IF(0=LEN(ReferenceData!$D$674),"",ReferenceData!$D$674),"")</f>
        <v>TOTAL_GHG_CO2_EMISSIONS</v>
      </c>
      <c r="E674" t="str">
        <f>IFERROR(IF(0=LEN(ReferenceData!$E$674),"",ReferenceData!$E$674),"")</f>
        <v>Dynamic</v>
      </c>
      <c r="F674" t="str">
        <f ca="1">IFERROR(IF(0=LEN(ReferenceData!$F$674),"",ReferenceData!$F$674),"")</f>
        <v/>
      </c>
      <c r="G674">
        <f ca="1">IFERROR(IF(0=LEN(ReferenceData!$G$674),"",ReferenceData!$G$674),"")</f>
        <v>0.108795998</v>
      </c>
      <c r="H674">
        <f ca="1">IFERROR(IF(0=LEN(ReferenceData!$H$674),"",ReferenceData!$H$674),"")</f>
        <v>0.10810500300000001</v>
      </c>
      <c r="I674">
        <f ca="1">IFERROR(IF(0=LEN(ReferenceData!$I$674),"",ReferenceData!$I$674),"")</f>
        <v>0.12450800300000001</v>
      </c>
      <c r="J674">
        <f ca="1">IFERROR(IF(0=LEN(ReferenceData!$J$674),"",ReferenceData!$J$674),"")</f>
        <v>0.12428600300000001</v>
      </c>
    </row>
    <row r="675" spans="1:10" x14ac:dyDescent="0.25">
      <c r="A675" t="str">
        <f>IFERROR(IF(0=LEN(ReferenceData!$A$675),"",ReferenceData!$A$675),"")</f>
        <v xml:space="preserve">                        Japan Post Service Co Ltd</v>
      </c>
      <c r="B675" t="str">
        <f>IFERROR(IF(0=LEN(ReferenceData!$B$675),"",ReferenceData!$B$675),"")</f>
        <v>JPSRVZ JP Equity</v>
      </c>
      <c r="C675" t="str">
        <f>IFERROR(IF(0=LEN(ReferenceData!$C$675),"",ReferenceData!$C$675),"")</f>
        <v>F0946</v>
      </c>
      <c r="D675" t="str">
        <f>IFERROR(IF(0=LEN(ReferenceData!$D$675),"",ReferenceData!$D$675),"")</f>
        <v>TOTAL_GHG_CO2_EMISSIONS</v>
      </c>
      <c r="E675" t="str">
        <f>IFERROR(IF(0=LEN(ReferenceData!$E$675),"",ReferenceData!$E$675),"")</f>
        <v>Dynamic</v>
      </c>
      <c r="F675" t="str">
        <f ca="1">IFERROR(IF(0=LEN(ReferenceData!$F$675),"",ReferenceData!$F$675),"")</f>
        <v/>
      </c>
      <c r="G675" t="str">
        <f ca="1">IFERROR(IF(0=LEN(ReferenceData!$G$675),"",ReferenceData!$G$675),"")</f>
        <v/>
      </c>
      <c r="H675" t="str">
        <f ca="1">IFERROR(IF(0=LEN(ReferenceData!$H$675),"",ReferenceData!$H$675),"")</f>
        <v/>
      </c>
      <c r="I675" t="str">
        <f ca="1">IFERROR(IF(0=LEN(ReferenceData!$I$675),"",ReferenceData!$I$675),"")</f>
        <v/>
      </c>
      <c r="J675" t="str">
        <f ca="1">IFERROR(IF(0=LEN(ReferenceData!$J$675),"",ReferenceData!$J$675),"")</f>
        <v/>
      </c>
    </row>
    <row r="676" spans="1:10" x14ac:dyDescent="0.25">
      <c r="A676" t="str">
        <f>IFERROR(IF(0=LEN(ReferenceData!$A$676),"",ReferenceData!$A$676),"")</f>
        <v xml:space="preserve">                        La Poste SA</v>
      </c>
      <c r="B676" t="str">
        <f>IFERROR(IF(0=LEN(ReferenceData!$B$676),"",ReferenceData!$B$676),"")</f>
        <v>222691Z FP Equity</v>
      </c>
      <c r="C676" t="str">
        <f>IFERROR(IF(0=LEN(ReferenceData!$C$676),"",ReferenceData!$C$676),"")</f>
        <v>F0946</v>
      </c>
      <c r="D676" t="str">
        <f>IFERROR(IF(0=LEN(ReferenceData!$D$676),"",ReferenceData!$D$676),"")</f>
        <v>TOTAL_GHG_CO2_EMISSIONS</v>
      </c>
      <c r="E676" t="str">
        <f>IFERROR(IF(0=LEN(ReferenceData!$E$676),"",ReferenceData!$E$676),"")</f>
        <v>Dynamic</v>
      </c>
      <c r="F676" t="str">
        <f ca="1">IFERROR(IF(0=LEN(ReferenceData!$F$676),"",ReferenceData!$F$676),"")</f>
        <v/>
      </c>
      <c r="G676">
        <f ca="1">IFERROR(IF(0=LEN(ReferenceData!$G$676),"",ReferenceData!$G$676),"")</f>
        <v>0.50492099000000001</v>
      </c>
      <c r="H676">
        <f ca="1">IFERROR(IF(0=LEN(ReferenceData!$H$676),"",ReferenceData!$H$676),"")</f>
        <v>0.44537500000000002</v>
      </c>
      <c r="I676" t="str">
        <f ca="1">IFERROR(IF(0=LEN(ReferenceData!$I$676),"",ReferenceData!$I$676),"")</f>
        <v/>
      </c>
      <c r="J676" t="str">
        <f ca="1">IFERROR(IF(0=LEN(ReferenceData!$J$676),"",ReferenceData!$J$676),"")</f>
        <v/>
      </c>
    </row>
    <row r="677" spans="1:10" x14ac:dyDescent="0.25">
      <c r="A677" t="str">
        <f>IFERROR(IF(0=LEN(ReferenceData!$A$677),"",ReferenceData!$A$677),"")</f>
        <v xml:space="preserve">                        Oesterreichische Post AG</v>
      </c>
      <c r="B677" t="str">
        <f>IFERROR(IF(0=LEN(ReferenceData!$B$677),"",ReferenceData!$B$677),"")</f>
        <v>POST AV Equity</v>
      </c>
      <c r="C677" t="str">
        <f>IFERROR(IF(0=LEN(ReferenceData!$C$677),"",ReferenceData!$C$677),"")</f>
        <v>F0946</v>
      </c>
      <c r="D677" t="str">
        <f>IFERROR(IF(0=LEN(ReferenceData!$D$677),"",ReferenceData!$D$677),"")</f>
        <v>TOTAL_GHG_CO2_EMISSIONS</v>
      </c>
      <c r="E677" t="str">
        <f>IFERROR(IF(0=LEN(ReferenceData!$E$677),"",ReferenceData!$E$677),"")</f>
        <v>Dynamic</v>
      </c>
      <c r="F677">
        <f ca="1">IFERROR(IF(0=LEN(ReferenceData!$F$677),"",ReferenceData!$F$677),"")</f>
        <v>8.0817000999999999E-2</v>
      </c>
      <c r="G677">
        <f ca="1">IFERROR(IF(0=LEN(ReferenceData!$G$677),"",ReferenceData!$G$677),"")</f>
        <v>8.8475998E-2</v>
      </c>
      <c r="H677">
        <f ca="1">IFERROR(IF(0=LEN(ReferenceData!$H$677),"",ReferenceData!$H$677),"")</f>
        <v>6.7586997999999995E-2</v>
      </c>
      <c r="I677">
        <f ca="1">IFERROR(IF(0=LEN(ReferenceData!$I$677),"",ReferenceData!$I$677),"")</f>
        <v>7.1440002000000002E-2</v>
      </c>
      <c r="J677">
        <f ca="1">IFERROR(IF(0=LEN(ReferenceData!$J$677),"",ReferenceData!$J$677),"")</f>
        <v>6.5781997999999994E-2</v>
      </c>
    </row>
    <row r="678" spans="1:10" x14ac:dyDescent="0.25">
      <c r="A678" t="str">
        <f>IFERROR(IF(0=LEN(ReferenceData!$A$678),"",ReferenceData!$A$678),"")</f>
        <v xml:space="preserve">                        Postal Services Holding Co Ltd</v>
      </c>
      <c r="B678" t="str">
        <f>IFERROR(IF(0=LEN(ReferenceData!$B$678),"",ReferenceData!$B$678),"")</f>
        <v>3900202Z LN Equity</v>
      </c>
      <c r="C678" t="str">
        <f>IFERROR(IF(0=LEN(ReferenceData!$C$678),"",ReferenceData!$C$678),"")</f>
        <v>F0946</v>
      </c>
      <c r="D678" t="str">
        <f>IFERROR(IF(0=LEN(ReferenceData!$D$678),"",ReferenceData!$D$678),"")</f>
        <v>TOTAL_GHG_CO2_EMISSIONS</v>
      </c>
      <c r="E678" t="str">
        <f>IFERROR(IF(0=LEN(ReferenceData!$E$678),"",ReferenceData!$E$678),"")</f>
        <v>Dynamic</v>
      </c>
      <c r="F678" t="str">
        <f ca="1">IFERROR(IF(0=LEN(ReferenceData!$F$678),"",ReferenceData!$F$678),"")</f>
        <v/>
      </c>
      <c r="G678" t="str">
        <f ca="1">IFERROR(IF(0=LEN(ReferenceData!$G$678),"",ReferenceData!$G$678),"")</f>
        <v/>
      </c>
      <c r="H678" t="str">
        <f ca="1">IFERROR(IF(0=LEN(ReferenceData!$H$678),"",ReferenceData!$H$678),"")</f>
        <v/>
      </c>
      <c r="I678" t="str">
        <f ca="1">IFERROR(IF(0=LEN(ReferenceData!$I$678),"",ReferenceData!$I$678),"")</f>
        <v/>
      </c>
      <c r="J678" t="str">
        <f ca="1">IFERROR(IF(0=LEN(ReferenceData!$J$678),"",ReferenceData!$J$678),"")</f>
        <v/>
      </c>
    </row>
    <row r="679" spans="1:10" x14ac:dyDescent="0.25">
      <c r="A679" t="str">
        <f>IFERROR(IF(0=LEN(ReferenceData!$A$679),"",ReferenceData!$A$679),"")</f>
        <v xml:space="preserve">                        Poste Italiane SpA</v>
      </c>
      <c r="B679" t="str">
        <f>IFERROR(IF(0=LEN(ReferenceData!$B$679),"",ReferenceData!$B$679),"")</f>
        <v>PST IM Equity</v>
      </c>
      <c r="C679" t="str">
        <f>IFERROR(IF(0=LEN(ReferenceData!$C$679),"",ReferenceData!$C$679),"")</f>
        <v>F0946</v>
      </c>
      <c r="D679" t="str">
        <f>IFERROR(IF(0=LEN(ReferenceData!$D$679),"",ReferenceData!$D$679),"")</f>
        <v>TOTAL_GHG_CO2_EMISSIONS</v>
      </c>
      <c r="E679" t="str">
        <f>IFERROR(IF(0=LEN(ReferenceData!$E$679),"",ReferenceData!$E$679),"")</f>
        <v>Dynamic</v>
      </c>
      <c r="F679">
        <f ca="1">IFERROR(IF(0=LEN(ReferenceData!$F$679),"",ReferenceData!$F$679),"")</f>
        <v>0.291908997</v>
      </c>
      <c r="G679">
        <f ca="1">IFERROR(IF(0=LEN(ReferenceData!$G$679),"",ReferenceData!$G$679),"")</f>
        <v>0.308473999</v>
      </c>
      <c r="H679">
        <f ca="1">IFERROR(IF(0=LEN(ReferenceData!$H$679),"",ReferenceData!$H$679),"")</f>
        <v>0.30947601299999999</v>
      </c>
      <c r="I679">
        <f ca="1">IFERROR(IF(0=LEN(ReferenceData!$I$679),"",ReferenceData!$I$679),"")</f>
        <v>0.32360199000000001</v>
      </c>
      <c r="J679">
        <f ca="1">IFERROR(IF(0=LEN(ReferenceData!$J$679),"",ReferenceData!$J$679),"")</f>
        <v>0.318026001</v>
      </c>
    </row>
    <row r="680" spans="1:10" x14ac:dyDescent="0.25">
      <c r="A680" t="str">
        <f>IFERROR(IF(0=LEN(ReferenceData!$A$680),"",ReferenceData!$A$680),"")</f>
        <v xml:space="preserve">                        PostNL NV</v>
      </c>
      <c r="B680" t="str">
        <f>IFERROR(IF(0=LEN(ReferenceData!$B$680),"",ReferenceData!$B$680),"")</f>
        <v>PNL NA Equity</v>
      </c>
      <c r="C680" t="str">
        <f>IFERROR(IF(0=LEN(ReferenceData!$C$680),"",ReferenceData!$C$680),"")</f>
        <v>F0946</v>
      </c>
      <c r="D680" t="str">
        <f>IFERROR(IF(0=LEN(ReferenceData!$D$680),"",ReferenceData!$D$680),"")</f>
        <v>TOTAL_GHG_CO2_EMISSIONS</v>
      </c>
      <c r="E680" t="str">
        <f>IFERROR(IF(0=LEN(ReferenceData!$E$680),"",ReferenceData!$E$680),"")</f>
        <v>Dynamic</v>
      </c>
      <c r="F680" t="str">
        <f ca="1">IFERROR(IF(0=LEN(ReferenceData!$F$680),"",ReferenceData!$F$680),"")</f>
        <v/>
      </c>
      <c r="G680">
        <f ca="1">IFERROR(IF(0=LEN(ReferenceData!$G$680),"",ReferenceData!$G$680),"")</f>
        <v>3.4458999999999997E-2</v>
      </c>
      <c r="H680">
        <f ca="1">IFERROR(IF(0=LEN(ReferenceData!$H$680),"",ReferenceData!$H$680),"")</f>
        <v>0.04</v>
      </c>
      <c r="I680">
        <f ca="1">IFERROR(IF(0=LEN(ReferenceData!$I$680),"",ReferenceData!$I$680),"")</f>
        <v>0.04</v>
      </c>
      <c r="J680">
        <f ca="1">IFERROR(IF(0=LEN(ReferenceData!$J$680),"",ReferenceData!$J$680),"")</f>
        <v>7.5999999999999998E-2</v>
      </c>
    </row>
    <row r="681" spans="1:10" x14ac:dyDescent="0.25">
      <c r="A681" t="str">
        <f>IFERROR(IF(0=LEN(ReferenceData!$A$681),"",ReferenceData!$A$681),"")</f>
        <v xml:space="preserve">                        Quest Holdings SA</v>
      </c>
      <c r="B681" t="str">
        <f>IFERROR(IF(0=LEN(ReferenceData!$B$681),"",ReferenceData!$B$681),"")</f>
        <v>QUEST GA Equity</v>
      </c>
      <c r="C681" t="str">
        <f>IFERROR(IF(0=LEN(ReferenceData!$C$681),"",ReferenceData!$C$681),"")</f>
        <v>F0946</v>
      </c>
      <c r="D681" t="str">
        <f>IFERROR(IF(0=LEN(ReferenceData!$D$681),"",ReferenceData!$D$681),"")</f>
        <v>TOTAL_GHG_CO2_EMISSIONS</v>
      </c>
      <c r="E681" t="str">
        <f>IFERROR(IF(0=LEN(ReferenceData!$E$681),"",ReferenceData!$E$681),"")</f>
        <v>Dynamic</v>
      </c>
      <c r="F681" t="str">
        <f ca="1">IFERROR(IF(0=LEN(ReferenceData!$F$681),"",ReferenceData!$F$681),"")</f>
        <v/>
      </c>
      <c r="G681">
        <f ca="1">IFERROR(IF(0=LEN(ReferenceData!$G$681),"",ReferenceData!$G$681),"")</f>
        <v>1.6213E-3</v>
      </c>
      <c r="H681">
        <f ca="1">IFERROR(IF(0=LEN(ReferenceData!$H$681),"",ReferenceData!$H$681),"")</f>
        <v>1.5330000000000001E-3</v>
      </c>
      <c r="I681">
        <f ca="1">IFERROR(IF(0=LEN(ReferenceData!$I$681),"",ReferenceData!$I$681),"")</f>
        <v>2.251E-3</v>
      </c>
      <c r="J681">
        <f ca="1">IFERROR(IF(0=LEN(ReferenceData!$J$681),"",ReferenceData!$J$681),"")</f>
        <v>2.1473E-3</v>
      </c>
    </row>
    <row r="682" spans="1:10" x14ac:dyDescent="0.25">
      <c r="A682" t="str">
        <f>IFERROR(IF(0=LEN(ReferenceData!$A$682),"",ReferenceData!$A$682),"")</f>
        <v xml:space="preserve">                        Rentokil Initial PLC</v>
      </c>
      <c r="B682" t="str">
        <f>IFERROR(IF(0=LEN(ReferenceData!$B$682),"",ReferenceData!$B$682),"")</f>
        <v>RTO LN Equity</v>
      </c>
      <c r="C682" t="str">
        <f>IFERROR(IF(0=LEN(ReferenceData!$C$682),"",ReferenceData!$C$682),"")</f>
        <v>F0946</v>
      </c>
      <c r="D682" t="str">
        <f>IFERROR(IF(0=LEN(ReferenceData!$D$682),"",ReferenceData!$D$682),"")</f>
        <v>TOTAL_GHG_CO2_EMISSIONS</v>
      </c>
      <c r="E682" t="str">
        <f>IFERROR(IF(0=LEN(ReferenceData!$E$682),"",ReferenceData!$E$682),"")</f>
        <v>Dynamic</v>
      </c>
      <c r="F682">
        <f ca="1">IFERROR(IF(0=LEN(ReferenceData!$F$682),"",ReferenceData!$F$682),"")</f>
        <v>0.216757004</v>
      </c>
      <c r="G682">
        <f ca="1">IFERROR(IF(0=LEN(ReferenceData!$G$682),"",ReferenceData!$G$682),"")</f>
        <v>0.20005999799999999</v>
      </c>
      <c r="H682">
        <f ca="1">IFERROR(IF(0=LEN(ReferenceData!$H$682),"",ReferenceData!$H$682),"")</f>
        <v>0.185145004</v>
      </c>
      <c r="I682">
        <f ca="1">IFERROR(IF(0=LEN(ReferenceData!$I$682),"",ReferenceData!$I$682),"")</f>
        <v>0.19608400000000001</v>
      </c>
      <c r="J682">
        <f ca="1">IFERROR(IF(0=LEN(ReferenceData!$J$682),"",ReferenceData!$J$682),"")</f>
        <v>0.186891007</v>
      </c>
    </row>
    <row r="683" spans="1:10" x14ac:dyDescent="0.25">
      <c r="A683" t="str">
        <f>IFERROR(IF(0=LEN(ReferenceData!$A$683),"",ReferenceData!$A$683),"")</f>
        <v xml:space="preserve">                        Russian Post FGUP</v>
      </c>
      <c r="B683" t="str">
        <f>IFERROR(IF(0=LEN(ReferenceData!$B$683),"",ReferenceData!$B$683),"")</f>
        <v>POCHT RU Equity</v>
      </c>
      <c r="C683" t="str">
        <f>IFERROR(IF(0=LEN(ReferenceData!$C$683),"",ReferenceData!$C$683),"")</f>
        <v>F0946</v>
      </c>
      <c r="D683" t="str">
        <f>IFERROR(IF(0=LEN(ReferenceData!$D$683),"",ReferenceData!$D$683),"")</f>
        <v>TOTAL_GHG_CO2_EMISSIONS</v>
      </c>
      <c r="E683" t="str">
        <f>IFERROR(IF(0=LEN(ReferenceData!$E$683),"",ReferenceData!$E$683),"")</f>
        <v>Dynamic</v>
      </c>
      <c r="F683" t="str">
        <f ca="1">IFERROR(IF(0=LEN(ReferenceData!$F$683),"",ReferenceData!$F$683),"")</f>
        <v/>
      </c>
      <c r="G683" t="str">
        <f ca="1">IFERROR(IF(0=LEN(ReferenceData!$G$683),"",ReferenceData!$G$683),"")</f>
        <v/>
      </c>
      <c r="H683" t="str">
        <f ca="1">IFERROR(IF(0=LEN(ReferenceData!$H$683),"",ReferenceData!$H$683),"")</f>
        <v/>
      </c>
      <c r="I683" t="str">
        <f ca="1">IFERROR(IF(0=LEN(ReferenceData!$I$683),"",ReferenceData!$I$683),"")</f>
        <v/>
      </c>
      <c r="J683" t="str">
        <f ca="1">IFERROR(IF(0=LEN(ReferenceData!$J$683),"",ReferenceData!$J$683),"")</f>
        <v/>
      </c>
    </row>
    <row r="684" spans="1:10" x14ac:dyDescent="0.25">
      <c r="A684" t="str">
        <f>IFERROR(IF(0=LEN(ReferenceData!$A$684),"",ReferenceData!$A$684),"")</f>
        <v xml:space="preserve">                        SG Holdings Co Ltd</v>
      </c>
      <c r="B684" t="str">
        <f>IFERROR(IF(0=LEN(ReferenceData!$B$684),"",ReferenceData!$B$684),"")</f>
        <v>9143 JP Equity</v>
      </c>
      <c r="C684" t="str">
        <f>IFERROR(IF(0=LEN(ReferenceData!$C$684),"",ReferenceData!$C$684),"")</f>
        <v>F0946</v>
      </c>
      <c r="D684" t="str">
        <f>IFERROR(IF(0=LEN(ReferenceData!$D$684),"",ReferenceData!$D$684),"")</f>
        <v>TOTAL_GHG_CO2_EMISSIONS</v>
      </c>
      <c r="E684" t="str">
        <f>IFERROR(IF(0=LEN(ReferenceData!$E$684),"",ReferenceData!$E$684),"")</f>
        <v>Dynamic</v>
      </c>
      <c r="F684" t="str">
        <f ca="1">IFERROR(IF(0=LEN(ReferenceData!$F$684),"",ReferenceData!$F$684),"")</f>
        <v/>
      </c>
      <c r="G684">
        <f ca="1">IFERROR(IF(0=LEN(ReferenceData!$G$684),"",ReferenceData!$G$684),"")</f>
        <v>0.394544006</v>
      </c>
      <c r="H684">
        <f ca="1">IFERROR(IF(0=LEN(ReferenceData!$H$684),"",ReferenceData!$H$684),"")</f>
        <v>0.40176901300000001</v>
      </c>
      <c r="I684">
        <f ca="1">IFERROR(IF(0=LEN(ReferenceData!$I$684),"",ReferenceData!$I$684),"")</f>
        <v>0.410934998</v>
      </c>
      <c r="J684">
        <f ca="1">IFERROR(IF(0=LEN(ReferenceData!$J$684),"",ReferenceData!$J$684),"")</f>
        <v>0.420454987</v>
      </c>
    </row>
    <row r="685" spans="1:10" x14ac:dyDescent="0.25">
      <c r="A685" t="str">
        <f>IFERROR(IF(0=LEN(ReferenceData!$A$685),"",ReferenceData!$A$685),"")</f>
        <v xml:space="preserve">                        TFI International Inc</v>
      </c>
      <c r="B685" t="str">
        <f>IFERROR(IF(0=LEN(ReferenceData!$B$685),"",ReferenceData!$B$685),"")</f>
        <v>TFII CN Equity</v>
      </c>
      <c r="C685" t="str">
        <f>IFERROR(IF(0=LEN(ReferenceData!$C$685),"",ReferenceData!$C$685),"")</f>
        <v>F0946</v>
      </c>
      <c r="D685" t="str">
        <f>IFERROR(IF(0=LEN(ReferenceData!$D$685),"",ReferenceData!$D$685),"")</f>
        <v>TOTAL_GHG_CO2_EMISSIONS</v>
      </c>
      <c r="E685" t="str">
        <f>IFERROR(IF(0=LEN(ReferenceData!$E$685),"",ReferenceData!$E$685),"")</f>
        <v>Dynamic</v>
      </c>
      <c r="F685" t="str">
        <f ca="1">IFERROR(IF(0=LEN(ReferenceData!$F$685),"",ReferenceData!$F$685),"")</f>
        <v/>
      </c>
      <c r="G685" t="str">
        <f ca="1">IFERROR(IF(0=LEN(ReferenceData!$G$685),"",ReferenceData!$G$685),"")</f>
        <v/>
      </c>
      <c r="H685" t="str">
        <f ca="1">IFERROR(IF(0=LEN(ReferenceData!$H$685),"",ReferenceData!$H$685),"")</f>
        <v/>
      </c>
      <c r="I685" t="str">
        <f ca="1">IFERROR(IF(0=LEN(ReferenceData!$I$685),"",ReferenceData!$I$685),"")</f>
        <v/>
      </c>
      <c r="J685" t="str">
        <f ca="1">IFERROR(IF(0=LEN(ReferenceData!$J$685),"",ReferenceData!$J$685),"")</f>
        <v/>
      </c>
    </row>
    <row r="686" spans="1:10" x14ac:dyDescent="0.25">
      <c r="A686" t="str">
        <f>IFERROR(IF(0=LEN(ReferenceData!$A$686),"",ReferenceData!$A$686),"")</f>
        <v xml:space="preserve">                        Transport Corp of India Ltd</v>
      </c>
      <c r="B686" t="str">
        <f>IFERROR(IF(0=LEN(ReferenceData!$B$686),"",ReferenceData!$B$686),"")</f>
        <v>TRPC IN Equity</v>
      </c>
      <c r="C686" t="str">
        <f>IFERROR(IF(0=LEN(ReferenceData!$C$686),"",ReferenceData!$C$686),"")</f>
        <v>F0946</v>
      </c>
      <c r="D686" t="str">
        <f>IFERROR(IF(0=LEN(ReferenceData!$D$686),"",ReferenceData!$D$686),"")</f>
        <v>TOTAL_GHG_CO2_EMISSIONS</v>
      </c>
      <c r="E686" t="str">
        <f>IFERROR(IF(0=LEN(ReferenceData!$E$686),"",ReferenceData!$E$686),"")</f>
        <v>Dynamic</v>
      </c>
      <c r="F686" t="str">
        <f ca="1">IFERROR(IF(0=LEN(ReferenceData!$F$686),"",ReferenceData!$F$686),"")</f>
        <v/>
      </c>
      <c r="G686">
        <f ca="1">IFERROR(IF(0=LEN(ReferenceData!$G$686),"",ReferenceData!$G$686),"")</f>
        <v>0.114947998</v>
      </c>
      <c r="H686">
        <f ca="1">IFERROR(IF(0=LEN(ReferenceData!$H$686),"",ReferenceData!$H$686),"")</f>
        <v>0.116322998</v>
      </c>
      <c r="I686" t="str">
        <f ca="1">IFERROR(IF(0=LEN(ReferenceData!$I$686),"",ReferenceData!$I$686),"")</f>
        <v/>
      </c>
      <c r="J686" t="str">
        <f ca="1">IFERROR(IF(0=LEN(ReferenceData!$J$686),"",ReferenceData!$J$686),"")</f>
        <v/>
      </c>
    </row>
    <row r="687" spans="1:10" x14ac:dyDescent="0.25">
      <c r="A687" t="str">
        <f>IFERROR(IF(0=LEN(ReferenceData!$A$687),"",ReferenceData!$A$687),"")</f>
        <v xml:space="preserve">                        United Parcel Service Inc</v>
      </c>
      <c r="B687" t="str">
        <f>IFERROR(IF(0=LEN(ReferenceData!$B$687),"",ReferenceData!$B$687),"")</f>
        <v>UPS US Equity</v>
      </c>
      <c r="C687" t="str">
        <f>IFERROR(IF(0=LEN(ReferenceData!$C$687),"",ReferenceData!$C$687),"")</f>
        <v>F0946</v>
      </c>
      <c r="D687" t="str">
        <f>IFERROR(IF(0=LEN(ReferenceData!$D$687),"",ReferenceData!$D$687),"")</f>
        <v>TOTAL_GHG_CO2_EMISSIONS</v>
      </c>
      <c r="E687" t="str">
        <f>IFERROR(IF(0=LEN(ReferenceData!$E$687),"",ReferenceData!$E$687),"")</f>
        <v>Dynamic</v>
      </c>
      <c r="F687">
        <f ca="1">IFERROR(IF(0=LEN(ReferenceData!$F$687),"",ReferenceData!$F$687),"")</f>
        <v>16.504999999999999</v>
      </c>
      <c r="G687">
        <f ca="1">IFERROR(IF(0=LEN(ReferenceData!$G$687),"",ReferenceData!$G$687),"")</f>
        <v>16.344000000000001</v>
      </c>
      <c r="H687">
        <f ca="1">IFERROR(IF(0=LEN(ReferenceData!$H$687),"",ReferenceData!$H$687),"")</f>
        <v>16.55</v>
      </c>
      <c r="I687">
        <f ca="1">IFERROR(IF(0=LEN(ReferenceData!$I$687),"",ReferenceData!$I$687),"")</f>
        <v>14.977</v>
      </c>
      <c r="J687">
        <f ca="1">IFERROR(IF(0=LEN(ReferenceData!$J$687),"",ReferenceData!$J$687),"")</f>
        <v>14.635</v>
      </c>
    </row>
    <row r="688" spans="1:10" x14ac:dyDescent="0.25">
      <c r="A688" t="str">
        <f>IFERROR(IF(0=LEN(ReferenceData!$A$688),"",ReferenceData!$A$688),"")</f>
        <v xml:space="preserve">                        Yamato Holdings Co Ltd</v>
      </c>
      <c r="B688" t="str">
        <f>IFERROR(IF(0=LEN(ReferenceData!$B$688),"",ReferenceData!$B$688),"")</f>
        <v>9064 JP Equity</v>
      </c>
      <c r="C688" t="str">
        <f>IFERROR(IF(0=LEN(ReferenceData!$C$688),"",ReferenceData!$C$688),"")</f>
        <v>F0946</v>
      </c>
      <c r="D688" t="str">
        <f>IFERROR(IF(0=LEN(ReferenceData!$D$688),"",ReferenceData!$D$688),"")</f>
        <v>TOTAL_GHG_CO2_EMISSIONS</v>
      </c>
      <c r="E688" t="str">
        <f>IFERROR(IF(0=LEN(ReferenceData!$E$688),"",ReferenceData!$E$688),"")</f>
        <v>Dynamic</v>
      </c>
      <c r="F688" t="str">
        <f ca="1">IFERROR(IF(0=LEN(ReferenceData!$F$688),"",ReferenceData!$F$688),"")</f>
        <v/>
      </c>
      <c r="G688">
        <f ca="1">IFERROR(IF(0=LEN(ReferenceData!$G$688),"",ReferenceData!$G$688),"")</f>
        <v>0.92876098600000001</v>
      </c>
      <c r="H688">
        <f ca="1">IFERROR(IF(0=LEN(ReferenceData!$H$688),"",ReferenceData!$H$688),"")</f>
        <v>0.91510497999999996</v>
      </c>
      <c r="I688">
        <f ca="1">IFERROR(IF(0=LEN(ReferenceData!$I$688),"",ReferenceData!$I$688),"")</f>
        <v>0.91688702399999999</v>
      </c>
      <c r="J688">
        <f ca="1">IFERROR(IF(0=LEN(ReferenceData!$J$688),"",ReferenceData!$J$688),"")</f>
        <v>0.936594971</v>
      </c>
    </row>
    <row r="689" spans="1:10" x14ac:dyDescent="0.25">
      <c r="A689" t="str">
        <f>IFERROR(IF(0=LEN(ReferenceData!$A$689),"",ReferenceData!$A$689),"")</f>
        <v xml:space="preserve">        Materials</v>
      </c>
      <c r="B689" t="str">
        <f>IFERROR(IF(0=LEN(ReferenceData!$B$689),"",ReferenceData!$B$689),"")</f>
        <v/>
      </c>
      <c r="C689" t="str">
        <f>IFERROR(IF(0=LEN(ReferenceData!$C$689),"",ReferenceData!$C$689),"")</f>
        <v/>
      </c>
      <c r="D689" t="str">
        <f>IFERROR(IF(0=LEN(ReferenceData!$D$689),"",ReferenceData!$D$689),"")</f>
        <v/>
      </c>
      <c r="E689" t="str">
        <f>IFERROR(IF(0=LEN(ReferenceData!$E$689),"",ReferenceData!$E$689),"")</f>
        <v>Sum</v>
      </c>
      <c r="F689">
        <f ca="1">IFERROR(IF(0=LEN(ReferenceData!$F$689),"",ReferenceData!$F$689),"")</f>
        <v>804.03914976900001</v>
      </c>
      <c r="G689">
        <f ca="1">IFERROR(IF(0=LEN(ReferenceData!$G$689),"",ReferenceData!$G$689),"")</f>
        <v>1687.3758442389999</v>
      </c>
      <c r="H689">
        <f ca="1">IFERROR(IF(0=LEN(ReferenceData!$H$689),"",ReferenceData!$H$689),"")</f>
        <v>1711.3615762269999</v>
      </c>
      <c r="I689">
        <f ca="1">IFERROR(IF(0=LEN(ReferenceData!$I$689),"",ReferenceData!$I$689),"")</f>
        <v>1778.9191329750001</v>
      </c>
      <c r="J689">
        <f ca="1">IFERROR(IF(0=LEN(ReferenceData!$J$689),"",ReferenceData!$J$689),"")</f>
        <v>1721.9447030619999</v>
      </c>
    </row>
    <row r="690" spans="1:10" x14ac:dyDescent="0.25">
      <c r="A690" t="str">
        <f>IFERROR(IF(0=LEN(ReferenceData!$A$690),"",ReferenceData!$A$690),"")</f>
        <v xml:space="preserve">            Chemicals</v>
      </c>
      <c r="B690" t="str">
        <f>IFERROR(IF(0=LEN(ReferenceData!$B$690),"",ReferenceData!$B$690),"")</f>
        <v/>
      </c>
      <c r="C690" t="str">
        <f>IFERROR(IF(0=LEN(ReferenceData!$C$690),"",ReferenceData!$C$690),"")</f>
        <v/>
      </c>
      <c r="D690" t="str">
        <f>IFERROR(IF(0=LEN(ReferenceData!$D$690),"",ReferenceData!$D$690),"")</f>
        <v/>
      </c>
      <c r="E690" t="str">
        <f>IFERROR(IF(0=LEN(ReferenceData!$E$690),"",ReferenceData!$E$690),"")</f>
        <v>Sum</v>
      </c>
      <c r="F690">
        <f ca="1">IFERROR(IF(0=LEN(ReferenceData!$F$690),"",ReferenceData!$F$690),"")</f>
        <v>235.28477008200002</v>
      </c>
      <c r="G690">
        <f ca="1">IFERROR(IF(0=LEN(ReferenceData!$G$690),"",ReferenceData!$G$690),"")</f>
        <v>663.13607321699988</v>
      </c>
      <c r="H690">
        <f ca="1">IFERROR(IF(0=LEN(ReferenceData!$H$690),"",ReferenceData!$H$690),"")</f>
        <v>724.52468429199985</v>
      </c>
      <c r="I690">
        <f ca="1">IFERROR(IF(0=LEN(ReferenceData!$I$690),"",ReferenceData!$I$690),"")</f>
        <v>734.27149772199994</v>
      </c>
      <c r="J690">
        <f ca="1">IFERROR(IF(0=LEN(ReferenceData!$J$690),"",ReferenceData!$J$690),"")</f>
        <v>644.35964538500002</v>
      </c>
    </row>
    <row r="691" spans="1:10" x14ac:dyDescent="0.25">
      <c r="A691" t="str">
        <f>IFERROR(IF(0=LEN(ReferenceData!$A$691),"",ReferenceData!$A$691),"")</f>
        <v xml:space="preserve">                Agricultural Chemicals</v>
      </c>
      <c r="B691" t="str">
        <f>IFERROR(IF(0=LEN(ReferenceData!$B$691),"",ReferenceData!$B$691),"")</f>
        <v/>
      </c>
      <c r="C691" t="str">
        <f>IFERROR(IF(0=LEN(ReferenceData!$C$691),"",ReferenceData!$C$691),"")</f>
        <v/>
      </c>
      <c r="D691" t="str">
        <f>IFERROR(IF(0=LEN(ReferenceData!$D$691),"",ReferenceData!$D$691),"")</f>
        <v/>
      </c>
      <c r="E691" t="str">
        <f>IFERROR(IF(0=LEN(ReferenceData!$E$691),"",ReferenceData!$E$691),"")</f>
        <v>Sum</v>
      </c>
      <c r="F691">
        <f ca="1">IFERROR(IF(0=LEN(ReferenceData!$F$691),"",ReferenceData!$F$691),"")</f>
        <v>37.242960388</v>
      </c>
      <c r="G691">
        <f ca="1">IFERROR(IF(0=LEN(ReferenceData!$G$691),"",ReferenceData!$G$691),"")</f>
        <v>89.200692681000021</v>
      </c>
      <c r="H691">
        <f ca="1">IFERROR(IF(0=LEN(ReferenceData!$H$691),"",ReferenceData!$H$691),"")</f>
        <v>85.645586155999979</v>
      </c>
      <c r="I691">
        <f ca="1">IFERROR(IF(0=LEN(ReferenceData!$I$691),"",ReferenceData!$I$691),"")</f>
        <v>87.874660616999989</v>
      </c>
      <c r="J691">
        <f ca="1">IFERROR(IF(0=LEN(ReferenceData!$J$691),"",ReferenceData!$J$691),"")</f>
        <v>84.155013127000018</v>
      </c>
    </row>
    <row r="692" spans="1:10" x14ac:dyDescent="0.25">
      <c r="A692" t="str">
        <f>IFERROR(IF(0=LEN(ReferenceData!$A$692),"",ReferenceData!$A$692),"")</f>
        <v xml:space="preserve">                    Abou Kir Fertilizers &amp; Chemica</v>
      </c>
      <c r="B692" t="str">
        <f>IFERROR(IF(0=LEN(ReferenceData!$B$692),"",ReferenceData!$B$692),"")</f>
        <v>ABUK EY Equity</v>
      </c>
      <c r="C692" t="str">
        <f>IFERROR(IF(0=LEN(ReferenceData!$C$692),"",ReferenceData!$C$692),"")</f>
        <v>F0946</v>
      </c>
      <c r="D692" t="str">
        <f>IFERROR(IF(0=LEN(ReferenceData!$D$692),"",ReferenceData!$D$692),"")</f>
        <v>TOTAL_GHG_CO2_EMISSIONS</v>
      </c>
      <c r="E692" t="str">
        <f>IFERROR(IF(0=LEN(ReferenceData!$E$692),"",ReferenceData!$E$692),"")</f>
        <v>Dynamic</v>
      </c>
      <c r="F692" t="str">
        <f ca="1">IFERROR(IF(0=LEN(ReferenceData!$F$692),"",ReferenceData!$F$692),"")</f>
        <v/>
      </c>
      <c r="G692" t="str">
        <f ca="1">IFERROR(IF(0=LEN(ReferenceData!$G$692),"",ReferenceData!$G$692),"")</f>
        <v/>
      </c>
      <c r="H692" t="str">
        <f ca="1">IFERROR(IF(0=LEN(ReferenceData!$H$692),"",ReferenceData!$H$692),"")</f>
        <v/>
      </c>
      <c r="I692" t="str">
        <f ca="1">IFERROR(IF(0=LEN(ReferenceData!$I$692),"",ReferenceData!$I$692),"")</f>
        <v/>
      </c>
      <c r="J692" t="str">
        <f ca="1">IFERROR(IF(0=LEN(ReferenceData!$J$692),"",ReferenceData!$J$692),"")</f>
        <v/>
      </c>
    </row>
    <row r="693" spans="1:10" x14ac:dyDescent="0.25">
      <c r="A693" t="str">
        <f>IFERROR(IF(0=LEN(ReferenceData!$A$693),"",ReferenceData!$A$693),"")</f>
        <v xml:space="preserve">                    Acron PJSC</v>
      </c>
      <c r="B693" t="str">
        <f>IFERROR(IF(0=LEN(ReferenceData!$B$693),"",ReferenceData!$B$693),"")</f>
        <v>AKRN RM Equity</v>
      </c>
      <c r="C693" t="str">
        <f>IFERROR(IF(0=LEN(ReferenceData!$C$693),"",ReferenceData!$C$693),"")</f>
        <v>F0946</v>
      </c>
      <c r="D693" t="str">
        <f>IFERROR(IF(0=LEN(ReferenceData!$D$693),"",ReferenceData!$D$693),"")</f>
        <v>TOTAL_GHG_CO2_EMISSIONS</v>
      </c>
      <c r="E693" t="str">
        <f>IFERROR(IF(0=LEN(ReferenceData!$E$693),"",ReferenceData!$E$693),"")</f>
        <v>Dynamic</v>
      </c>
      <c r="F693" t="str">
        <f ca="1">IFERROR(IF(0=LEN(ReferenceData!$F$693),"",ReferenceData!$F$693),"")</f>
        <v/>
      </c>
      <c r="G693" t="str">
        <f ca="1">IFERROR(IF(0=LEN(ReferenceData!$G$693),"",ReferenceData!$G$693),"")</f>
        <v/>
      </c>
      <c r="H693">
        <f ca="1">IFERROR(IF(0=LEN(ReferenceData!$H$693),"",ReferenceData!$H$693),"")</f>
        <v>3.6019999999999999</v>
      </c>
      <c r="I693">
        <f ca="1">IFERROR(IF(0=LEN(ReferenceData!$I$693),"",ReferenceData!$I$693),"")</f>
        <v>4.4039999999999999</v>
      </c>
      <c r="J693">
        <f ca="1">IFERROR(IF(0=LEN(ReferenceData!$J$693),"",ReferenceData!$J$693),"")</f>
        <v>4.5270000000000001</v>
      </c>
    </row>
    <row r="694" spans="1:10" x14ac:dyDescent="0.25">
      <c r="A694" t="str">
        <f>IFERROR(IF(0=LEN(ReferenceData!$A$694),"",ReferenceData!$A$694),"")</f>
        <v xml:space="preserve">                    American Vanguard Corp</v>
      </c>
      <c r="B694" t="str">
        <f>IFERROR(IF(0=LEN(ReferenceData!$B$694),"",ReferenceData!$B$694),"")</f>
        <v>AVD US Equity</v>
      </c>
      <c r="C694" t="str">
        <f>IFERROR(IF(0=LEN(ReferenceData!$C$694),"",ReferenceData!$C$694),"")</f>
        <v>F0946</v>
      </c>
      <c r="D694" t="str">
        <f>IFERROR(IF(0=LEN(ReferenceData!$D$694),"",ReferenceData!$D$694),"")</f>
        <v>TOTAL_GHG_CO2_EMISSIONS</v>
      </c>
      <c r="E694" t="str">
        <f>IFERROR(IF(0=LEN(ReferenceData!$E$694),"",ReferenceData!$E$694),"")</f>
        <v>Dynamic</v>
      </c>
      <c r="F694" t="str">
        <f ca="1">IFERROR(IF(0=LEN(ReferenceData!$F$694),"",ReferenceData!$F$694),"")</f>
        <v/>
      </c>
      <c r="G694" t="str">
        <f ca="1">IFERROR(IF(0=LEN(ReferenceData!$G$694),"",ReferenceData!$G$694),"")</f>
        <v/>
      </c>
      <c r="H694" t="str">
        <f ca="1">IFERROR(IF(0=LEN(ReferenceData!$H$694),"",ReferenceData!$H$694),"")</f>
        <v/>
      </c>
      <c r="I694" t="str">
        <f ca="1">IFERROR(IF(0=LEN(ReferenceData!$I$694),"",ReferenceData!$I$694),"")</f>
        <v/>
      </c>
      <c r="J694" t="str">
        <f ca="1">IFERROR(IF(0=LEN(ReferenceData!$J$694),"",ReferenceData!$J$694),"")</f>
        <v/>
      </c>
    </row>
    <row r="695" spans="1:10" x14ac:dyDescent="0.25">
      <c r="A695" t="str">
        <f>IFERROR(IF(0=LEN(ReferenceData!$A$695),"",ReferenceData!$A$695),"")</f>
        <v xml:space="preserve">                    CF Industries Holdings Inc</v>
      </c>
      <c r="B695" t="str">
        <f>IFERROR(IF(0=LEN(ReferenceData!$B$695),"",ReferenceData!$B$695),"")</f>
        <v>CF US Equity</v>
      </c>
      <c r="C695" t="str">
        <f>IFERROR(IF(0=LEN(ReferenceData!$C$695),"",ReferenceData!$C$695),"")</f>
        <v>F0946</v>
      </c>
      <c r="D695" t="str">
        <f>IFERROR(IF(0=LEN(ReferenceData!$D$695),"",ReferenceData!$D$695),"")</f>
        <v>TOTAL_GHG_CO2_EMISSIONS</v>
      </c>
      <c r="E695" t="str">
        <f>IFERROR(IF(0=LEN(ReferenceData!$E$695),"",ReferenceData!$E$695),"")</f>
        <v>Dynamic</v>
      </c>
      <c r="F695">
        <f ca="1">IFERROR(IF(0=LEN(ReferenceData!$F$695),"",ReferenceData!$F$695),"")</f>
        <v>17.78040039</v>
      </c>
      <c r="G695">
        <f ca="1">IFERROR(IF(0=LEN(ReferenceData!$G$695),"",ReferenceData!$G$695),"")</f>
        <v>17.325599610000001</v>
      </c>
      <c r="H695">
        <f ca="1">IFERROR(IF(0=LEN(ReferenceData!$H$695),"",ReferenceData!$H$695),"")</f>
        <v>18.79719922</v>
      </c>
      <c r="I695">
        <f ca="1">IFERROR(IF(0=LEN(ReferenceData!$I$695),"",ReferenceData!$I$695),"")</f>
        <v>19.241499999999998</v>
      </c>
      <c r="J695">
        <f ca="1">IFERROR(IF(0=LEN(ReferenceData!$J$695),"",ReferenceData!$J$695),"")</f>
        <v>17.633199220000002</v>
      </c>
    </row>
    <row r="696" spans="1:10" x14ac:dyDescent="0.25">
      <c r="A696" t="str">
        <f>IFERROR(IF(0=LEN(ReferenceData!$A$696),"",ReferenceData!$A$696),"")</f>
        <v xml:space="preserve">                    Chambal Fertilisers and Chemic</v>
      </c>
      <c r="B696" t="str">
        <f>IFERROR(IF(0=LEN(ReferenceData!$B$696),"",ReferenceData!$B$696),"")</f>
        <v>CHMB IN Equity</v>
      </c>
      <c r="C696" t="str">
        <f>IFERROR(IF(0=LEN(ReferenceData!$C$696),"",ReferenceData!$C$696),"")</f>
        <v>F0946</v>
      </c>
      <c r="D696" t="str">
        <f>IFERROR(IF(0=LEN(ReferenceData!$D$696),"",ReferenceData!$D$696),"")</f>
        <v>TOTAL_GHG_CO2_EMISSIONS</v>
      </c>
      <c r="E696" t="str">
        <f>IFERROR(IF(0=LEN(ReferenceData!$E$696),"",ReferenceData!$E$696),"")</f>
        <v>Dynamic</v>
      </c>
      <c r="F696" t="str">
        <f ca="1">IFERROR(IF(0=LEN(ReferenceData!$F$696),"",ReferenceData!$F$696),"")</f>
        <v/>
      </c>
      <c r="G696" t="str">
        <f ca="1">IFERROR(IF(0=LEN(ReferenceData!$G$696),"",ReferenceData!$G$696),"")</f>
        <v/>
      </c>
      <c r="H696" t="str">
        <f ca="1">IFERROR(IF(0=LEN(ReferenceData!$H$696),"",ReferenceData!$H$696),"")</f>
        <v/>
      </c>
      <c r="I696" t="str">
        <f ca="1">IFERROR(IF(0=LEN(ReferenceData!$I$696),"",ReferenceData!$I$696),"")</f>
        <v/>
      </c>
      <c r="J696" t="str">
        <f ca="1">IFERROR(IF(0=LEN(ReferenceData!$J$696),"",ReferenceData!$J$696),"")</f>
        <v/>
      </c>
    </row>
    <row r="697" spans="1:10" x14ac:dyDescent="0.25">
      <c r="A697" t="str">
        <f>IFERROR(IF(0=LEN(ReferenceData!$A$697),"",ReferenceData!$A$697),"")</f>
        <v xml:space="preserve">                    China BlueChemical Ltd</v>
      </c>
      <c r="B697" t="str">
        <f>IFERROR(IF(0=LEN(ReferenceData!$B$697),"",ReferenceData!$B$697),"")</f>
        <v>3983 HK Equity</v>
      </c>
      <c r="C697" t="str">
        <f>IFERROR(IF(0=LEN(ReferenceData!$C$697),"",ReferenceData!$C$697),"")</f>
        <v>F0946</v>
      </c>
      <c r="D697" t="str">
        <f>IFERROR(IF(0=LEN(ReferenceData!$D$697),"",ReferenceData!$D$697),"")</f>
        <v>TOTAL_GHG_CO2_EMISSIONS</v>
      </c>
      <c r="E697" t="str">
        <f>IFERROR(IF(0=LEN(ReferenceData!$E$697),"",ReferenceData!$E$697),"")</f>
        <v>Dynamic</v>
      </c>
      <c r="F697" t="str">
        <f ca="1">IFERROR(IF(0=LEN(ReferenceData!$F$697),"",ReferenceData!$F$697),"")</f>
        <v/>
      </c>
      <c r="G697">
        <f ca="1">IFERROR(IF(0=LEN(ReferenceData!$G$697),"",ReferenceData!$G$697),"")</f>
        <v>5.5307001949999997</v>
      </c>
      <c r="H697">
        <f ca="1">IFERROR(IF(0=LEN(ReferenceData!$H$697),"",ReferenceData!$H$697),"")</f>
        <v>6.7422001949999997</v>
      </c>
      <c r="I697">
        <f ca="1">IFERROR(IF(0=LEN(ReferenceData!$I$697),"",ReferenceData!$I$697),"")</f>
        <v>6.4453999020000001</v>
      </c>
      <c r="J697">
        <f ca="1">IFERROR(IF(0=LEN(ReferenceData!$J$697),"",ReferenceData!$J$697),"")</f>
        <v>6.3339999999999996</v>
      </c>
    </row>
    <row r="698" spans="1:10" x14ac:dyDescent="0.25">
      <c r="A698" t="str">
        <f>IFERROR(IF(0=LEN(ReferenceData!$A$698),"",ReferenceData!$A$698),"")</f>
        <v xml:space="preserve">                    China Green Agriculture Inc</v>
      </c>
      <c r="B698" t="str">
        <f>IFERROR(IF(0=LEN(ReferenceData!$B$698),"",ReferenceData!$B$698),"")</f>
        <v>CGA US Equity</v>
      </c>
      <c r="C698" t="str">
        <f>IFERROR(IF(0=LEN(ReferenceData!$C$698),"",ReferenceData!$C$698),"")</f>
        <v>F0946</v>
      </c>
      <c r="D698" t="str">
        <f>IFERROR(IF(0=LEN(ReferenceData!$D$698),"",ReferenceData!$D$698),"")</f>
        <v>TOTAL_GHG_CO2_EMISSIONS</v>
      </c>
      <c r="E698" t="str">
        <f>IFERROR(IF(0=LEN(ReferenceData!$E$698),"",ReferenceData!$E$698),"")</f>
        <v>Dynamic</v>
      </c>
      <c r="F698" t="str">
        <f ca="1">IFERROR(IF(0=LEN(ReferenceData!$F$698),"",ReferenceData!$F$698),"")</f>
        <v/>
      </c>
      <c r="G698" t="str">
        <f ca="1">IFERROR(IF(0=LEN(ReferenceData!$G$698),"",ReferenceData!$G$698),"")</f>
        <v/>
      </c>
      <c r="H698" t="str">
        <f ca="1">IFERROR(IF(0=LEN(ReferenceData!$H$698),"",ReferenceData!$H$698),"")</f>
        <v/>
      </c>
      <c r="I698" t="str">
        <f ca="1">IFERROR(IF(0=LEN(ReferenceData!$I$698),"",ReferenceData!$I$698),"")</f>
        <v/>
      </c>
      <c r="J698" t="str">
        <f ca="1">IFERROR(IF(0=LEN(ReferenceData!$J$698),"",ReferenceData!$J$698),"")</f>
        <v/>
      </c>
    </row>
    <row r="699" spans="1:10" x14ac:dyDescent="0.25">
      <c r="A699" t="str">
        <f>IFERROR(IF(0=LEN(ReferenceData!$A$699),"",ReferenceData!$A$699),"")</f>
        <v xml:space="preserve">                    Coromandel International Ltd</v>
      </c>
      <c r="B699" t="str">
        <f>IFERROR(IF(0=LEN(ReferenceData!$B$699),"",ReferenceData!$B$699),"")</f>
        <v>CRIN IN Equity</v>
      </c>
      <c r="C699" t="str">
        <f>IFERROR(IF(0=LEN(ReferenceData!$C$699),"",ReferenceData!$C$699),"")</f>
        <v>F0946</v>
      </c>
      <c r="D699" t="str">
        <f>IFERROR(IF(0=LEN(ReferenceData!$D$699),"",ReferenceData!$D$699),"")</f>
        <v>TOTAL_GHG_CO2_EMISSIONS</v>
      </c>
      <c r="E699" t="str">
        <f>IFERROR(IF(0=LEN(ReferenceData!$E$699),"",ReferenceData!$E$699),"")</f>
        <v>Dynamic</v>
      </c>
      <c r="F699" t="str">
        <f ca="1">IFERROR(IF(0=LEN(ReferenceData!$F$699),"",ReferenceData!$F$699),"")</f>
        <v/>
      </c>
      <c r="G699">
        <f ca="1">IFERROR(IF(0=LEN(ReferenceData!$G$699),"",ReferenceData!$G$699),"")</f>
        <v>0.14547199999999999</v>
      </c>
      <c r="H699">
        <f ca="1">IFERROR(IF(0=LEN(ReferenceData!$H$699),"",ReferenceData!$H$699),"")</f>
        <v>0.17829299900000001</v>
      </c>
      <c r="I699">
        <f ca="1">IFERROR(IF(0=LEN(ReferenceData!$I$699),"",ReferenceData!$I$699),"")</f>
        <v>0.17170300299999999</v>
      </c>
      <c r="J699">
        <f ca="1">IFERROR(IF(0=LEN(ReferenceData!$J$699),"",ReferenceData!$J$699),"")</f>
        <v>0.16415600599999999</v>
      </c>
    </row>
    <row r="700" spans="1:10" x14ac:dyDescent="0.25">
      <c r="A700" t="str">
        <f>IFERROR(IF(0=LEN(ReferenceData!$A$700),"",ReferenceData!$A$700),"")</f>
        <v xml:space="preserve">                    Corteva Inc</v>
      </c>
      <c r="B700" t="str">
        <f>IFERROR(IF(0=LEN(ReferenceData!$B$700),"",ReferenceData!$B$700),"")</f>
        <v>CTVA US Equity</v>
      </c>
      <c r="C700" t="str">
        <f>IFERROR(IF(0=LEN(ReferenceData!$C$700),"",ReferenceData!$C$700),"")</f>
        <v>F0946</v>
      </c>
      <c r="D700" t="str">
        <f>IFERROR(IF(0=LEN(ReferenceData!$D$700),"",ReferenceData!$D$700),"")</f>
        <v>TOTAL_GHG_CO2_EMISSIONS</v>
      </c>
      <c r="E700" t="str">
        <f>IFERROR(IF(0=LEN(ReferenceData!$E$700),"",ReferenceData!$E$700),"")</f>
        <v>Dynamic</v>
      </c>
      <c r="F700" t="str">
        <f ca="1">IFERROR(IF(0=LEN(ReferenceData!$F$700),"",ReferenceData!$F$700),"")</f>
        <v/>
      </c>
      <c r="G700" t="str">
        <f ca="1">IFERROR(IF(0=LEN(ReferenceData!$G$700),"",ReferenceData!$G$700),"")</f>
        <v/>
      </c>
      <c r="H700" t="str">
        <f ca="1">IFERROR(IF(0=LEN(ReferenceData!$H$700),"",ReferenceData!$H$700),"")</f>
        <v/>
      </c>
      <c r="I700" t="str">
        <f ca="1">IFERROR(IF(0=LEN(ReferenceData!$I$700),"",ReferenceData!$I$700),"")</f>
        <v/>
      </c>
      <c r="J700" t="str">
        <f ca="1">IFERROR(IF(0=LEN(ReferenceData!$J$700),"",ReferenceData!$J$700),"")</f>
        <v/>
      </c>
    </row>
    <row r="701" spans="1:10" x14ac:dyDescent="0.25">
      <c r="A701" t="str">
        <f>IFERROR(IF(0=LEN(ReferenceData!$A$701),"",ReferenceData!$A$701),"")</f>
        <v xml:space="preserve">                    Evogene Ltd</v>
      </c>
      <c r="B701" t="str">
        <f>IFERROR(IF(0=LEN(ReferenceData!$B$701),"",ReferenceData!$B$701),"")</f>
        <v>EVGN IT Equity</v>
      </c>
      <c r="C701" t="str">
        <f>IFERROR(IF(0=LEN(ReferenceData!$C$701),"",ReferenceData!$C$701),"")</f>
        <v>F0946</v>
      </c>
      <c r="D701" t="str">
        <f>IFERROR(IF(0=LEN(ReferenceData!$D$701),"",ReferenceData!$D$701),"")</f>
        <v>TOTAL_GHG_CO2_EMISSIONS</v>
      </c>
      <c r="E701" t="str">
        <f>IFERROR(IF(0=LEN(ReferenceData!$E$701),"",ReferenceData!$E$701),"")</f>
        <v>Dynamic</v>
      </c>
      <c r="F701" t="str">
        <f ca="1">IFERROR(IF(0=LEN(ReferenceData!$F$701),"",ReferenceData!$F$701),"")</f>
        <v/>
      </c>
      <c r="G701" t="str">
        <f ca="1">IFERROR(IF(0=LEN(ReferenceData!$G$701),"",ReferenceData!$G$701),"")</f>
        <v/>
      </c>
      <c r="H701" t="str">
        <f ca="1">IFERROR(IF(0=LEN(ReferenceData!$H$701),"",ReferenceData!$H$701),"")</f>
        <v/>
      </c>
      <c r="I701" t="str">
        <f ca="1">IFERROR(IF(0=LEN(ReferenceData!$I$701),"",ReferenceData!$I$701),"")</f>
        <v/>
      </c>
      <c r="J701" t="str">
        <f ca="1">IFERROR(IF(0=LEN(ReferenceData!$J$701),"",ReferenceData!$J$701),"")</f>
        <v/>
      </c>
    </row>
    <row r="702" spans="1:10" x14ac:dyDescent="0.25">
      <c r="A702" t="str">
        <f>IFERROR(IF(0=LEN(ReferenceData!$A$702),"",ReferenceData!$A$702),"")</f>
        <v xml:space="preserve">                    Fauji Fertilizer Bin Qasim Ltd</v>
      </c>
      <c r="B702" t="str">
        <f>IFERROR(IF(0=LEN(ReferenceData!$B$702),"",ReferenceData!$B$702),"")</f>
        <v>FFBL PA Equity</v>
      </c>
      <c r="C702" t="str">
        <f>IFERROR(IF(0=LEN(ReferenceData!$C$702),"",ReferenceData!$C$702),"")</f>
        <v>F0946</v>
      </c>
      <c r="D702" t="str">
        <f>IFERROR(IF(0=LEN(ReferenceData!$D$702),"",ReferenceData!$D$702),"")</f>
        <v>TOTAL_GHG_CO2_EMISSIONS</v>
      </c>
      <c r="E702" t="str">
        <f>IFERROR(IF(0=LEN(ReferenceData!$E$702),"",ReferenceData!$E$702),"")</f>
        <v>Dynamic</v>
      </c>
      <c r="F702" t="str">
        <f ca="1">IFERROR(IF(0=LEN(ReferenceData!$F$702),"",ReferenceData!$F$702),"")</f>
        <v/>
      </c>
      <c r="G702" t="str">
        <f ca="1">IFERROR(IF(0=LEN(ReferenceData!$G$702),"",ReferenceData!$G$702),"")</f>
        <v/>
      </c>
      <c r="H702" t="str">
        <f ca="1">IFERROR(IF(0=LEN(ReferenceData!$H$702),"",ReferenceData!$H$702),"")</f>
        <v/>
      </c>
      <c r="I702" t="str">
        <f ca="1">IFERROR(IF(0=LEN(ReferenceData!$I$702),"",ReferenceData!$I$702),"")</f>
        <v/>
      </c>
      <c r="J702" t="str">
        <f ca="1">IFERROR(IF(0=LEN(ReferenceData!$J$702),"",ReferenceData!$J$702),"")</f>
        <v/>
      </c>
    </row>
    <row r="703" spans="1:10" x14ac:dyDescent="0.25">
      <c r="A703" t="str">
        <f>IFERROR(IF(0=LEN(ReferenceData!$A$703),"",ReferenceData!$A$703),"")</f>
        <v xml:space="preserve">                    Fauji Fertilizer Co Ltd</v>
      </c>
      <c r="B703" t="str">
        <f>IFERROR(IF(0=LEN(ReferenceData!$B$703),"",ReferenceData!$B$703),"")</f>
        <v>FFC PA Equity</v>
      </c>
      <c r="C703" t="str">
        <f>IFERROR(IF(0=LEN(ReferenceData!$C$703),"",ReferenceData!$C$703),"")</f>
        <v>F0946</v>
      </c>
      <c r="D703" t="str">
        <f>IFERROR(IF(0=LEN(ReferenceData!$D$703),"",ReferenceData!$D$703),"")</f>
        <v>TOTAL_GHG_CO2_EMISSIONS</v>
      </c>
      <c r="E703" t="str">
        <f>IFERROR(IF(0=LEN(ReferenceData!$E$703),"",ReferenceData!$E$703),"")</f>
        <v>Dynamic</v>
      </c>
      <c r="F703" t="str">
        <f ca="1">IFERROR(IF(0=LEN(ReferenceData!$F$703),"",ReferenceData!$F$703),"")</f>
        <v/>
      </c>
      <c r="G703">
        <f ca="1">IFERROR(IF(0=LEN(ReferenceData!$G$703),"",ReferenceData!$G$703),"")</f>
        <v>1.9083599849999999</v>
      </c>
      <c r="H703">
        <f ca="1">IFERROR(IF(0=LEN(ReferenceData!$H$703),"",ReferenceData!$H$703),"")</f>
        <v>1.8800200199999999</v>
      </c>
      <c r="I703">
        <f ca="1">IFERROR(IF(0=LEN(ReferenceData!$I$703),"",ReferenceData!$I$703),"")</f>
        <v>1.87097998</v>
      </c>
      <c r="J703">
        <f ca="1">IFERROR(IF(0=LEN(ReferenceData!$J$703),"",ReferenceData!$J$703),"")</f>
        <v>1.8736199950000001</v>
      </c>
    </row>
    <row r="704" spans="1:10" x14ac:dyDescent="0.25">
      <c r="A704" t="str">
        <f>IFERROR(IF(0=LEN(ReferenceData!$A$704),"",ReferenceData!$A$704),"")</f>
        <v xml:space="preserve">                    Fertilizantes Heringer SA</v>
      </c>
      <c r="B704" t="str">
        <f>IFERROR(IF(0=LEN(ReferenceData!$B$704),"",ReferenceData!$B$704),"")</f>
        <v>FHER3 BZ Equity</v>
      </c>
      <c r="C704" t="str">
        <f>IFERROR(IF(0=LEN(ReferenceData!$C$704),"",ReferenceData!$C$704),"")</f>
        <v>F0946</v>
      </c>
      <c r="D704" t="str">
        <f>IFERROR(IF(0=LEN(ReferenceData!$D$704),"",ReferenceData!$D$704),"")</f>
        <v>TOTAL_GHG_CO2_EMISSIONS</v>
      </c>
      <c r="E704" t="str">
        <f>IFERROR(IF(0=LEN(ReferenceData!$E$704),"",ReferenceData!$E$704),"")</f>
        <v>Dynamic</v>
      </c>
      <c r="F704" t="str">
        <f ca="1">IFERROR(IF(0=LEN(ReferenceData!$F$704),"",ReferenceData!$F$704),"")</f>
        <v/>
      </c>
      <c r="G704" t="str">
        <f ca="1">IFERROR(IF(0=LEN(ReferenceData!$G$704),"",ReferenceData!$G$704),"")</f>
        <v/>
      </c>
      <c r="H704" t="str">
        <f ca="1">IFERROR(IF(0=LEN(ReferenceData!$H$704),"",ReferenceData!$H$704),"")</f>
        <v/>
      </c>
      <c r="I704" t="str">
        <f ca="1">IFERROR(IF(0=LEN(ReferenceData!$I$704),"",ReferenceData!$I$704),"")</f>
        <v/>
      </c>
      <c r="J704" t="str">
        <f ca="1">IFERROR(IF(0=LEN(ReferenceData!$J$704),"",ReferenceData!$J$704),"")</f>
        <v/>
      </c>
    </row>
    <row r="705" spans="1:10" x14ac:dyDescent="0.25">
      <c r="A705" t="str">
        <f>IFERROR(IF(0=LEN(ReferenceData!$A$705),"",ReferenceData!$A$705),"")</f>
        <v xml:space="preserve">                    FMC Corp</v>
      </c>
      <c r="B705" t="str">
        <f>IFERROR(IF(0=LEN(ReferenceData!$B$705),"",ReferenceData!$B$705),"")</f>
        <v>FMC US Equity</v>
      </c>
      <c r="C705" t="str">
        <f>IFERROR(IF(0=LEN(ReferenceData!$C$705),"",ReferenceData!$C$705),"")</f>
        <v>F0946</v>
      </c>
      <c r="D705" t="str">
        <f>IFERROR(IF(0=LEN(ReferenceData!$D$705),"",ReferenceData!$D$705),"")</f>
        <v>TOTAL_GHG_CO2_EMISSIONS</v>
      </c>
      <c r="E705" t="str">
        <f>IFERROR(IF(0=LEN(ReferenceData!$E$705),"",ReferenceData!$E$705),"")</f>
        <v>Dynamic</v>
      </c>
      <c r="F705">
        <f ca="1">IFERROR(IF(0=LEN(ReferenceData!$F$705),"",ReferenceData!$F$705),"")</f>
        <v>0.155</v>
      </c>
      <c r="G705">
        <f ca="1">IFERROR(IF(0=LEN(ReferenceData!$G$705),"",ReferenceData!$G$705),"")</f>
        <v>0.165880005</v>
      </c>
      <c r="H705">
        <f ca="1">IFERROR(IF(0=LEN(ReferenceData!$H$705),"",ReferenceData!$H$705),"")</f>
        <v>0.151944</v>
      </c>
      <c r="I705">
        <f ca="1">IFERROR(IF(0=LEN(ReferenceData!$I$705),"",ReferenceData!$I$705),"")</f>
        <v>0.15282299799999999</v>
      </c>
      <c r="J705">
        <f ca="1">IFERROR(IF(0=LEN(ReferenceData!$J$705),"",ReferenceData!$J$705),"")</f>
        <v>0.28709899900000002</v>
      </c>
    </row>
    <row r="706" spans="1:10" x14ac:dyDescent="0.25">
      <c r="A706" t="str">
        <f>IFERROR(IF(0=LEN(ReferenceData!$A$706),"",ReferenceData!$A$706),"")</f>
        <v xml:space="preserve">                    ICL Group Ltd</v>
      </c>
      <c r="B706" t="str">
        <f>IFERROR(IF(0=LEN(ReferenceData!$B$706),"",ReferenceData!$B$706),"")</f>
        <v>ICL IT Equity</v>
      </c>
      <c r="C706" t="str">
        <f>IFERROR(IF(0=LEN(ReferenceData!$C$706),"",ReferenceData!$C$706),"")</f>
        <v>F0946</v>
      </c>
      <c r="D706" t="str">
        <f>IFERROR(IF(0=LEN(ReferenceData!$D$706),"",ReferenceData!$D$706),"")</f>
        <v>TOTAL_GHG_CO2_EMISSIONS</v>
      </c>
      <c r="E706" t="str">
        <f>IFERROR(IF(0=LEN(ReferenceData!$E$706),"",ReferenceData!$E$706),"")</f>
        <v>Dynamic</v>
      </c>
      <c r="F706" t="str">
        <f ca="1">IFERROR(IF(0=LEN(ReferenceData!$F$706),"",ReferenceData!$F$706),"")</f>
        <v/>
      </c>
      <c r="G706">
        <f ca="1">IFERROR(IF(0=LEN(ReferenceData!$G$706),"",ReferenceData!$G$706),"")</f>
        <v>2.6242900389999999</v>
      </c>
      <c r="H706">
        <f ca="1">IFERROR(IF(0=LEN(ReferenceData!$H$706),"",ReferenceData!$H$706),"")</f>
        <v>2.5640000000000001</v>
      </c>
      <c r="I706">
        <f ca="1">IFERROR(IF(0=LEN(ReferenceData!$I$706),"",ReferenceData!$I$706),"")</f>
        <v>3.16426001</v>
      </c>
      <c r="J706">
        <f ca="1">IFERROR(IF(0=LEN(ReferenceData!$J$706),"",ReferenceData!$J$706),"")</f>
        <v>3.2286201170000002</v>
      </c>
    </row>
    <row r="707" spans="1:10" x14ac:dyDescent="0.25">
      <c r="A707" t="str">
        <f>IFERROR(IF(0=LEN(ReferenceData!$A$707),"",ReferenceData!$A$707),"")</f>
        <v xml:space="preserve">                    Intrepid Potash Inc</v>
      </c>
      <c r="B707" t="str">
        <f>IFERROR(IF(0=LEN(ReferenceData!$B$707),"",ReferenceData!$B$707),"")</f>
        <v>IPI US Equity</v>
      </c>
      <c r="C707" t="str">
        <f>IFERROR(IF(0=LEN(ReferenceData!$C$707),"",ReferenceData!$C$707),"")</f>
        <v>F0946</v>
      </c>
      <c r="D707" t="str">
        <f>IFERROR(IF(0=LEN(ReferenceData!$D$707),"",ReferenceData!$D$707),"")</f>
        <v>TOTAL_GHG_CO2_EMISSIONS</v>
      </c>
      <c r="E707" t="str">
        <f>IFERROR(IF(0=LEN(ReferenceData!$E$707),"",ReferenceData!$E$707),"")</f>
        <v>Dynamic</v>
      </c>
      <c r="F707" t="str">
        <f ca="1">IFERROR(IF(0=LEN(ReferenceData!$F$707),"",ReferenceData!$F$707),"")</f>
        <v/>
      </c>
      <c r="G707" t="str">
        <f ca="1">IFERROR(IF(0=LEN(ReferenceData!$G$707),"",ReferenceData!$G$707),"")</f>
        <v/>
      </c>
      <c r="H707" t="str">
        <f ca="1">IFERROR(IF(0=LEN(ReferenceData!$H$707),"",ReferenceData!$H$707),"")</f>
        <v/>
      </c>
      <c r="I707" t="str">
        <f ca="1">IFERROR(IF(0=LEN(ReferenceData!$I$707),"",ReferenceData!$I$707),"")</f>
        <v/>
      </c>
      <c r="J707" t="str">
        <f ca="1">IFERROR(IF(0=LEN(ReferenceData!$J$707),"",ReferenceData!$J$707),"")</f>
        <v/>
      </c>
    </row>
    <row r="708" spans="1:10" x14ac:dyDescent="0.25">
      <c r="A708" t="str">
        <f>IFERROR(IF(0=LEN(ReferenceData!$A$708),"",ReferenceData!$A$708),"")</f>
        <v xml:space="preserve">                    Incitec Pivot Ltd</v>
      </c>
      <c r="B708" t="str">
        <f>IFERROR(IF(0=LEN(ReferenceData!$B$708),"",ReferenceData!$B$708),"")</f>
        <v>IPL AU Equity</v>
      </c>
      <c r="C708" t="str">
        <f>IFERROR(IF(0=LEN(ReferenceData!$C$708),"",ReferenceData!$C$708),"")</f>
        <v>F0946</v>
      </c>
      <c r="D708" t="str">
        <f>IFERROR(IF(0=LEN(ReferenceData!$D$708),"",ReferenceData!$D$708),"")</f>
        <v>TOTAL_GHG_CO2_EMISSIONS</v>
      </c>
      <c r="E708" t="str">
        <f>IFERROR(IF(0=LEN(ReferenceData!$E$708),"",ReferenceData!$E$708),"")</f>
        <v>Dynamic</v>
      </c>
      <c r="F708">
        <f ca="1">IFERROR(IF(0=LEN(ReferenceData!$F$708),"",ReferenceData!$F$708),"")</f>
        <v>3.8</v>
      </c>
      <c r="G708">
        <f ca="1">IFERROR(IF(0=LEN(ReferenceData!$G$708),"",ReferenceData!$G$708),"")</f>
        <v>3.4120200199999999</v>
      </c>
      <c r="H708">
        <f ca="1">IFERROR(IF(0=LEN(ReferenceData!$H$708),"",ReferenceData!$H$708),"")</f>
        <v>3.6167399900000001</v>
      </c>
      <c r="I708">
        <f ca="1">IFERROR(IF(0=LEN(ReferenceData!$I$708),"",ReferenceData!$I$708),"")</f>
        <v>3.3875100100000002</v>
      </c>
      <c r="J708">
        <f ca="1">IFERROR(IF(0=LEN(ReferenceData!$J$708),"",ReferenceData!$J$708),"")</f>
        <v>3.7513999020000002</v>
      </c>
    </row>
    <row r="709" spans="1:10" x14ac:dyDescent="0.25">
      <c r="A709" t="str">
        <f>IFERROR(IF(0=LEN(ReferenceData!$A$709),"",ReferenceData!$A$709),"")</f>
        <v xml:space="preserve">                    Ishihara Sangyo Kaisha Ltd</v>
      </c>
      <c r="B709" t="str">
        <f>IFERROR(IF(0=LEN(ReferenceData!$B$709),"",ReferenceData!$B$709),"")</f>
        <v>4028 JP Equity</v>
      </c>
      <c r="C709" t="str">
        <f>IFERROR(IF(0=LEN(ReferenceData!$C$709),"",ReferenceData!$C$709),"")</f>
        <v>F0946</v>
      </c>
      <c r="D709" t="str">
        <f>IFERROR(IF(0=LEN(ReferenceData!$D$709),"",ReferenceData!$D$709),"")</f>
        <v>TOTAL_GHG_CO2_EMISSIONS</v>
      </c>
      <c r="E709" t="str">
        <f>IFERROR(IF(0=LEN(ReferenceData!$E$709),"",ReferenceData!$E$709),"")</f>
        <v>Dynamic</v>
      </c>
      <c r="F709" t="str">
        <f ca="1">IFERROR(IF(0=LEN(ReferenceData!$F$709),"",ReferenceData!$F$709),"")</f>
        <v/>
      </c>
      <c r="G709">
        <f ca="1">IFERROR(IF(0=LEN(ReferenceData!$G$709),"",ReferenceData!$G$709),"")</f>
        <v>0.50800000000000001</v>
      </c>
      <c r="H709">
        <f ca="1">IFERROR(IF(0=LEN(ReferenceData!$H$709),"",ReferenceData!$H$709),"")</f>
        <v>0.442</v>
      </c>
      <c r="I709">
        <f ca="1">IFERROR(IF(0=LEN(ReferenceData!$I$709),"",ReferenceData!$I$709),"")</f>
        <v>0.48899999999999999</v>
      </c>
      <c r="J709" t="str">
        <f ca="1">IFERROR(IF(0=LEN(ReferenceData!$J$709),"",ReferenceData!$J$709),"")</f>
        <v/>
      </c>
    </row>
    <row r="710" spans="1:10" x14ac:dyDescent="0.25">
      <c r="A710" t="str">
        <f>IFERROR(IF(0=LEN(ReferenceData!$A$710),"",ReferenceData!$A$710),"")</f>
        <v xml:space="preserve">                    Jordan Phosphate Mines</v>
      </c>
      <c r="B710" t="str">
        <f>IFERROR(IF(0=LEN(ReferenceData!$B$710),"",ReferenceData!$B$710),"")</f>
        <v>JOPH JR Equity</v>
      </c>
      <c r="C710" t="str">
        <f>IFERROR(IF(0=LEN(ReferenceData!$C$710),"",ReferenceData!$C$710),"")</f>
        <v>F0946</v>
      </c>
      <c r="D710" t="str">
        <f>IFERROR(IF(0=LEN(ReferenceData!$D$710),"",ReferenceData!$D$710),"")</f>
        <v>TOTAL_GHG_CO2_EMISSIONS</v>
      </c>
      <c r="E710" t="str">
        <f>IFERROR(IF(0=LEN(ReferenceData!$E$710),"",ReferenceData!$E$710),"")</f>
        <v>Dynamic</v>
      </c>
      <c r="F710" t="str">
        <f ca="1">IFERROR(IF(0=LEN(ReferenceData!$F$710),"",ReferenceData!$F$710),"")</f>
        <v/>
      </c>
      <c r="G710" t="str">
        <f ca="1">IFERROR(IF(0=LEN(ReferenceData!$G$710),"",ReferenceData!$G$710),"")</f>
        <v/>
      </c>
      <c r="H710" t="str">
        <f ca="1">IFERROR(IF(0=LEN(ReferenceData!$H$710),"",ReferenceData!$H$710),"")</f>
        <v/>
      </c>
      <c r="I710" t="str">
        <f ca="1">IFERROR(IF(0=LEN(ReferenceData!$I$710),"",ReferenceData!$I$710),"")</f>
        <v/>
      </c>
      <c r="J710" t="str">
        <f ca="1">IFERROR(IF(0=LEN(ReferenceData!$J$710),"",ReferenceData!$J$710),"")</f>
        <v/>
      </c>
    </row>
    <row r="711" spans="1:10" x14ac:dyDescent="0.25">
      <c r="A711" t="str">
        <f>IFERROR(IF(0=LEN(ReferenceData!$A$711),"",ReferenceData!$A$711),"")</f>
        <v xml:space="preserve">                    K+S AG</v>
      </c>
      <c r="B711" t="str">
        <f>IFERROR(IF(0=LEN(ReferenceData!$B$711),"",ReferenceData!$B$711),"")</f>
        <v>SDF GR Equity</v>
      </c>
      <c r="C711" t="str">
        <f>IFERROR(IF(0=LEN(ReferenceData!$C$711),"",ReferenceData!$C$711),"")</f>
        <v>F0946</v>
      </c>
      <c r="D711" t="str">
        <f>IFERROR(IF(0=LEN(ReferenceData!$D$711),"",ReferenceData!$D$711),"")</f>
        <v>TOTAL_GHG_CO2_EMISSIONS</v>
      </c>
      <c r="E711" t="str">
        <f>IFERROR(IF(0=LEN(ReferenceData!$E$711),"",ReferenceData!$E$711),"")</f>
        <v>Dynamic</v>
      </c>
      <c r="F711">
        <f ca="1">IFERROR(IF(0=LEN(ReferenceData!$F$711),"",ReferenceData!$F$711),"")</f>
        <v>2</v>
      </c>
      <c r="G711">
        <f ca="1">IFERROR(IF(0=LEN(ReferenceData!$G$711),"",ReferenceData!$G$711),"")</f>
        <v>2.2000000000000002</v>
      </c>
      <c r="H711">
        <f ca="1">IFERROR(IF(0=LEN(ReferenceData!$H$711),"",ReferenceData!$H$711),"")</f>
        <v>2.6</v>
      </c>
      <c r="I711">
        <f ca="1">IFERROR(IF(0=LEN(ReferenceData!$I$711),"",ReferenceData!$I$711),"")</f>
        <v>2.6</v>
      </c>
      <c r="J711">
        <f ca="1">IFERROR(IF(0=LEN(ReferenceData!$J$711),"",ReferenceData!$J$711),"")</f>
        <v>2.6</v>
      </c>
    </row>
    <row r="712" spans="1:10" x14ac:dyDescent="0.25">
      <c r="A712" t="str">
        <f>IFERROR(IF(0=LEN(ReferenceData!$A$712),"",ReferenceData!$A$712),"")</f>
        <v xml:space="preserve">                    KWS Saat SE &amp; Co KGaA</v>
      </c>
      <c r="B712" t="str">
        <f>IFERROR(IF(0=LEN(ReferenceData!$B$712),"",ReferenceData!$B$712),"")</f>
        <v>KWS GR Equity</v>
      </c>
      <c r="C712" t="str">
        <f>IFERROR(IF(0=LEN(ReferenceData!$C$712),"",ReferenceData!$C$712),"")</f>
        <v>F0946</v>
      </c>
      <c r="D712" t="str">
        <f>IFERROR(IF(0=LEN(ReferenceData!$D$712),"",ReferenceData!$D$712),"")</f>
        <v>TOTAL_GHG_CO2_EMISSIONS</v>
      </c>
      <c r="E712" t="str">
        <f>IFERROR(IF(0=LEN(ReferenceData!$E$712),"",ReferenceData!$E$712),"")</f>
        <v>Dynamic</v>
      </c>
      <c r="F712" t="str">
        <f ca="1">IFERROR(IF(0=LEN(ReferenceData!$F$712),"",ReferenceData!$F$712),"")</f>
        <v/>
      </c>
      <c r="G712" t="str">
        <f ca="1">IFERROR(IF(0=LEN(ReferenceData!$G$712),"",ReferenceData!$G$712),"")</f>
        <v/>
      </c>
      <c r="H712">
        <f ca="1">IFERROR(IF(0=LEN(ReferenceData!$H$712),"",ReferenceData!$H$712),"")</f>
        <v>6.4455001999999997E-2</v>
      </c>
      <c r="I712" t="str">
        <f ca="1">IFERROR(IF(0=LEN(ReferenceData!$I$712),"",ReferenceData!$I$712),"")</f>
        <v/>
      </c>
      <c r="J712" t="str">
        <f ca="1">IFERROR(IF(0=LEN(ReferenceData!$J$712),"",ReferenceData!$J$712),"")</f>
        <v/>
      </c>
    </row>
    <row r="713" spans="1:10" x14ac:dyDescent="0.25">
      <c r="A713" t="str">
        <f>IFERROR(IF(0=LEN(ReferenceData!$A$713),"",ReferenceData!$A$713),"")</f>
        <v xml:space="preserve">                    Kingenta Ecological Engineerin</v>
      </c>
      <c r="B713" t="str">
        <f>IFERROR(IF(0=LEN(ReferenceData!$B$713),"",ReferenceData!$B$713),"")</f>
        <v>002470 CH Equity</v>
      </c>
      <c r="C713" t="str">
        <f>IFERROR(IF(0=LEN(ReferenceData!$C$713),"",ReferenceData!$C$713),"")</f>
        <v>F0946</v>
      </c>
      <c r="D713" t="str">
        <f>IFERROR(IF(0=LEN(ReferenceData!$D$713),"",ReferenceData!$D$713),"")</f>
        <v>TOTAL_GHG_CO2_EMISSIONS</v>
      </c>
      <c r="E713" t="str">
        <f>IFERROR(IF(0=LEN(ReferenceData!$E$713),"",ReferenceData!$E$713),"")</f>
        <v>Dynamic</v>
      </c>
      <c r="F713" t="str">
        <f ca="1">IFERROR(IF(0=LEN(ReferenceData!$F$713),"",ReferenceData!$F$713),"")</f>
        <v/>
      </c>
      <c r="G713" t="str">
        <f ca="1">IFERROR(IF(0=LEN(ReferenceData!$G$713),"",ReferenceData!$G$713),"")</f>
        <v/>
      </c>
      <c r="H713" t="str">
        <f ca="1">IFERROR(IF(0=LEN(ReferenceData!$H$713),"",ReferenceData!$H$713),"")</f>
        <v/>
      </c>
      <c r="I713" t="str">
        <f ca="1">IFERROR(IF(0=LEN(ReferenceData!$I$713),"",ReferenceData!$I$713),"")</f>
        <v/>
      </c>
      <c r="J713" t="str">
        <f ca="1">IFERROR(IF(0=LEN(ReferenceData!$J$713),"",ReferenceData!$J$713),"")</f>
        <v/>
      </c>
    </row>
    <row r="714" spans="1:10" x14ac:dyDescent="0.25">
      <c r="A714" t="str">
        <f>IFERROR(IF(0=LEN(ReferenceData!$A$714),"",ReferenceData!$A$714),"")</f>
        <v xml:space="preserve">                    Lier Chemical Co Ltd</v>
      </c>
      <c r="B714" t="str">
        <f>IFERROR(IF(0=LEN(ReferenceData!$B$714),"",ReferenceData!$B$714),"")</f>
        <v>002258 CH Equity</v>
      </c>
      <c r="C714" t="str">
        <f>IFERROR(IF(0=LEN(ReferenceData!$C$714),"",ReferenceData!$C$714),"")</f>
        <v>F0946</v>
      </c>
      <c r="D714" t="str">
        <f>IFERROR(IF(0=LEN(ReferenceData!$D$714),"",ReferenceData!$D$714),"")</f>
        <v>TOTAL_GHG_CO2_EMISSIONS</v>
      </c>
      <c r="E714" t="str">
        <f>IFERROR(IF(0=LEN(ReferenceData!$E$714),"",ReferenceData!$E$714),"")</f>
        <v>Dynamic</v>
      </c>
      <c r="F714" t="str">
        <f ca="1">IFERROR(IF(0=LEN(ReferenceData!$F$714),"",ReferenceData!$F$714),"")</f>
        <v/>
      </c>
      <c r="G714" t="str">
        <f ca="1">IFERROR(IF(0=LEN(ReferenceData!$G$714),"",ReferenceData!$G$714),"")</f>
        <v/>
      </c>
      <c r="H714" t="str">
        <f ca="1">IFERROR(IF(0=LEN(ReferenceData!$H$714),"",ReferenceData!$H$714),"")</f>
        <v/>
      </c>
      <c r="I714" t="str">
        <f ca="1">IFERROR(IF(0=LEN(ReferenceData!$I$714),"",ReferenceData!$I$714),"")</f>
        <v/>
      </c>
      <c r="J714" t="str">
        <f ca="1">IFERROR(IF(0=LEN(ReferenceData!$J$714),"",ReferenceData!$J$714),"")</f>
        <v/>
      </c>
    </row>
    <row r="715" spans="1:10" x14ac:dyDescent="0.25">
      <c r="A715" t="str">
        <f>IFERROR(IF(0=LEN(ReferenceData!$A$715),"",ReferenceData!$A$715),"")</f>
        <v xml:space="preserve">                    Mosaic Co/The</v>
      </c>
      <c r="B715" t="str">
        <f>IFERROR(IF(0=LEN(ReferenceData!$B$715),"",ReferenceData!$B$715),"")</f>
        <v>MOS US Equity</v>
      </c>
      <c r="C715" t="str">
        <f>IFERROR(IF(0=LEN(ReferenceData!$C$715),"",ReferenceData!$C$715),"")</f>
        <v>F0946</v>
      </c>
      <c r="D715" t="str">
        <f>IFERROR(IF(0=LEN(ReferenceData!$D$715),"",ReferenceData!$D$715),"")</f>
        <v>TOTAL_GHG_CO2_EMISSIONS</v>
      </c>
      <c r="E715" t="str">
        <f>IFERROR(IF(0=LEN(ReferenceData!$E$715),"",ReferenceData!$E$715),"")</f>
        <v>Dynamic</v>
      </c>
      <c r="F715" t="str">
        <f ca="1">IFERROR(IF(0=LEN(ReferenceData!$F$715),"",ReferenceData!$F$715),"")</f>
        <v/>
      </c>
      <c r="G715">
        <f ca="1">IFERROR(IF(0=LEN(ReferenceData!$G$715),"",ReferenceData!$G$715),"")</f>
        <v>4.5344399409999996</v>
      </c>
      <c r="H715">
        <f ca="1">IFERROR(IF(0=LEN(ReferenceData!$H$715),"",ReferenceData!$H$715),"")</f>
        <v>4.9199902340000001</v>
      </c>
      <c r="I715">
        <f ca="1">IFERROR(IF(0=LEN(ReferenceData!$I$715),"",ReferenceData!$I$715),"")</f>
        <v>4.5839599609999997</v>
      </c>
      <c r="J715">
        <f ca="1">IFERROR(IF(0=LEN(ReferenceData!$J$715),"",ReferenceData!$J$715),"")</f>
        <v>5.4404399410000002</v>
      </c>
    </row>
    <row r="716" spans="1:10" x14ac:dyDescent="0.25">
      <c r="A716" t="str">
        <f>IFERROR(IF(0=LEN(ReferenceData!$A$716),"",ReferenceData!$A$716),"")</f>
        <v xml:space="preserve">                    National Fertilizers Ltd</v>
      </c>
      <c r="B716" t="str">
        <f>IFERROR(IF(0=LEN(ReferenceData!$B$716),"",ReferenceData!$B$716),"")</f>
        <v>NFL IN Equity</v>
      </c>
      <c r="C716" t="str">
        <f>IFERROR(IF(0=LEN(ReferenceData!$C$716),"",ReferenceData!$C$716),"")</f>
        <v>F0946</v>
      </c>
      <c r="D716" t="str">
        <f>IFERROR(IF(0=LEN(ReferenceData!$D$716),"",ReferenceData!$D$716),"")</f>
        <v>TOTAL_GHG_CO2_EMISSIONS</v>
      </c>
      <c r="E716" t="str">
        <f>IFERROR(IF(0=LEN(ReferenceData!$E$716),"",ReferenceData!$E$716),"")</f>
        <v>Dynamic</v>
      </c>
      <c r="F716" t="str">
        <f ca="1">IFERROR(IF(0=LEN(ReferenceData!$F$716),"",ReferenceData!$F$716),"")</f>
        <v/>
      </c>
      <c r="G716" t="str">
        <f ca="1">IFERROR(IF(0=LEN(ReferenceData!$G$716),"",ReferenceData!$G$716),"")</f>
        <v/>
      </c>
      <c r="H716" t="str">
        <f ca="1">IFERROR(IF(0=LEN(ReferenceData!$H$716),"",ReferenceData!$H$716),"")</f>
        <v/>
      </c>
      <c r="I716" t="str">
        <f ca="1">IFERROR(IF(0=LEN(ReferenceData!$I$716),"",ReferenceData!$I$716),"")</f>
        <v/>
      </c>
      <c r="J716" t="str">
        <f ca="1">IFERROR(IF(0=LEN(ReferenceData!$J$716),"",ReferenceData!$J$716),"")</f>
        <v/>
      </c>
    </row>
    <row r="717" spans="1:10" x14ac:dyDescent="0.25">
      <c r="A717" t="str">
        <f>IFERROR(IF(0=LEN(ReferenceData!$A$717),"",ReferenceData!$A$717),"")</f>
        <v xml:space="preserve">                    Nufarm Ltd</v>
      </c>
      <c r="B717" t="str">
        <f>IFERROR(IF(0=LEN(ReferenceData!$B$717),"",ReferenceData!$B$717),"")</f>
        <v>NUF AU Equity</v>
      </c>
      <c r="C717" t="str">
        <f>IFERROR(IF(0=LEN(ReferenceData!$C$717),"",ReferenceData!$C$717),"")</f>
        <v>F0946</v>
      </c>
      <c r="D717" t="str">
        <f>IFERROR(IF(0=LEN(ReferenceData!$D$717),"",ReferenceData!$D$717),"")</f>
        <v>TOTAL_GHG_CO2_EMISSIONS</v>
      </c>
      <c r="E717" t="str">
        <f>IFERROR(IF(0=LEN(ReferenceData!$E$717),"",ReferenceData!$E$717),"")</f>
        <v>Dynamic</v>
      </c>
      <c r="F717" t="str">
        <f ca="1">IFERROR(IF(0=LEN(ReferenceData!$F$717),"",ReferenceData!$F$717),"")</f>
        <v/>
      </c>
      <c r="G717">
        <f ca="1">IFERROR(IF(0=LEN(ReferenceData!$G$717),"",ReferenceData!$G$717),"")</f>
        <v>8.5637001000000004E-2</v>
      </c>
      <c r="H717">
        <f ca="1">IFERROR(IF(0=LEN(ReferenceData!$H$717),"",ReferenceData!$H$717),"")</f>
        <v>9.1605003000000004E-2</v>
      </c>
      <c r="I717">
        <f ca="1">IFERROR(IF(0=LEN(ReferenceData!$I$717),"",ReferenceData!$I$717),"")</f>
        <v>9.4012999999999999E-2</v>
      </c>
      <c r="J717">
        <f ca="1">IFERROR(IF(0=LEN(ReferenceData!$J$717),"",ReferenceData!$J$717),"")</f>
        <v>0.10583100099999999</v>
      </c>
    </row>
    <row r="718" spans="1:10" x14ac:dyDescent="0.25">
      <c r="A718" t="str">
        <f>IFERROR(IF(0=LEN(ReferenceData!$A$718),"",ReferenceData!$A$718),"")</f>
        <v xml:space="preserve">                    Nippon Soda Co Ltd</v>
      </c>
      <c r="B718" t="str">
        <f>IFERROR(IF(0=LEN(ReferenceData!$B$718),"",ReferenceData!$B$718),"")</f>
        <v>4041 JP Equity</v>
      </c>
      <c r="C718" t="str">
        <f>IFERROR(IF(0=LEN(ReferenceData!$C$718),"",ReferenceData!$C$718),"")</f>
        <v>F0946</v>
      </c>
      <c r="D718" t="str">
        <f>IFERROR(IF(0=LEN(ReferenceData!$D$718),"",ReferenceData!$D$718),"")</f>
        <v>TOTAL_GHG_CO2_EMISSIONS</v>
      </c>
      <c r="E718" t="str">
        <f>IFERROR(IF(0=LEN(ReferenceData!$E$718),"",ReferenceData!$E$718),"")</f>
        <v>Dynamic</v>
      </c>
      <c r="F718" t="str">
        <f ca="1">IFERROR(IF(0=LEN(ReferenceData!$F$718),"",ReferenceData!$F$718),"")</f>
        <v/>
      </c>
      <c r="G718" t="str">
        <f ca="1">IFERROR(IF(0=LEN(ReferenceData!$G$718),"",ReferenceData!$G$718),"")</f>
        <v/>
      </c>
      <c r="H718" t="str">
        <f ca="1">IFERROR(IF(0=LEN(ReferenceData!$H$718),"",ReferenceData!$H$718),"")</f>
        <v/>
      </c>
      <c r="I718" t="str">
        <f ca="1">IFERROR(IF(0=LEN(ReferenceData!$I$718),"",ReferenceData!$I$718),"")</f>
        <v/>
      </c>
      <c r="J718" t="str">
        <f ca="1">IFERROR(IF(0=LEN(ReferenceData!$J$718),"",ReferenceData!$J$718),"")</f>
        <v/>
      </c>
    </row>
    <row r="719" spans="1:10" x14ac:dyDescent="0.25">
      <c r="A719" t="str">
        <f>IFERROR(IF(0=LEN(ReferenceData!$A$719),"",ReferenceData!$A$719),"")</f>
        <v xml:space="preserve">                    Nutrien Ltd</v>
      </c>
      <c r="B719" t="str">
        <f>IFERROR(IF(0=LEN(ReferenceData!$B$719),"",ReferenceData!$B$719),"")</f>
        <v>NTR US Equity</v>
      </c>
      <c r="C719" t="str">
        <f>IFERROR(IF(0=LEN(ReferenceData!$C$719),"",ReferenceData!$C$719),"")</f>
        <v>F0946</v>
      </c>
      <c r="D719" t="str">
        <f>IFERROR(IF(0=LEN(ReferenceData!$D$719),"",ReferenceData!$D$719),"")</f>
        <v>TOTAL_GHG_CO2_EMISSIONS</v>
      </c>
      <c r="E719" t="str">
        <f>IFERROR(IF(0=LEN(ReferenceData!$E$719),"",ReferenceData!$E$719),"")</f>
        <v>Dynamic</v>
      </c>
      <c r="F719">
        <f ca="1">IFERROR(IF(0=LEN(ReferenceData!$F$719),"",ReferenceData!$F$719),"")</f>
        <v>12.76</v>
      </c>
      <c r="G719">
        <f ca="1">IFERROR(IF(0=LEN(ReferenceData!$G$719),"",ReferenceData!$G$719),"")</f>
        <v>13.75</v>
      </c>
      <c r="H719">
        <f ca="1">IFERROR(IF(0=LEN(ReferenceData!$H$719),"",ReferenceData!$H$719),"")</f>
        <v>13.16</v>
      </c>
      <c r="I719">
        <f ca="1">IFERROR(IF(0=LEN(ReferenceData!$I$719),"",ReferenceData!$I$719),"")</f>
        <v>13.38</v>
      </c>
      <c r="J719">
        <f ca="1">IFERROR(IF(0=LEN(ReferenceData!$J$719),"",ReferenceData!$J$719),"")</f>
        <v>14.24</v>
      </c>
    </row>
    <row r="720" spans="1:10" x14ac:dyDescent="0.25">
      <c r="A720" t="str">
        <f>IFERROR(IF(0=LEN(ReferenceData!$A$720),"",ReferenceData!$A$720),"")</f>
        <v xml:space="preserve">                    Origin Agritech Ltd</v>
      </c>
      <c r="B720" t="str">
        <f>IFERROR(IF(0=LEN(ReferenceData!$B$720),"",ReferenceData!$B$720),"")</f>
        <v>SEED US Equity</v>
      </c>
      <c r="C720" t="str">
        <f>IFERROR(IF(0=LEN(ReferenceData!$C$720),"",ReferenceData!$C$720),"")</f>
        <v>F0946</v>
      </c>
      <c r="D720" t="str">
        <f>IFERROR(IF(0=LEN(ReferenceData!$D$720),"",ReferenceData!$D$720),"")</f>
        <v>TOTAL_GHG_CO2_EMISSIONS</v>
      </c>
      <c r="E720" t="str">
        <f>IFERROR(IF(0=LEN(ReferenceData!$E$720),"",ReferenceData!$E$720),"")</f>
        <v>Dynamic</v>
      </c>
      <c r="F720" t="str">
        <f ca="1">IFERROR(IF(0=LEN(ReferenceData!$F$720),"",ReferenceData!$F$720),"")</f>
        <v/>
      </c>
      <c r="G720" t="str">
        <f ca="1">IFERROR(IF(0=LEN(ReferenceData!$G$720),"",ReferenceData!$G$720),"")</f>
        <v/>
      </c>
      <c r="H720" t="str">
        <f ca="1">IFERROR(IF(0=LEN(ReferenceData!$H$720),"",ReferenceData!$H$720),"")</f>
        <v/>
      </c>
      <c r="I720" t="str">
        <f ca="1">IFERROR(IF(0=LEN(ReferenceData!$I$720),"",ReferenceData!$I$720),"")</f>
        <v/>
      </c>
      <c r="J720" t="str">
        <f ca="1">IFERROR(IF(0=LEN(ReferenceData!$J$720),"",ReferenceData!$J$720),"")</f>
        <v/>
      </c>
    </row>
    <row r="721" spans="1:10" x14ac:dyDescent="0.25">
      <c r="A721" t="str">
        <f>IFERROR(IF(0=LEN(ReferenceData!$A$721),"",ReferenceData!$A$721),"")</f>
        <v xml:space="preserve">                    PhosAgro PJSC</v>
      </c>
      <c r="B721" t="str">
        <f>IFERROR(IF(0=LEN(ReferenceData!$B$721),"",ReferenceData!$B$721),"")</f>
        <v>PHOR RM Equity</v>
      </c>
      <c r="C721" t="str">
        <f>IFERROR(IF(0=LEN(ReferenceData!$C$721),"",ReferenceData!$C$721),"")</f>
        <v>F0946</v>
      </c>
      <c r="D721" t="str">
        <f>IFERROR(IF(0=LEN(ReferenceData!$D$721),"",ReferenceData!$D$721),"")</f>
        <v>TOTAL_GHG_CO2_EMISSIONS</v>
      </c>
      <c r="E721" t="str">
        <f>IFERROR(IF(0=LEN(ReferenceData!$E$721),"",ReferenceData!$E$721),"")</f>
        <v>Dynamic</v>
      </c>
      <c r="F721" t="str">
        <f ca="1">IFERROR(IF(0=LEN(ReferenceData!$F$721),"",ReferenceData!$F$721),"")</f>
        <v/>
      </c>
      <c r="G721">
        <f ca="1">IFERROR(IF(0=LEN(ReferenceData!$G$721),"",ReferenceData!$G$721),"")</f>
        <v>5.5691000979999998</v>
      </c>
      <c r="H721">
        <f ca="1">IFERROR(IF(0=LEN(ReferenceData!$H$721),"",ReferenceData!$H$721),"")</f>
        <v>5.9606801760000003</v>
      </c>
      <c r="I721">
        <f ca="1">IFERROR(IF(0=LEN(ReferenceData!$I$721),"",ReferenceData!$I$721),"")</f>
        <v>5.8477402339999998</v>
      </c>
      <c r="J721">
        <f ca="1">IFERROR(IF(0=LEN(ReferenceData!$J$721),"",ReferenceData!$J$721),"")</f>
        <v>4.5123701169999997</v>
      </c>
    </row>
    <row r="722" spans="1:10" x14ac:dyDescent="0.25">
      <c r="A722" t="str">
        <f>IFERROR(IF(0=LEN(ReferenceData!$A$722),"",ReferenceData!$A$722),"")</f>
        <v xml:space="preserve">                    Qinghai Salt Lake Industry Co</v>
      </c>
      <c r="B722" t="str">
        <f>IFERROR(IF(0=LEN(ReferenceData!$B$722),"",ReferenceData!$B$722),"")</f>
        <v>000792 CH Equity</v>
      </c>
      <c r="C722" t="str">
        <f>IFERROR(IF(0=LEN(ReferenceData!$C$722),"",ReferenceData!$C$722),"")</f>
        <v>F0946</v>
      </c>
      <c r="D722" t="str">
        <f>IFERROR(IF(0=LEN(ReferenceData!$D$722),"",ReferenceData!$D$722),"")</f>
        <v>TOTAL_GHG_CO2_EMISSIONS</v>
      </c>
      <c r="E722" t="str">
        <f>IFERROR(IF(0=LEN(ReferenceData!$E$722),"",ReferenceData!$E$722),"")</f>
        <v>Dynamic</v>
      </c>
      <c r="F722" t="str">
        <f ca="1">IFERROR(IF(0=LEN(ReferenceData!$F$722),"",ReferenceData!$F$722),"")</f>
        <v/>
      </c>
      <c r="G722" t="str">
        <f ca="1">IFERROR(IF(0=LEN(ReferenceData!$G$722),"",ReferenceData!$G$722),"")</f>
        <v/>
      </c>
      <c r="H722" t="str">
        <f ca="1">IFERROR(IF(0=LEN(ReferenceData!$H$722),"",ReferenceData!$H$722),"")</f>
        <v/>
      </c>
      <c r="I722" t="str">
        <f ca="1">IFERROR(IF(0=LEN(ReferenceData!$I$722),"",ReferenceData!$I$722),"")</f>
        <v/>
      </c>
      <c r="J722" t="str">
        <f ca="1">IFERROR(IF(0=LEN(ReferenceData!$J$722),"",ReferenceData!$J$722),"")</f>
        <v/>
      </c>
    </row>
    <row r="723" spans="1:10" x14ac:dyDescent="0.25">
      <c r="A723" t="str">
        <f>IFERROR(IF(0=LEN(ReferenceData!$A$723),"",ReferenceData!$A$723),"")</f>
        <v xml:space="preserve">                    Rashtriya Chemicals &amp; Fertiliz</v>
      </c>
      <c r="B723" t="str">
        <f>IFERROR(IF(0=LEN(ReferenceData!$B$723),"",ReferenceData!$B$723),"")</f>
        <v>RCF IN Equity</v>
      </c>
      <c r="C723" t="str">
        <f>IFERROR(IF(0=LEN(ReferenceData!$C$723),"",ReferenceData!$C$723),"")</f>
        <v>F0946</v>
      </c>
      <c r="D723" t="str">
        <f>IFERROR(IF(0=LEN(ReferenceData!$D$723),"",ReferenceData!$D$723),"")</f>
        <v>TOTAL_GHG_CO2_EMISSIONS</v>
      </c>
      <c r="E723" t="str">
        <f>IFERROR(IF(0=LEN(ReferenceData!$E$723),"",ReferenceData!$E$723),"")</f>
        <v>Dynamic</v>
      </c>
      <c r="F723" t="str">
        <f ca="1">IFERROR(IF(0=LEN(ReferenceData!$F$723),"",ReferenceData!$F$723),"")</f>
        <v/>
      </c>
      <c r="G723" t="str">
        <f ca="1">IFERROR(IF(0=LEN(ReferenceData!$G$723),"",ReferenceData!$G$723),"")</f>
        <v/>
      </c>
      <c r="H723" t="str">
        <f ca="1">IFERROR(IF(0=LEN(ReferenceData!$H$723),"",ReferenceData!$H$723),"")</f>
        <v/>
      </c>
      <c r="I723" t="str">
        <f ca="1">IFERROR(IF(0=LEN(ReferenceData!$I$723),"",ReferenceData!$I$723),"")</f>
        <v/>
      </c>
      <c r="J723" t="str">
        <f ca="1">IFERROR(IF(0=LEN(ReferenceData!$J$723),"",ReferenceData!$J$723),"")</f>
        <v/>
      </c>
    </row>
    <row r="724" spans="1:10" x14ac:dyDescent="0.25">
      <c r="A724" t="str">
        <f>IFERROR(IF(0=LEN(ReferenceData!$A$724),"",ReferenceData!$A$724),"")</f>
        <v xml:space="preserve">                    SABIC Agri-Nutrients Co</v>
      </c>
      <c r="B724" t="str">
        <f>IFERROR(IF(0=LEN(ReferenceData!$B$724),"",ReferenceData!$B$724),"")</f>
        <v>SAFCO AB Equity</v>
      </c>
      <c r="C724" t="str">
        <f>IFERROR(IF(0=LEN(ReferenceData!$C$724),"",ReferenceData!$C$724),"")</f>
        <v>F0946</v>
      </c>
      <c r="D724" t="str">
        <f>IFERROR(IF(0=LEN(ReferenceData!$D$724),"",ReferenceData!$D$724),"")</f>
        <v>TOTAL_GHG_CO2_EMISSIONS</v>
      </c>
      <c r="E724" t="str">
        <f>IFERROR(IF(0=LEN(ReferenceData!$E$724),"",ReferenceData!$E$724),"")</f>
        <v>Dynamic</v>
      </c>
      <c r="F724" t="str">
        <f ca="1">IFERROR(IF(0=LEN(ReferenceData!$F$724),"",ReferenceData!$F$724),"")</f>
        <v/>
      </c>
      <c r="G724" t="str">
        <f ca="1">IFERROR(IF(0=LEN(ReferenceData!$G$724),"",ReferenceData!$G$724),"")</f>
        <v/>
      </c>
      <c r="H724" t="str">
        <f ca="1">IFERROR(IF(0=LEN(ReferenceData!$H$724),"",ReferenceData!$H$724),"")</f>
        <v/>
      </c>
      <c r="I724" t="str">
        <f ca="1">IFERROR(IF(0=LEN(ReferenceData!$I$724),"",ReferenceData!$I$724),"")</f>
        <v/>
      </c>
      <c r="J724" t="str">
        <f ca="1">IFERROR(IF(0=LEN(ReferenceData!$J$724),"",ReferenceData!$J$724),"")</f>
        <v/>
      </c>
    </row>
    <row r="725" spans="1:10" x14ac:dyDescent="0.25">
      <c r="A725" t="str">
        <f>IFERROR(IF(0=LEN(ReferenceData!$A$725),"",ReferenceData!$A$725),"")</f>
        <v xml:space="preserve">                    Shenzhen Noposion Agrochemical</v>
      </c>
      <c r="B725" t="str">
        <f>IFERROR(IF(0=LEN(ReferenceData!$B$725),"",ReferenceData!$B$725),"")</f>
        <v>002215 CH Equity</v>
      </c>
      <c r="C725" t="str">
        <f>IFERROR(IF(0=LEN(ReferenceData!$C$725),"",ReferenceData!$C$725),"")</f>
        <v>F0946</v>
      </c>
      <c r="D725" t="str">
        <f>IFERROR(IF(0=LEN(ReferenceData!$D$725),"",ReferenceData!$D$725),"")</f>
        <v>TOTAL_GHG_CO2_EMISSIONS</v>
      </c>
      <c r="E725" t="str">
        <f>IFERROR(IF(0=LEN(ReferenceData!$E$725),"",ReferenceData!$E$725),"")</f>
        <v>Dynamic</v>
      </c>
      <c r="F725" t="str">
        <f ca="1">IFERROR(IF(0=LEN(ReferenceData!$F$725),"",ReferenceData!$F$725),"")</f>
        <v/>
      </c>
      <c r="G725" t="str">
        <f ca="1">IFERROR(IF(0=LEN(ReferenceData!$G$725),"",ReferenceData!$G$725),"")</f>
        <v/>
      </c>
      <c r="H725" t="str">
        <f ca="1">IFERROR(IF(0=LEN(ReferenceData!$H$725),"",ReferenceData!$H$725),"")</f>
        <v/>
      </c>
      <c r="I725" t="str">
        <f ca="1">IFERROR(IF(0=LEN(ReferenceData!$I$725),"",ReferenceData!$I$725),"")</f>
        <v/>
      </c>
      <c r="J725" t="str">
        <f ca="1">IFERROR(IF(0=LEN(ReferenceData!$J$725),"",ReferenceData!$J$725),"")</f>
        <v/>
      </c>
    </row>
    <row r="726" spans="1:10" x14ac:dyDescent="0.25">
      <c r="A726" t="str">
        <f>IFERROR(IF(0=LEN(ReferenceData!$A$726),"",ReferenceData!$A$726),"")</f>
        <v xml:space="preserve">                    Sinofert Holdings Ltd</v>
      </c>
      <c r="B726" t="str">
        <f>IFERROR(IF(0=LEN(ReferenceData!$B$726),"",ReferenceData!$B$726),"")</f>
        <v>297 HK Equity</v>
      </c>
      <c r="C726" t="str">
        <f>IFERROR(IF(0=LEN(ReferenceData!$C$726),"",ReferenceData!$C$726),"")</f>
        <v>F0946</v>
      </c>
      <c r="D726" t="str">
        <f>IFERROR(IF(0=LEN(ReferenceData!$D$726),"",ReferenceData!$D$726),"")</f>
        <v>TOTAL_GHG_CO2_EMISSIONS</v>
      </c>
      <c r="E726" t="str">
        <f>IFERROR(IF(0=LEN(ReferenceData!$E$726),"",ReferenceData!$E$726),"")</f>
        <v>Dynamic</v>
      </c>
      <c r="F726" t="str">
        <f ca="1">IFERROR(IF(0=LEN(ReferenceData!$F$726),"",ReferenceData!$F$726),"")</f>
        <v/>
      </c>
      <c r="G726">
        <f ca="1">IFERROR(IF(0=LEN(ReferenceData!$G$726),"",ReferenceData!$G$726),"")</f>
        <v>1.5874999999999999</v>
      </c>
      <c r="H726">
        <f ca="1">IFERROR(IF(0=LEN(ReferenceData!$H$726),"",ReferenceData!$H$726),"")</f>
        <v>1.195910034</v>
      </c>
      <c r="I726">
        <f ca="1">IFERROR(IF(0=LEN(ReferenceData!$I$726),"",ReferenceData!$I$726),"")</f>
        <v>1.922839966</v>
      </c>
      <c r="J726" t="str">
        <f ca="1">IFERROR(IF(0=LEN(ReferenceData!$J$726),"",ReferenceData!$J$726),"")</f>
        <v/>
      </c>
    </row>
    <row r="727" spans="1:10" x14ac:dyDescent="0.25">
      <c r="A727" t="str">
        <f>IFERROR(IF(0=LEN(ReferenceData!$A$727),"",ReferenceData!$A$727),"")</f>
        <v xml:space="preserve">                    Sociedad Quimica y Minera de C</v>
      </c>
      <c r="B727" t="str">
        <f>IFERROR(IF(0=LEN(ReferenceData!$B$727),"",ReferenceData!$B$727),"")</f>
        <v>SQM US Equity</v>
      </c>
      <c r="C727" t="str">
        <f>IFERROR(IF(0=LEN(ReferenceData!$C$727),"",ReferenceData!$C$727),"")</f>
        <v>F0946</v>
      </c>
      <c r="D727" t="str">
        <f>IFERROR(IF(0=LEN(ReferenceData!$D$727),"",ReferenceData!$D$727),"")</f>
        <v>TOTAL_GHG_CO2_EMISSIONS</v>
      </c>
      <c r="E727" t="str">
        <f>IFERROR(IF(0=LEN(ReferenceData!$E$727),"",ReferenceData!$E$727),"")</f>
        <v>Dynamic</v>
      </c>
      <c r="F727">
        <f ca="1">IFERROR(IF(0=LEN(ReferenceData!$F$727),"",ReferenceData!$F$727),"")</f>
        <v>0.74755999799999995</v>
      </c>
      <c r="G727">
        <f ca="1">IFERROR(IF(0=LEN(ReferenceData!$G$727),"",ReferenceData!$G$727),"")</f>
        <v>0.79566998300000003</v>
      </c>
      <c r="H727">
        <f ca="1">IFERROR(IF(0=LEN(ReferenceData!$H$727),"",ReferenceData!$H$727),"")</f>
        <v>0.74755999799999995</v>
      </c>
      <c r="I727">
        <f ca="1">IFERROR(IF(0=LEN(ReferenceData!$I$727),"",ReferenceData!$I$727),"")</f>
        <v>0.646731995</v>
      </c>
      <c r="J727">
        <f ca="1">IFERROR(IF(0=LEN(ReferenceData!$J$727),"",ReferenceData!$J$727),"")</f>
        <v>0.54851000999999999</v>
      </c>
    </row>
    <row r="728" spans="1:10" x14ac:dyDescent="0.25">
      <c r="A728" t="str">
        <f>IFERROR(IF(0=LEN(ReferenceData!$A$728),"",ReferenceData!$A$728),"")</f>
        <v xml:space="preserve">                    Taiwan Fertilizer Co Ltd</v>
      </c>
      <c r="B728" t="str">
        <f>IFERROR(IF(0=LEN(ReferenceData!$B$728),"",ReferenceData!$B$728),"")</f>
        <v>1722 TT Equity</v>
      </c>
      <c r="C728" t="str">
        <f>IFERROR(IF(0=LEN(ReferenceData!$C$728),"",ReferenceData!$C$728),"")</f>
        <v>F0946</v>
      </c>
      <c r="D728" t="str">
        <f>IFERROR(IF(0=LEN(ReferenceData!$D$728),"",ReferenceData!$D$728),"")</f>
        <v>TOTAL_GHG_CO2_EMISSIONS</v>
      </c>
      <c r="E728" t="str">
        <f>IFERROR(IF(0=LEN(ReferenceData!$E$728),"",ReferenceData!$E$728),"")</f>
        <v>Dynamic</v>
      </c>
      <c r="F728" t="str">
        <f ca="1">IFERROR(IF(0=LEN(ReferenceData!$F$728),"",ReferenceData!$F$728),"")</f>
        <v/>
      </c>
      <c r="G728">
        <f ca="1">IFERROR(IF(0=LEN(ReferenceData!$G$728),"",ReferenceData!$G$728),"")</f>
        <v>0.52917498799999996</v>
      </c>
      <c r="H728">
        <f ca="1">IFERROR(IF(0=LEN(ReferenceData!$H$728),"",ReferenceData!$H$728),"")</f>
        <v>0.53290600600000004</v>
      </c>
      <c r="I728">
        <f ca="1">IFERROR(IF(0=LEN(ReferenceData!$I$728),"",ReferenceData!$I$728),"")</f>
        <v>0.48989898700000001</v>
      </c>
      <c r="J728">
        <f ca="1">IFERROR(IF(0=LEN(ReferenceData!$J$728),"",ReferenceData!$J$728),"")</f>
        <v>0.479834015</v>
      </c>
    </row>
    <row r="729" spans="1:10" x14ac:dyDescent="0.25">
      <c r="A729" t="str">
        <f>IFERROR(IF(0=LEN(ReferenceData!$A$729),"",ReferenceData!$A$729),"")</f>
        <v xml:space="preserve">                    UPL Ltd</v>
      </c>
      <c r="B729" t="str">
        <f>IFERROR(IF(0=LEN(ReferenceData!$B$729),"",ReferenceData!$B$729),"")</f>
        <v>UPLL IN Equity</v>
      </c>
      <c r="C729" t="str">
        <f>IFERROR(IF(0=LEN(ReferenceData!$C$729),"",ReferenceData!$C$729),"")</f>
        <v>F0946</v>
      </c>
      <c r="D729" t="str">
        <f>IFERROR(IF(0=LEN(ReferenceData!$D$729),"",ReferenceData!$D$729),"")</f>
        <v>TOTAL_GHG_CO2_EMISSIONS</v>
      </c>
      <c r="E729" t="str">
        <f>IFERROR(IF(0=LEN(ReferenceData!$E$729),"",ReferenceData!$E$729),"")</f>
        <v>Dynamic</v>
      </c>
      <c r="F729" t="str">
        <f ca="1">IFERROR(IF(0=LEN(ReferenceData!$F$729),"",ReferenceData!$F$729),"")</f>
        <v/>
      </c>
      <c r="G729">
        <f ca="1">IFERROR(IF(0=LEN(ReferenceData!$G$729),"",ReferenceData!$G$729),"")</f>
        <v>1.0186400149999999</v>
      </c>
      <c r="H729">
        <f ca="1">IFERROR(IF(0=LEN(ReferenceData!$H$729),"",ReferenceData!$H$729),"")</f>
        <v>0.93772998100000005</v>
      </c>
      <c r="I729">
        <f ca="1">IFERROR(IF(0=LEN(ReferenceData!$I$729),"",ReferenceData!$I$729),"")</f>
        <v>0.92413397200000003</v>
      </c>
      <c r="J729">
        <f ca="1">IFERROR(IF(0=LEN(ReferenceData!$J$729),"",ReferenceData!$J$729),"")</f>
        <v>0.77335400399999998</v>
      </c>
    </row>
    <row r="730" spans="1:10" x14ac:dyDescent="0.25">
      <c r="A730" t="str">
        <f>IFERROR(IF(0=LEN(ReferenceData!$A$730),"",ReferenceData!$A$730),"")</f>
        <v xml:space="preserve">                    Vilmorin &amp; Cie SA</v>
      </c>
      <c r="B730" t="str">
        <f>IFERROR(IF(0=LEN(ReferenceData!$B$730),"",ReferenceData!$B$730),"")</f>
        <v>RIN FP Equity</v>
      </c>
      <c r="C730" t="str">
        <f>IFERROR(IF(0=LEN(ReferenceData!$C$730),"",ReferenceData!$C$730),"")</f>
        <v>F0946</v>
      </c>
      <c r="D730" t="str">
        <f>IFERROR(IF(0=LEN(ReferenceData!$D$730),"",ReferenceData!$D$730),"")</f>
        <v>TOTAL_GHG_CO2_EMISSIONS</v>
      </c>
      <c r="E730" t="str">
        <f>IFERROR(IF(0=LEN(ReferenceData!$E$730),"",ReferenceData!$E$730),"")</f>
        <v>Dynamic</v>
      </c>
      <c r="F730" t="str">
        <f ca="1">IFERROR(IF(0=LEN(ReferenceData!$F$730),"",ReferenceData!$F$730),"")</f>
        <v/>
      </c>
      <c r="G730">
        <f ca="1">IFERROR(IF(0=LEN(ReferenceData!$G$730),"",ReferenceData!$G$730),"")</f>
        <v>6.0208800999999999E-2</v>
      </c>
      <c r="H730">
        <f ca="1">IFERROR(IF(0=LEN(ReferenceData!$H$730),"",ReferenceData!$H$730),"")</f>
        <v>6.0353298E-2</v>
      </c>
      <c r="I730">
        <f ca="1">IFERROR(IF(0=LEN(ReferenceData!$I$730),"",ReferenceData!$I$730),"")</f>
        <v>5.8166598999999999E-2</v>
      </c>
      <c r="J730">
        <f ca="1">IFERROR(IF(0=LEN(ReferenceData!$J$730),"",ReferenceData!$J$730),"")</f>
        <v>5.5579799999999999E-2</v>
      </c>
    </row>
    <row r="731" spans="1:10" x14ac:dyDescent="0.25">
      <c r="A731" t="str">
        <f>IFERROR(IF(0=LEN(ReferenceData!$A$731),"",ReferenceData!$A$731),"")</f>
        <v xml:space="preserve">                    Yara International ASA</v>
      </c>
      <c r="B731" t="str">
        <f>IFERROR(IF(0=LEN(ReferenceData!$B$731),"",ReferenceData!$B$731),"")</f>
        <v>YAR NO Equity</v>
      </c>
      <c r="C731" t="str">
        <f>IFERROR(IF(0=LEN(ReferenceData!$C$731),"",ReferenceData!$C$731),"")</f>
        <v>F0946</v>
      </c>
      <c r="D731" t="str">
        <f>IFERROR(IF(0=LEN(ReferenceData!$D$731),"",ReferenceData!$D$731),"")</f>
        <v>TOTAL_GHG_CO2_EMISSIONS</v>
      </c>
      <c r="E731" t="str">
        <f>IFERROR(IF(0=LEN(ReferenceData!$E$731),"",ReferenceData!$E$731),"")</f>
        <v>Dynamic</v>
      </c>
      <c r="F731" t="str">
        <f ca="1">IFERROR(IF(0=LEN(ReferenceData!$F$731),"",ReferenceData!$F$731),"")</f>
        <v/>
      </c>
      <c r="G731">
        <f ca="1">IFERROR(IF(0=LEN(ReferenceData!$G$731),"",ReferenceData!$G$731),"")</f>
        <v>17.3</v>
      </c>
      <c r="H731">
        <f ca="1">IFERROR(IF(0=LEN(ReferenceData!$H$731),"",ReferenceData!$H$731),"")</f>
        <v>17.399999999999999</v>
      </c>
      <c r="I731">
        <f ca="1">IFERROR(IF(0=LEN(ReferenceData!$I$731),"",ReferenceData!$I$731),"")</f>
        <v>18</v>
      </c>
      <c r="J731">
        <f ca="1">IFERROR(IF(0=LEN(ReferenceData!$J$731),"",ReferenceData!$J$731),"")</f>
        <v>17.600000000000001</v>
      </c>
    </row>
    <row r="732" spans="1:10" x14ac:dyDescent="0.25">
      <c r="A732" t="str">
        <f>IFERROR(IF(0=LEN(ReferenceData!$A$732),"",ReferenceData!$A$732),"")</f>
        <v xml:space="preserve">                    Yunnan Yuntianhua Co Ltd</v>
      </c>
      <c r="B732" t="str">
        <f>IFERROR(IF(0=LEN(ReferenceData!$B$732),"",ReferenceData!$B$732),"")</f>
        <v>600096 CH Equity</v>
      </c>
      <c r="C732" t="str">
        <f>IFERROR(IF(0=LEN(ReferenceData!$C$732),"",ReferenceData!$C$732),"")</f>
        <v>F0946</v>
      </c>
      <c r="D732" t="str">
        <f>IFERROR(IF(0=LEN(ReferenceData!$D$732),"",ReferenceData!$D$732),"")</f>
        <v>TOTAL_GHG_CO2_EMISSIONS</v>
      </c>
      <c r="E732" t="str">
        <f>IFERROR(IF(0=LEN(ReferenceData!$E$732),"",ReferenceData!$E$732),"")</f>
        <v>Dynamic</v>
      </c>
      <c r="F732" t="str">
        <f ca="1">IFERROR(IF(0=LEN(ReferenceData!$F$732),"",ReferenceData!$F$732),"")</f>
        <v/>
      </c>
      <c r="G732">
        <f ca="1">IFERROR(IF(0=LEN(ReferenceData!$G$732),"",ReferenceData!$G$732),"")</f>
        <v>10.15</v>
      </c>
      <c r="H732" t="str">
        <f ca="1">IFERROR(IF(0=LEN(ReferenceData!$H$732),"",ReferenceData!$H$732),"")</f>
        <v/>
      </c>
      <c r="I732" t="str">
        <f ca="1">IFERROR(IF(0=LEN(ReferenceData!$I$732),"",ReferenceData!$I$732),"")</f>
        <v/>
      </c>
      <c r="J732" t="str">
        <f ca="1">IFERROR(IF(0=LEN(ReferenceData!$J$732),"",ReferenceData!$J$732),"")</f>
        <v/>
      </c>
    </row>
    <row r="733" spans="1:10" x14ac:dyDescent="0.25">
      <c r="A733" t="str">
        <f>IFERROR(IF(0=LEN(ReferenceData!$A$733),"",ReferenceData!$A$733),"")</f>
        <v xml:space="preserve">                Basic &amp; Diversified Chemicals</v>
      </c>
      <c r="B733" t="str">
        <f>IFERROR(IF(0=LEN(ReferenceData!$B$733),"",ReferenceData!$B$733),"")</f>
        <v/>
      </c>
      <c r="C733" t="str">
        <f>IFERROR(IF(0=LEN(ReferenceData!$C$733),"",ReferenceData!$C$733),"")</f>
        <v/>
      </c>
      <c r="D733" t="str">
        <f>IFERROR(IF(0=LEN(ReferenceData!$D$733),"",ReferenceData!$D$733),"")</f>
        <v/>
      </c>
      <c r="E733" t="str">
        <f>IFERROR(IF(0=LEN(ReferenceData!$E$733),"",ReferenceData!$E$733),"")</f>
        <v>Sum</v>
      </c>
      <c r="F733">
        <f ca="1">IFERROR(IF(0=LEN(ReferenceData!$F$733),"",ReferenceData!$F$733),"")</f>
        <v>159.71180969400001</v>
      </c>
      <c r="G733">
        <f ca="1">IFERROR(IF(0=LEN(ReferenceData!$G$733),"",ReferenceData!$G$733),"")</f>
        <v>470.99138053599995</v>
      </c>
      <c r="H733">
        <f ca="1">IFERROR(IF(0=LEN(ReferenceData!$H$733),"",ReferenceData!$H$733),"")</f>
        <v>545.26319774599995</v>
      </c>
      <c r="I733">
        <f ca="1">IFERROR(IF(0=LEN(ReferenceData!$I$733),"",ReferenceData!$I$733),"")</f>
        <v>549.07983710499991</v>
      </c>
      <c r="J733">
        <f ca="1">IFERROR(IF(0=LEN(ReferenceData!$J$733),"",ReferenceData!$J$733),"")</f>
        <v>501.02263225799993</v>
      </c>
    </row>
    <row r="734" spans="1:10" x14ac:dyDescent="0.25">
      <c r="A734" t="str">
        <f>IFERROR(IF(0=LEN(ReferenceData!$A$734),"",ReferenceData!$A$734),"")</f>
        <v xml:space="preserve">                    ADEKA Corp</v>
      </c>
      <c r="B734" t="str">
        <f>IFERROR(IF(0=LEN(ReferenceData!$B$734),"",ReferenceData!$B$734),"")</f>
        <v>4401 JP Equity</v>
      </c>
      <c r="C734" t="str">
        <f>IFERROR(IF(0=LEN(ReferenceData!$C$734),"",ReferenceData!$C$734),"")</f>
        <v>F0946</v>
      </c>
      <c r="D734" t="str">
        <f>IFERROR(IF(0=LEN(ReferenceData!$D$734),"",ReferenceData!$D$734),"")</f>
        <v>TOTAL_GHG_CO2_EMISSIONS</v>
      </c>
      <c r="E734" t="str">
        <f>IFERROR(IF(0=LEN(ReferenceData!$E$734),"",ReferenceData!$E$734),"")</f>
        <v>Dynamic</v>
      </c>
      <c r="F734" t="str">
        <f ca="1">IFERROR(IF(0=LEN(ReferenceData!$F$734),"",ReferenceData!$F$734),"")</f>
        <v/>
      </c>
      <c r="G734">
        <f ca="1">IFERROR(IF(0=LEN(ReferenceData!$G$734),"",ReferenceData!$G$734),"")</f>
        <v>0.25720001199999998</v>
      </c>
      <c r="H734">
        <f ca="1">IFERROR(IF(0=LEN(ReferenceData!$H$734),"",ReferenceData!$H$734),"")</f>
        <v>0.22719400000000001</v>
      </c>
      <c r="I734" t="str">
        <f ca="1">IFERROR(IF(0=LEN(ReferenceData!$I$734),"",ReferenceData!$I$734),"")</f>
        <v/>
      </c>
      <c r="J734" t="str">
        <f ca="1">IFERROR(IF(0=LEN(ReferenceData!$J$734),"",ReferenceData!$J$734),"")</f>
        <v/>
      </c>
    </row>
    <row r="735" spans="1:10" x14ac:dyDescent="0.25">
      <c r="A735" t="str">
        <f>IFERROR(IF(0=LEN(ReferenceData!$A$735),"",ReferenceData!$A$735),"")</f>
        <v xml:space="preserve">                    Air Water Inc</v>
      </c>
      <c r="B735" t="str">
        <f>IFERROR(IF(0=LEN(ReferenceData!$B$735),"",ReferenceData!$B$735),"")</f>
        <v>4088 JP Equity</v>
      </c>
      <c r="C735" t="str">
        <f>IFERROR(IF(0=LEN(ReferenceData!$C$735),"",ReferenceData!$C$735),"")</f>
        <v>F0946</v>
      </c>
      <c r="D735" t="str">
        <f>IFERROR(IF(0=LEN(ReferenceData!$D$735),"",ReferenceData!$D$735),"")</f>
        <v>TOTAL_GHG_CO2_EMISSIONS</v>
      </c>
      <c r="E735" t="str">
        <f>IFERROR(IF(0=LEN(ReferenceData!$E$735),"",ReferenceData!$E$735),"")</f>
        <v>Dynamic</v>
      </c>
      <c r="F735" t="str">
        <f ca="1">IFERROR(IF(0=LEN(ReferenceData!$F$735),"",ReferenceData!$F$735),"")</f>
        <v/>
      </c>
      <c r="G735" t="str">
        <f ca="1">IFERROR(IF(0=LEN(ReferenceData!$G$735),"",ReferenceData!$G$735),"")</f>
        <v/>
      </c>
      <c r="H735">
        <f ca="1">IFERROR(IF(0=LEN(ReferenceData!$H$735),"",ReferenceData!$H$735),"")</f>
        <v>1.5309999999999999</v>
      </c>
      <c r="I735">
        <f ca="1">IFERROR(IF(0=LEN(ReferenceData!$I$735),"",ReferenceData!$I$735),"")</f>
        <v>1.5629999999999999</v>
      </c>
      <c r="J735">
        <f ca="1">IFERROR(IF(0=LEN(ReferenceData!$J$735),"",ReferenceData!$J$735),"")</f>
        <v>1.599</v>
      </c>
    </row>
    <row r="736" spans="1:10" x14ac:dyDescent="0.25">
      <c r="A736" t="str">
        <f>IFERROR(IF(0=LEN(ReferenceData!$A$736),"",ReferenceData!$A$736),"")</f>
        <v xml:space="preserve">                    Alpek SAB de CV</v>
      </c>
      <c r="B736" t="str">
        <f>IFERROR(IF(0=LEN(ReferenceData!$B$736),"",ReferenceData!$B$736),"")</f>
        <v>ALPEKA MM Equity</v>
      </c>
      <c r="C736" t="str">
        <f>IFERROR(IF(0=LEN(ReferenceData!$C$736),"",ReferenceData!$C$736),"")</f>
        <v>F0946</v>
      </c>
      <c r="D736" t="str">
        <f>IFERROR(IF(0=LEN(ReferenceData!$D$736),"",ReferenceData!$D$736),"")</f>
        <v>TOTAL_GHG_CO2_EMISSIONS</v>
      </c>
      <c r="E736" t="str">
        <f>IFERROR(IF(0=LEN(ReferenceData!$E$736),"",ReferenceData!$E$736),"")</f>
        <v>Dynamic</v>
      </c>
      <c r="F736">
        <f ca="1">IFERROR(IF(0=LEN(ReferenceData!$F$736),"",ReferenceData!$F$736),"")</f>
        <v>2.1</v>
      </c>
      <c r="G736">
        <f ca="1">IFERROR(IF(0=LEN(ReferenceData!$G$736),"",ReferenceData!$G$736),"")</f>
        <v>1.0811800540000001</v>
      </c>
      <c r="H736">
        <f ca="1">IFERROR(IF(0=LEN(ReferenceData!$H$736),"",ReferenceData!$H$736),"")</f>
        <v>2.21</v>
      </c>
      <c r="I736">
        <f ca="1">IFERROR(IF(0=LEN(ReferenceData!$I$736),"",ReferenceData!$I$736),"")</f>
        <v>2.42</v>
      </c>
      <c r="J736">
        <f ca="1">IFERROR(IF(0=LEN(ReferenceData!$J$736),"",ReferenceData!$J$736),"")</f>
        <v>2.42</v>
      </c>
    </row>
    <row r="737" spans="1:10" x14ac:dyDescent="0.25">
      <c r="A737" t="str">
        <f>IFERROR(IF(0=LEN(ReferenceData!$A$737),"",ReferenceData!$A$737),"")</f>
        <v xml:space="preserve">                    Arkema SA</v>
      </c>
      <c r="B737" t="str">
        <f>IFERROR(IF(0=LEN(ReferenceData!$B$737),"",ReferenceData!$B$737),"")</f>
        <v>AKE FP Equity</v>
      </c>
      <c r="C737" t="str">
        <f>IFERROR(IF(0=LEN(ReferenceData!$C$737),"",ReferenceData!$C$737),"")</f>
        <v>F0946</v>
      </c>
      <c r="D737" t="str">
        <f>IFERROR(IF(0=LEN(ReferenceData!$D$737),"",ReferenceData!$D$737),"")</f>
        <v>TOTAL_GHG_CO2_EMISSIONS</v>
      </c>
      <c r="E737" t="str">
        <f>IFERROR(IF(0=LEN(ReferenceData!$E$737),"",ReferenceData!$E$737),"")</f>
        <v>Dynamic</v>
      </c>
      <c r="F737">
        <f ca="1">IFERROR(IF(0=LEN(ReferenceData!$F$737),"",ReferenceData!$F$737),"")</f>
        <v>2.4319999999999999</v>
      </c>
      <c r="G737">
        <f ca="1">IFERROR(IF(0=LEN(ReferenceData!$G$737),"",ReferenceData!$G$737),"")</f>
        <v>2.883</v>
      </c>
      <c r="H737">
        <f ca="1">IFERROR(IF(0=LEN(ReferenceData!$H$737),"",ReferenceData!$H$737),"")</f>
        <v>3.371</v>
      </c>
      <c r="I737">
        <f ca="1">IFERROR(IF(0=LEN(ReferenceData!$I$737),"",ReferenceData!$I$737),"")</f>
        <v>3.84</v>
      </c>
      <c r="J737">
        <f ca="1">IFERROR(IF(0=LEN(ReferenceData!$J$737),"",ReferenceData!$J$737),"")</f>
        <v>3.9620000000000002</v>
      </c>
    </row>
    <row r="738" spans="1:10" x14ac:dyDescent="0.25">
      <c r="A738" t="str">
        <f>IFERROR(IF(0=LEN(ReferenceData!$A$738),"",ReferenceData!$A$738),"")</f>
        <v xml:space="preserve">                    Asahi Kasei Corp</v>
      </c>
      <c r="B738" t="str">
        <f>IFERROR(IF(0=LEN(ReferenceData!$B$738),"",ReferenceData!$B$738),"")</f>
        <v>3407 JP Equity</v>
      </c>
      <c r="C738" t="str">
        <f>IFERROR(IF(0=LEN(ReferenceData!$C$738),"",ReferenceData!$C$738),"")</f>
        <v>F0946</v>
      </c>
      <c r="D738" t="str">
        <f>IFERROR(IF(0=LEN(ReferenceData!$D$738),"",ReferenceData!$D$738),"")</f>
        <v>TOTAL_GHG_CO2_EMISSIONS</v>
      </c>
      <c r="E738" t="str">
        <f>IFERROR(IF(0=LEN(ReferenceData!$E$738),"",ReferenceData!$E$738),"")</f>
        <v>Dynamic</v>
      </c>
      <c r="F738" t="str">
        <f ca="1">IFERROR(IF(0=LEN(ReferenceData!$F$738),"",ReferenceData!$F$738),"")</f>
        <v/>
      </c>
      <c r="G738">
        <f ca="1">IFERROR(IF(0=LEN(ReferenceData!$G$738),"",ReferenceData!$G$738),"")</f>
        <v>4.1100000000000003</v>
      </c>
      <c r="H738">
        <f ca="1">IFERROR(IF(0=LEN(ReferenceData!$H$738),"",ReferenceData!$H$738),"")</f>
        <v>3.89</v>
      </c>
      <c r="I738">
        <f ca="1">IFERROR(IF(0=LEN(ReferenceData!$I$738),"",ReferenceData!$I$738),"")</f>
        <v>3.99</v>
      </c>
      <c r="J738">
        <f ca="1">IFERROR(IF(0=LEN(ReferenceData!$J$738),"",ReferenceData!$J$738),"")</f>
        <v>4.16</v>
      </c>
    </row>
    <row r="739" spans="1:10" x14ac:dyDescent="0.25">
      <c r="A739" t="str">
        <f>IFERROR(IF(0=LEN(ReferenceData!$A$739),"",ReferenceData!$A$739),"")</f>
        <v xml:space="preserve">                    AdvanSix Inc</v>
      </c>
      <c r="B739" t="str">
        <f>IFERROR(IF(0=LEN(ReferenceData!$B$739),"",ReferenceData!$B$739),"")</f>
        <v>ASIX US Equity</v>
      </c>
      <c r="C739" t="str">
        <f>IFERROR(IF(0=LEN(ReferenceData!$C$739),"",ReferenceData!$C$739),"")</f>
        <v>F0946</v>
      </c>
      <c r="D739" t="str">
        <f>IFERROR(IF(0=LEN(ReferenceData!$D$739),"",ReferenceData!$D$739),"")</f>
        <v>TOTAL_GHG_CO2_EMISSIONS</v>
      </c>
      <c r="E739" t="str">
        <f>IFERROR(IF(0=LEN(ReferenceData!$E$739),"",ReferenceData!$E$739),"")</f>
        <v>Dynamic</v>
      </c>
      <c r="F739" t="str">
        <f ca="1">IFERROR(IF(0=LEN(ReferenceData!$F$739),"",ReferenceData!$F$739),"")</f>
        <v/>
      </c>
      <c r="G739" t="str">
        <f ca="1">IFERROR(IF(0=LEN(ReferenceData!$G$739),"",ReferenceData!$G$739),"")</f>
        <v/>
      </c>
      <c r="H739" t="str">
        <f ca="1">IFERROR(IF(0=LEN(ReferenceData!$H$739),"",ReferenceData!$H$739),"")</f>
        <v/>
      </c>
      <c r="I739" t="str">
        <f ca="1">IFERROR(IF(0=LEN(ReferenceData!$I$739),"",ReferenceData!$I$739),"")</f>
        <v/>
      </c>
      <c r="J739" t="str">
        <f ca="1">IFERROR(IF(0=LEN(ReferenceData!$J$739),"",ReferenceData!$J$739),"")</f>
        <v/>
      </c>
    </row>
    <row r="740" spans="1:10" x14ac:dyDescent="0.25">
      <c r="A740" t="str">
        <f>IFERROR(IF(0=LEN(ReferenceData!$A$740),"",ReferenceData!$A$740),"")</f>
        <v xml:space="preserve">                    BASF SE</v>
      </c>
      <c r="B740" t="str">
        <f>IFERROR(IF(0=LEN(ReferenceData!$B$740),"",ReferenceData!$B$740),"")</f>
        <v>BAS GR Equity</v>
      </c>
      <c r="C740" t="str">
        <f>IFERROR(IF(0=LEN(ReferenceData!$C$740),"",ReferenceData!$C$740),"")</f>
        <v>F0946</v>
      </c>
      <c r="D740" t="str">
        <f>IFERROR(IF(0=LEN(ReferenceData!$D$740),"",ReferenceData!$D$740),"")</f>
        <v>TOTAL_GHG_CO2_EMISSIONS</v>
      </c>
      <c r="E740" t="str">
        <f>IFERROR(IF(0=LEN(ReferenceData!$E$740),"",ReferenceData!$E$740),"")</f>
        <v>Dynamic</v>
      </c>
      <c r="F740" t="str">
        <f ca="1">IFERROR(IF(0=LEN(ReferenceData!$F$740),"",ReferenceData!$F$740),"")</f>
        <v/>
      </c>
      <c r="G740">
        <f ca="1">IFERROR(IF(0=LEN(ReferenceData!$G$740),"",ReferenceData!$G$740),"")</f>
        <v>22.338000000000001</v>
      </c>
      <c r="H740">
        <f ca="1">IFERROR(IF(0=LEN(ReferenceData!$H$740),"",ReferenceData!$H$740),"")</f>
        <v>21.757000000000001</v>
      </c>
      <c r="I740">
        <f ca="1">IFERROR(IF(0=LEN(ReferenceData!$I$740),"",ReferenceData!$I$740),"")</f>
        <v>20.875</v>
      </c>
      <c r="J740">
        <f ca="1">IFERROR(IF(0=LEN(ReferenceData!$J$740),"",ReferenceData!$J$740),"")</f>
        <v>22.164999999999999</v>
      </c>
    </row>
    <row r="741" spans="1:10" x14ac:dyDescent="0.25">
      <c r="A741" t="str">
        <f>IFERROR(IF(0=LEN(ReferenceData!$A$741),"",ReferenceData!$A$741),"")</f>
        <v xml:space="preserve">                    Braskem SA</v>
      </c>
      <c r="B741" t="str">
        <f>IFERROR(IF(0=LEN(ReferenceData!$B$741),"",ReferenceData!$B$741),"")</f>
        <v>BRKM5 BZ Equity</v>
      </c>
      <c r="C741" t="str">
        <f>IFERROR(IF(0=LEN(ReferenceData!$C$741),"",ReferenceData!$C$741),"")</f>
        <v>F0946</v>
      </c>
      <c r="D741" t="str">
        <f>IFERROR(IF(0=LEN(ReferenceData!$D$741),"",ReferenceData!$D$741),"")</f>
        <v>TOTAL_GHG_CO2_EMISSIONS</v>
      </c>
      <c r="E741" t="str">
        <f>IFERROR(IF(0=LEN(ReferenceData!$E$741),"",ReferenceData!$E$741),"")</f>
        <v>Dynamic</v>
      </c>
      <c r="F741">
        <f ca="1">IFERROR(IF(0=LEN(ReferenceData!$F$741),"",ReferenceData!$F$741),"")</f>
        <v>10.775</v>
      </c>
      <c r="G741">
        <f ca="1">IFERROR(IF(0=LEN(ReferenceData!$G$741),"",ReferenceData!$G$741),"")</f>
        <v>10.951200200000001</v>
      </c>
      <c r="H741">
        <f ca="1">IFERROR(IF(0=LEN(ReferenceData!$H$741),"",ReferenceData!$H$741),"")</f>
        <v>10.798299800000001</v>
      </c>
      <c r="I741">
        <f ca="1">IFERROR(IF(0=LEN(ReferenceData!$I$741),"",ReferenceData!$I$741),"")</f>
        <v>10.649200199999999</v>
      </c>
      <c r="J741">
        <f ca="1">IFERROR(IF(0=LEN(ReferenceData!$J$741),"",ReferenceData!$J$741),"")</f>
        <v>11.016799799999999</v>
      </c>
    </row>
    <row r="742" spans="1:10" x14ac:dyDescent="0.25">
      <c r="A742" t="str">
        <f>IFERROR(IF(0=LEN(ReferenceData!$A$742),"",ReferenceData!$A$742),"")</f>
        <v xml:space="preserve">                    China Petrochemical Developmen</v>
      </c>
      <c r="B742" t="str">
        <f>IFERROR(IF(0=LEN(ReferenceData!$B$742),"",ReferenceData!$B$742),"")</f>
        <v>1314 TT Equity</v>
      </c>
      <c r="C742" t="str">
        <f>IFERROR(IF(0=LEN(ReferenceData!$C$742),"",ReferenceData!$C$742),"")</f>
        <v>F0946</v>
      </c>
      <c r="D742" t="str">
        <f>IFERROR(IF(0=LEN(ReferenceData!$D$742),"",ReferenceData!$D$742),"")</f>
        <v>TOTAL_GHG_CO2_EMISSIONS</v>
      </c>
      <c r="E742" t="str">
        <f>IFERROR(IF(0=LEN(ReferenceData!$E$742),"",ReferenceData!$E$742),"")</f>
        <v>Dynamic</v>
      </c>
      <c r="F742" t="str">
        <f ca="1">IFERROR(IF(0=LEN(ReferenceData!$F$742),"",ReferenceData!$F$742),"")</f>
        <v/>
      </c>
      <c r="G742">
        <f ca="1">IFERROR(IF(0=LEN(ReferenceData!$G$742),"",ReferenceData!$G$742),"")</f>
        <v>1.907810059</v>
      </c>
      <c r="H742">
        <f ca="1">IFERROR(IF(0=LEN(ReferenceData!$H$742),"",ReferenceData!$H$742),"")</f>
        <v>1.079439941</v>
      </c>
      <c r="I742">
        <f ca="1">IFERROR(IF(0=LEN(ReferenceData!$I$742),"",ReferenceData!$I$742),"")</f>
        <v>1.9159100339999999</v>
      </c>
      <c r="J742">
        <f ca="1">IFERROR(IF(0=LEN(ReferenceData!$J$742),"",ReferenceData!$J$742),"")</f>
        <v>2.6222900390000001</v>
      </c>
    </row>
    <row r="743" spans="1:10" x14ac:dyDescent="0.25">
      <c r="A743" t="str">
        <f>IFERROR(IF(0=LEN(ReferenceData!$A$743),"",ReferenceData!$A$743),"")</f>
        <v xml:space="preserve">                    Celanese Corp</v>
      </c>
      <c r="B743" t="str">
        <f>IFERROR(IF(0=LEN(ReferenceData!$B$743),"",ReferenceData!$B$743),"")</f>
        <v>CE US Equity</v>
      </c>
      <c r="C743" t="str">
        <f>IFERROR(IF(0=LEN(ReferenceData!$C$743),"",ReferenceData!$C$743),"")</f>
        <v>F0946</v>
      </c>
      <c r="D743" t="str">
        <f>IFERROR(IF(0=LEN(ReferenceData!$D$743),"",ReferenceData!$D$743),"")</f>
        <v>TOTAL_GHG_CO2_EMISSIONS</v>
      </c>
      <c r="E743" t="str">
        <f>IFERROR(IF(0=LEN(ReferenceData!$E$743),"",ReferenceData!$E$743),"")</f>
        <v>Dynamic</v>
      </c>
      <c r="F743" t="str">
        <f ca="1">IFERROR(IF(0=LEN(ReferenceData!$F$743),"",ReferenceData!$F$743),"")</f>
        <v/>
      </c>
      <c r="G743">
        <f ca="1">IFERROR(IF(0=LEN(ReferenceData!$G$743),"",ReferenceData!$G$743),"")</f>
        <v>3.7068300779999999</v>
      </c>
      <c r="H743">
        <f ca="1">IFERROR(IF(0=LEN(ReferenceData!$H$743),"",ReferenceData!$H$743),"")</f>
        <v>3.6469699709999999</v>
      </c>
      <c r="I743">
        <f ca="1">IFERROR(IF(0=LEN(ReferenceData!$I$743),"",ReferenceData!$I$743),"")</f>
        <v>2.9215</v>
      </c>
      <c r="J743">
        <f ca="1">IFERROR(IF(0=LEN(ReferenceData!$J$743),"",ReferenceData!$J$743),"")</f>
        <v>2.8273999019999998</v>
      </c>
    </row>
    <row r="744" spans="1:10" x14ac:dyDescent="0.25">
      <c r="A744" t="str">
        <f>IFERROR(IF(0=LEN(ReferenceData!$A$744),"",ReferenceData!$A$744),"")</f>
        <v xml:space="preserve">                    Covestro AG</v>
      </c>
      <c r="B744" t="str">
        <f>IFERROR(IF(0=LEN(ReferenceData!$B$744),"",ReferenceData!$B$744),"")</f>
        <v>1COV GR Equity</v>
      </c>
      <c r="C744" t="str">
        <f>IFERROR(IF(0=LEN(ReferenceData!$C$744),"",ReferenceData!$C$744),"")</f>
        <v>F0946</v>
      </c>
      <c r="D744" t="str">
        <f>IFERROR(IF(0=LEN(ReferenceData!$D$744),"",ReferenceData!$D$744),"")</f>
        <v>TOTAL_GHG_CO2_EMISSIONS</v>
      </c>
      <c r="E744" t="str">
        <f>IFERROR(IF(0=LEN(ReferenceData!$E$744),"",ReferenceData!$E$744),"")</f>
        <v>Dynamic</v>
      </c>
      <c r="F744" t="str">
        <f ca="1">IFERROR(IF(0=LEN(ReferenceData!$F$744),"",ReferenceData!$F$744),"")</f>
        <v/>
      </c>
      <c r="G744">
        <f ca="1">IFERROR(IF(0=LEN(ReferenceData!$G$744),"",ReferenceData!$G$744),"")</f>
        <v>5.38</v>
      </c>
      <c r="H744">
        <f ca="1">IFERROR(IF(0=LEN(ReferenceData!$H$744),"",ReferenceData!$H$744),"")</f>
        <v>5.6</v>
      </c>
      <c r="I744">
        <f ca="1">IFERROR(IF(0=LEN(ReferenceData!$I$744),"",ReferenceData!$I$744),"")</f>
        <v>5.95</v>
      </c>
      <c r="J744">
        <f ca="1">IFERROR(IF(0=LEN(ReferenceData!$J$744),"",ReferenceData!$J$744),"")</f>
        <v>6.53</v>
      </c>
    </row>
    <row r="745" spans="1:10" x14ac:dyDescent="0.25">
      <c r="A745" t="str">
        <f>IFERROR(IF(0=LEN(ReferenceData!$A$745),"",ReferenceData!$A$745),"")</f>
        <v xml:space="preserve">                    Danhua Chemical Technology Co</v>
      </c>
      <c r="B745" t="str">
        <f>IFERROR(IF(0=LEN(ReferenceData!$B$745),"",ReferenceData!$B$745),"")</f>
        <v>900921 CH Equity</v>
      </c>
      <c r="C745" t="str">
        <f>IFERROR(IF(0=LEN(ReferenceData!$C$745),"",ReferenceData!$C$745),"")</f>
        <v>F0946</v>
      </c>
      <c r="D745" t="str">
        <f>IFERROR(IF(0=LEN(ReferenceData!$D$745),"",ReferenceData!$D$745),"")</f>
        <v>TOTAL_GHG_CO2_EMISSIONS</v>
      </c>
      <c r="E745" t="str">
        <f>IFERROR(IF(0=LEN(ReferenceData!$E$745),"",ReferenceData!$E$745),"")</f>
        <v>Dynamic</v>
      </c>
      <c r="F745" t="str">
        <f ca="1">IFERROR(IF(0=LEN(ReferenceData!$F$745),"",ReferenceData!$F$745),"")</f>
        <v/>
      </c>
      <c r="G745" t="str">
        <f ca="1">IFERROR(IF(0=LEN(ReferenceData!$G$745),"",ReferenceData!$G$745),"")</f>
        <v/>
      </c>
      <c r="H745" t="str">
        <f ca="1">IFERROR(IF(0=LEN(ReferenceData!$H$745),"",ReferenceData!$H$745),"")</f>
        <v/>
      </c>
      <c r="I745" t="str">
        <f ca="1">IFERROR(IF(0=LEN(ReferenceData!$I$745),"",ReferenceData!$I$745),"")</f>
        <v/>
      </c>
      <c r="J745" t="str">
        <f ca="1">IFERROR(IF(0=LEN(ReferenceData!$J$745),"",ReferenceData!$J$745),"")</f>
        <v/>
      </c>
    </row>
    <row r="746" spans="1:10" x14ac:dyDescent="0.25">
      <c r="A746" t="str">
        <f>IFERROR(IF(0=LEN(ReferenceData!$A$746),"",ReferenceData!$A$746),"")</f>
        <v xml:space="preserve">                    Deepak Fertilisers &amp; Petrochem</v>
      </c>
      <c r="B746" t="str">
        <f>IFERROR(IF(0=LEN(ReferenceData!$B$746),"",ReferenceData!$B$746),"")</f>
        <v>DFPC IN Equity</v>
      </c>
      <c r="C746" t="str">
        <f>IFERROR(IF(0=LEN(ReferenceData!$C$746),"",ReferenceData!$C$746),"")</f>
        <v>F0946</v>
      </c>
      <c r="D746" t="str">
        <f>IFERROR(IF(0=LEN(ReferenceData!$D$746),"",ReferenceData!$D$746),"")</f>
        <v>TOTAL_GHG_CO2_EMISSIONS</v>
      </c>
      <c r="E746" t="str">
        <f>IFERROR(IF(0=LEN(ReferenceData!$E$746),"",ReferenceData!$E$746),"")</f>
        <v>Dynamic</v>
      </c>
      <c r="F746" t="str">
        <f ca="1">IFERROR(IF(0=LEN(ReferenceData!$F$746),"",ReferenceData!$F$746),"")</f>
        <v/>
      </c>
      <c r="G746" t="str">
        <f ca="1">IFERROR(IF(0=LEN(ReferenceData!$G$746),"",ReferenceData!$G$746),"")</f>
        <v/>
      </c>
      <c r="H746" t="str">
        <f ca="1">IFERROR(IF(0=LEN(ReferenceData!$H$746),"",ReferenceData!$H$746),"")</f>
        <v/>
      </c>
      <c r="I746" t="str">
        <f ca="1">IFERROR(IF(0=LEN(ReferenceData!$I$746),"",ReferenceData!$I$746),"")</f>
        <v/>
      </c>
      <c r="J746" t="str">
        <f ca="1">IFERROR(IF(0=LEN(ReferenceData!$J$746),"",ReferenceData!$J$746),"")</f>
        <v/>
      </c>
    </row>
    <row r="747" spans="1:10" x14ac:dyDescent="0.25">
      <c r="A747" t="str">
        <f>IFERROR(IF(0=LEN(ReferenceData!$A$747),"",ReferenceData!$A$747),"")</f>
        <v xml:space="preserve">                    Denka Co Ltd</v>
      </c>
      <c r="B747" t="str">
        <f>IFERROR(IF(0=LEN(ReferenceData!$B$747),"",ReferenceData!$B$747),"")</f>
        <v>4061 JP Equity</v>
      </c>
      <c r="C747" t="str">
        <f>IFERROR(IF(0=LEN(ReferenceData!$C$747),"",ReferenceData!$C$747),"")</f>
        <v>F0946</v>
      </c>
      <c r="D747" t="str">
        <f>IFERROR(IF(0=LEN(ReferenceData!$D$747),"",ReferenceData!$D$747),"")</f>
        <v>TOTAL_GHG_CO2_EMISSIONS</v>
      </c>
      <c r="E747" t="str">
        <f>IFERROR(IF(0=LEN(ReferenceData!$E$747),"",ReferenceData!$E$747),"")</f>
        <v>Dynamic</v>
      </c>
      <c r="F747" t="str">
        <f ca="1">IFERROR(IF(0=LEN(ReferenceData!$F$747),"",ReferenceData!$F$747),"")</f>
        <v/>
      </c>
      <c r="G747">
        <f ca="1">IFERROR(IF(0=LEN(ReferenceData!$G$747),"",ReferenceData!$G$747),"")</f>
        <v>2.1726201170000001</v>
      </c>
      <c r="H747">
        <f ca="1">IFERROR(IF(0=LEN(ReferenceData!$H$747),"",ReferenceData!$H$747),"")</f>
        <v>1.971939941</v>
      </c>
      <c r="I747">
        <f ca="1">IFERROR(IF(0=LEN(ReferenceData!$I$747),"",ReferenceData!$I$747),"")</f>
        <v>1.95</v>
      </c>
      <c r="J747">
        <f ca="1">IFERROR(IF(0=LEN(ReferenceData!$J$747),"",ReferenceData!$J$747),"")</f>
        <v>2.0299999999999998</v>
      </c>
    </row>
    <row r="748" spans="1:10" x14ac:dyDescent="0.25">
      <c r="A748" t="str">
        <f>IFERROR(IF(0=LEN(ReferenceData!$A$748),"",ReferenceData!$A$748),"")</f>
        <v xml:space="preserve">                    DuPont de Nemours Inc</v>
      </c>
      <c r="B748" t="str">
        <f>IFERROR(IF(0=LEN(ReferenceData!$B$748),"",ReferenceData!$B$748),"")</f>
        <v>DD US Equity</v>
      </c>
      <c r="C748" t="str">
        <f>IFERROR(IF(0=LEN(ReferenceData!$C$748),"",ReferenceData!$C$748),"")</f>
        <v>F0946</v>
      </c>
      <c r="D748" t="str">
        <f>IFERROR(IF(0=LEN(ReferenceData!$D$748),"",ReferenceData!$D$748),"")</f>
        <v>TOTAL_GHG_CO2_EMISSIONS</v>
      </c>
      <c r="E748" t="str">
        <f>IFERROR(IF(0=LEN(ReferenceData!$E$748),"",ReferenceData!$E$748),"")</f>
        <v>Dynamic</v>
      </c>
      <c r="F748">
        <f ca="1">IFERROR(IF(0=LEN(ReferenceData!$F$748),"",ReferenceData!$F$748),"")</f>
        <v>2.3421101069999999</v>
      </c>
      <c r="G748">
        <f ca="1">IFERROR(IF(0=LEN(ReferenceData!$G$748),"",ReferenceData!$G$748),"")</f>
        <v>3.1446799319999998</v>
      </c>
      <c r="H748">
        <f ca="1">IFERROR(IF(0=LEN(ReferenceData!$H$748),"",ReferenceData!$H$748),"")</f>
        <v>5.1479999999999997</v>
      </c>
      <c r="I748">
        <f ca="1">IFERROR(IF(0=LEN(ReferenceData!$I$748),"",ReferenceData!$I$748),"")</f>
        <v>5.38</v>
      </c>
      <c r="J748" t="str">
        <f ca="1">IFERROR(IF(0=LEN(ReferenceData!$J$748),"",ReferenceData!$J$748),"")</f>
        <v/>
      </c>
    </row>
    <row r="749" spans="1:10" x14ac:dyDescent="0.25">
      <c r="A749" t="str">
        <f>IFERROR(IF(0=LEN(ReferenceData!$A$749),"",ReferenceData!$A$749),"")</f>
        <v xml:space="preserve">                    Daicel Corp</v>
      </c>
      <c r="B749" t="str">
        <f>IFERROR(IF(0=LEN(ReferenceData!$B$749),"",ReferenceData!$B$749),"")</f>
        <v>4202 JP Equity</v>
      </c>
      <c r="C749" t="str">
        <f>IFERROR(IF(0=LEN(ReferenceData!$C$749),"",ReferenceData!$C$749),"")</f>
        <v>F0946</v>
      </c>
      <c r="D749" t="str">
        <f>IFERROR(IF(0=LEN(ReferenceData!$D$749),"",ReferenceData!$D$749),"")</f>
        <v>TOTAL_GHG_CO2_EMISSIONS</v>
      </c>
      <c r="E749" t="str">
        <f>IFERROR(IF(0=LEN(ReferenceData!$E$749),"",ReferenceData!$E$749),"")</f>
        <v>Dynamic</v>
      </c>
      <c r="F749" t="str">
        <f ca="1">IFERROR(IF(0=LEN(ReferenceData!$F$749),"",ReferenceData!$F$749),"")</f>
        <v/>
      </c>
      <c r="G749">
        <f ca="1">IFERROR(IF(0=LEN(ReferenceData!$G$749),"",ReferenceData!$G$749),"")</f>
        <v>2.347</v>
      </c>
      <c r="H749">
        <f ca="1">IFERROR(IF(0=LEN(ReferenceData!$H$749),"",ReferenceData!$H$749),"")</f>
        <v>2.7549999999999999</v>
      </c>
      <c r="I749">
        <f ca="1">IFERROR(IF(0=LEN(ReferenceData!$I$749),"",ReferenceData!$I$749),"")</f>
        <v>2.3690000000000002</v>
      </c>
      <c r="J749">
        <f ca="1">IFERROR(IF(0=LEN(ReferenceData!$J$749),"",ReferenceData!$J$749),"")</f>
        <v>2.4940000000000002</v>
      </c>
    </row>
    <row r="750" spans="1:10" x14ac:dyDescent="0.25">
      <c r="A750" t="str">
        <f>IFERROR(IF(0=LEN(ReferenceData!$A$750),"",ReferenceData!$A$750),"")</f>
        <v xml:space="preserve">                    Dow Inc</v>
      </c>
      <c r="B750" t="str">
        <f>IFERROR(IF(0=LEN(ReferenceData!$B$750),"",ReferenceData!$B$750),"")</f>
        <v>DOW US Equity</v>
      </c>
      <c r="C750" t="str">
        <f>IFERROR(IF(0=LEN(ReferenceData!$C$750),"",ReferenceData!$C$750),"")</f>
        <v>F0946</v>
      </c>
      <c r="D750" t="str">
        <f>IFERROR(IF(0=LEN(ReferenceData!$D$750),"",ReferenceData!$D$750),"")</f>
        <v>TOTAL_GHG_CO2_EMISSIONS</v>
      </c>
      <c r="E750" t="str">
        <f>IFERROR(IF(0=LEN(ReferenceData!$E$750),"",ReferenceData!$E$750),"")</f>
        <v>Dynamic</v>
      </c>
      <c r="F750" t="str">
        <f ca="1">IFERROR(IF(0=LEN(ReferenceData!$F$750),"",ReferenceData!$F$750),"")</f>
        <v/>
      </c>
      <c r="G750">
        <f ca="1">IFERROR(IF(0=LEN(ReferenceData!$G$750),"",ReferenceData!$G$750),"")</f>
        <v>32.229999999999997</v>
      </c>
      <c r="H750">
        <f ca="1">IFERROR(IF(0=LEN(ReferenceData!$H$750),"",ReferenceData!$H$750),"")</f>
        <v>34.76</v>
      </c>
      <c r="I750">
        <f ca="1">IFERROR(IF(0=LEN(ReferenceData!$I$750),"",ReferenceData!$I$750),"")</f>
        <v>33.65</v>
      </c>
      <c r="J750" t="str">
        <f ca="1">IFERROR(IF(0=LEN(ReferenceData!$J$750),"",ReferenceData!$J$750),"")</f>
        <v/>
      </c>
    </row>
    <row r="751" spans="1:10" x14ac:dyDescent="0.25">
      <c r="A751" t="str">
        <f>IFERROR(IF(0=LEN(ReferenceData!$A$751),"",ReferenceData!$A$751),"")</f>
        <v xml:space="preserve">                    Eastman Chemical Co</v>
      </c>
      <c r="B751" t="str">
        <f>IFERROR(IF(0=LEN(ReferenceData!$B$751),"",ReferenceData!$B$751),"")</f>
        <v>EMN US Equity</v>
      </c>
      <c r="C751" t="str">
        <f>IFERROR(IF(0=LEN(ReferenceData!$C$751),"",ReferenceData!$C$751),"")</f>
        <v>F0946</v>
      </c>
      <c r="D751" t="str">
        <f>IFERROR(IF(0=LEN(ReferenceData!$D$751),"",ReferenceData!$D$751),"")</f>
        <v>TOTAL_GHG_CO2_EMISSIONS</v>
      </c>
      <c r="E751" t="str">
        <f>IFERROR(IF(0=LEN(ReferenceData!$E$751),"",ReferenceData!$E$751),"")</f>
        <v>Dynamic</v>
      </c>
      <c r="F751" t="str">
        <f ca="1">IFERROR(IF(0=LEN(ReferenceData!$F$751),"",ReferenceData!$F$751),"")</f>
        <v/>
      </c>
      <c r="G751">
        <f ca="1">IFERROR(IF(0=LEN(ReferenceData!$G$751),"",ReferenceData!$G$751),"")</f>
        <v>6.9427202149999996</v>
      </c>
      <c r="H751">
        <f ca="1">IFERROR(IF(0=LEN(ReferenceData!$H$751),"",ReferenceData!$H$751),"")</f>
        <v>6.3729902340000004</v>
      </c>
      <c r="I751">
        <f ca="1">IFERROR(IF(0=LEN(ReferenceData!$I$751),"",ReferenceData!$I$751),"")</f>
        <v>6.7</v>
      </c>
      <c r="J751">
        <f ca="1">IFERROR(IF(0=LEN(ReferenceData!$J$751),"",ReferenceData!$J$751),"")</f>
        <v>7.4</v>
      </c>
    </row>
    <row r="752" spans="1:10" x14ac:dyDescent="0.25">
      <c r="A752" t="str">
        <f>IFERROR(IF(0=LEN(ReferenceData!$A$752),"",ReferenceData!$A$752),"")</f>
        <v xml:space="preserve">                    EMS-Chemie Holding AG</v>
      </c>
      <c r="B752" t="str">
        <f>IFERROR(IF(0=LEN(ReferenceData!$B$752),"",ReferenceData!$B$752),"")</f>
        <v>EMSN SW Equity</v>
      </c>
      <c r="C752" t="str">
        <f>IFERROR(IF(0=LEN(ReferenceData!$C$752),"",ReferenceData!$C$752),"")</f>
        <v>F0946</v>
      </c>
      <c r="D752" t="str">
        <f>IFERROR(IF(0=LEN(ReferenceData!$D$752),"",ReferenceData!$D$752),"")</f>
        <v>TOTAL_GHG_CO2_EMISSIONS</v>
      </c>
      <c r="E752" t="str">
        <f>IFERROR(IF(0=LEN(ReferenceData!$E$752),"",ReferenceData!$E$752),"")</f>
        <v>Dynamic</v>
      </c>
      <c r="F752" t="str">
        <f ca="1">IFERROR(IF(0=LEN(ReferenceData!$F$752),"",ReferenceData!$F$752),"")</f>
        <v/>
      </c>
      <c r="G752" t="str">
        <f ca="1">IFERROR(IF(0=LEN(ReferenceData!$G$752),"",ReferenceData!$G$752),"")</f>
        <v/>
      </c>
      <c r="H752" t="str">
        <f ca="1">IFERROR(IF(0=LEN(ReferenceData!$H$752),"",ReferenceData!$H$752),"")</f>
        <v/>
      </c>
      <c r="I752" t="str">
        <f ca="1">IFERROR(IF(0=LEN(ReferenceData!$I$752),"",ReferenceData!$I$752),"")</f>
        <v/>
      </c>
      <c r="J752" t="str">
        <f ca="1">IFERROR(IF(0=LEN(ReferenceData!$J$752),"",ReferenceData!$J$752),"")</f>
        <v/>
      </c>
    </row>
    <row r="753" spans="1:10" x14ac:dyDescent="0.25">
      <c r="A753" t="str">
        <f>IFERROR(IF(0=LEN(ReferenceData!$A$753),"",ReferenceData!$A$753),"")</f>
        <v xml:space="preserve">                    Formosa Chemicals &amp; Fibre Corp</v>
      </c>
      <c r="B753" t="str">
        <f>IFERROR(IF(0=LEN(ReferenceData!$B$753),"",ReferenceData!$B$753),"")</f>
        <v>1326 TT Equity</v>
      </c>
      <c r="C753" t="str">
        <f>IFERROR(IF(0=LEN(ReferenceData!$C$753),"",ReferenceData!$C$753),"")</f>
        <v>F0946</v>
      </c>
      <c r="D753" t="str">
        <f>IFERROR(IF(0=LEN(ReferenceData!$D$753),"",ReferenceData!$D$753),"")</f>
        <v>TOTAL_GHG_CO2_EMISSIONS</v>
      </c>
      <c r="E753" t="str">
        <f>IFERROR(IF(0=LEN(ReferenceData!$E$753),"",ReferenceData!$E$753),"")</f>
        <v>Dynamic</v>
      </c>
      <c r="F753" t="str">
        <f ca="1">IFERROR(IF(0=LEN(ReferenceData!$F$753),"",ReferenceData!$F$753),"")</f>
        <v/>
      </c>
      <c r="G753">
        <f ca="1">IFERROR(IF(0=LEN(ReferenceData!$G$753),"",ReferenceData!$G$753),"")</f>
        <v>8.6978603519999993</v>
      </c>
      <c r="H753">
        <f ca="1">IFERROR(IF(0=LEN(ReferenceData!$H$753),"",ReferenceData!$H$753),"")</f>
        <v>8.5389902339999999</v>
      </c>
      <c r="I753">
        <f ca="1">IFERROR(IF(0=LEN(ReferenceData!$I$753),"",ReferenceData!$I$753),"")</f>
        <v>8.3576796869999992</v>
      </c>
      <c r="J753">
        <f ca="1">IFERROR(IF(0=LEN(ReferenceData!$J$753),"",ReferenceData!$J$753),"")</f>
        <v>9.0573398439999995</v>
      </c>
    </row>
    <row r="754" spans="1:10" x14ac:dyDescent="0.25">
      <c r="A754" t="str">
        <f>IFERROR(IF(0=LEN(ReferenceData!$A$754),"",ReferenceData!$A$754),"")</f>
        <v xml:space="preserve">                    Formosa Plastics Corp</v>
      </c>
      <c r="B754" t="str">
        <f>IFERROR(IF(0=LEN(ReferenceData!$B$754),"",ReferenceData!$B$754),"")</f>
        <v>1301 TT Equity</v>
      </c>
      <c r="C754" t="str">
        <f>IFERROR(IF(0=LEN(ReferenceData!$C$754),"",ReferenceData!$C$754),"")</f>
        <v>F0946</v>
      </c>
      <c r="D754" t="str">
        <f>IFERROR(IF(0=LEN(ReferenceData!$D$754),"",ReferenceData!$D$754),"")</f>
        <v>TOTAL_GHG_CO2_EMISSIONS</v>
      </c>
      <c r="E754" t="str">
        <f>IFERROR(IF(0=LEN(ReferenceData!$E$754),"",ReferenceData!$E$754),"")</f>
        <v>Dynamic</v>
      </c>
      <c r="F754" t="str">
        <f ca="1">IFERROR(IF(0=LEN(ReferenceData!$F$754),"",ReferenceData!$F$754),"")</f>
        <v/>
      </c>
      <c r="G754">
        <f ca="1">IFERROR(IF(0=LEN(ReferenceData!$G$754),"",ReferenceData!$G$754),"")</f>
        <v>8.6005996089999996</v>
      </c>
      <c r="H754" t="str">
        <f ca="1">IFERROR(IF(0=LEN(ReferenceData!$H$754),"",ReferenceData!$H$754),"")</f>
        <v/>
      </c>
      <c r="I754" t="str">
        <f ca="1">IFERROR(IF(0=LEN(ReferenceData!$I$754),"",ReferenceData!$I$754),"")</f>
        <v/>
      </c>
      <c r="J754" t="str">
        <f ca="1">IFERROR(IF(0=LEN(ReferenceData!$J$754),"",ReferenceData!$J$754),"")</f>
        <v/>
      </c>
    </row>
    <row r="755" spans="1:10" x14ac:dyDescent="0.25">
      <c r="A755" t="str">
        <f>IFERROR(IF(0=LEN(ReferenceData!$A$755),"",ReferenceData!$A$755),"")</f>
        <v xml:space="preserve">                    Hanwha Solutions Corp</v>
      </c>
      <c r="B755" t="str">
        <f>IFERROR(IF(0=LEN(ReferenceData!$B$755),"",ReferenceData!$B$755),"")</f>
        <v>009830 KS Equity</v>
      </c>
      <c r="C755" t="str">
        <f>IFERROR(IF(0=LEN(ReferenceData!$C$755),"",ReferenceData!$C$755),"")</f>
        <v>F0946</v>
      </c>
      <c r="D755" t="str">
        <f>IFERROR(IF(0=LEN(ReferenceData!$D$755),"",ReferenceData!$D$755),"")</f>
        <v>TOTAL_GHG_CO2_EMISSIONS</v>
      </c>
      <c r="E755" t="str">
        <f>IFERROR(IF(0=LEN(ReferenceData!$E$755),"",ReferenceData!$E$755),"")</f>
        <v>Dynamic</v>
      </c>
      <c r="F755" t="str">
        <f ca="1">IFERROR(IF(0=LEN(ReferenceData!$F$755),"",ReferenceData!$F$755),"")</f>
        <v/>
      </c>
      <c r="G755">
        <f ca="1">IFERROR(IF(0=LEN(ReferenceData!$G$755),"",ReferenceData!$G$755),"")</f>
        <v>2.8684699710000001</v>
      </c>
      <c r="H755" t="str">
        <f ca="1">IFERROR(IF(0=LEN(ReferenceData!$H$755),"",ReferenceData!$H$755),"")</f>
        <v/>
      </c>
      <c r="I755" t="str">
        <f ca="1">IFERROR(IF(0=LEN(ReferenceData!$I$755),"",ReferenceData!$I$755),"")</f>
        <v/>
      </c>
      <c r="J755">
        <f ca="1">IFERROR(IF(0=LEN(ReferenceData!$J$755),"",ReferenceData!$J$755),"")</f>
        <v>3.196429932</v>
      </c>
    </row>
    <row r="756" spans="1:10" x14ac:dyDescent="0.25">
      <c r="A756" t="str">
        <f>IFERROR(IF(0=LEN(ReferenceData!$A$756),"",ReferenceData!$A$756),"")</f>
        <v xml:space="preserve">                    Hubei Yihua Chemical Industry</v>
      </c>
      <c r="B756" t="str">
        <f>IFERROR(IF(0=LEN(ReferenceData!$B$756),"",ReferenceData!$B$756),"")</f>
        <v>000422 CH Equity</v>
      </c>
      <c r="C756" t="str">
        <f>IFERROR(IF(0=LEN(ReferenceData!$C$756),"",ReferenceData!$C$756),"")</f>
        <v>F0946</v>
      </c>
      <c r="D756" t="str">
        <f>IFERROR(IF(0=LEN(ReferenceData!$D$756),"",ReferenceData!$D$756),"")</f>
        <v>TOTAL_GHG_CO2_EMISSIONS</v>
      </c>
      <c r="E756" t="str">
        <f>IFERROR(IF(0=LEN(ReferenceData!$E$756),"",ReferenceData!$E$756),"")</f>
        <v>Dynamic</v>
      </c>
      <c r="F756" t="str">
        <f ca="1">IFERROR(IF(0=LEN(ReferenceData!$F$756),"",ReferenceData!$F$756),"")</f>
        <v/>
      </c>
      <c r="G756" t="str">
        <f ca="1">IFERROR(IF(0=LEN(ReferenceData!$G$756),"",ReferenceData!$G$756),"")</f>
        <v/>
      </c>
      <c r="H756" t="str">
        <f ca="1">IFERROR(IF(0=LEN(ReferenceData!$H$756),"",ReferenceData!$H$756),"")</f>
        <v/>
      </c>
      <c r="I756" t="str">
        <f ca="1">IFERROR(IF(0=LEN(ReferenceData!$I$756),"",ReferenceData!$I$756),"")</f>
        <v/>
      </c>
      <c r="J756" t="str">
        <f ca="1">IFERROR(IF(0=LEN(ReferenceData!$J$756),"",ReferenceData!$J$756),"")</f>
        <v/>
      </c>
    </row>
    <row r="757" spans="1:10" x14ac:dyDescent="0.25">
      <c r="A757" t="str">
        <f>IFERROR(IF(0=LEN(ReferenceData!$A$757),"",ReferenceData!$A$757),"")</f>
        <v xml:space="preserve">                    Huntsman Corp</v>
      </c>
      <c r="B757" t="str">
        <f>IFERROR(IF(0=LEN(ReferenceData!$B$757),"",ReferenceData!$B$757),"")</f>
        <v>HUN US Equity</v>
      </c>
      <c r="C757" t="str">
        <f>IFERROR(IF(0=LEN(ReferenceData!$C$757),"",ReferenceData!$C$757),"")</f>
        <v>F0946</v>
      </c>
      <c r="D757" t="str">
        <f>IFERROR(IF(0=LEN(ReferenceData!$D$757),"",ReferenceData!$D$757),"")</f>
        <v>TOTAL_GHG_CO2_EMISSIONS</v>
      </c>
      <c r="E757" t="str">
        <f>IFERROR(IF(0=LEN(ReferenceData!$E$757),"",ReferenceData!$E$757),"")</f>
        <v>Dynamic</v>
      </c>
      <c r="F757" t="str">
        <f ca="1">IFERROR(IF(0=LEN(ReferenceData!$F$757),"",ReferenceData!$F$757),"")</f>
        <v/>
      </c>
      <c r="G757">
        <f ca="1">IFERROR(IF(0=LEN(ReferenceData!$G$757),"",ReferenceData!$G$757),"")</f>
        <v>1.127780029</v>
      </c>
      <c r="H757">
        <f ca="1">IFERROR(IF(0=LEN(ReferenceData!$H$757),"",ReferenceData!$H$757),"")</f>
        <v>1.10052002</v>
      </c>
      <c r="I757">
        <f ca="1">IFERROR(IF(0=LEN(ReferenceData!$I$757),"",ReferenceData!$I$757),"")</f>
        <v>2.775600098</v>
      </c>
      <c r="J757">
        <f ca="1">IFERROR(IF(0=LEN(ReferenceData!$J$757),"",ReferenceData!$J$757),"")</f>
        <v>2.692860107</v>
      </c>
    </row>
    <row r="758" spans="1:10" x14ac:dyDescent="0.25">
      <c r="A758" t="str">
        <f>IFERROR(IF(0=LEN(ReferenceData!$A$758),"",ReferenceData!$A$758),"")</f>
        <v xml:space="preserve">                    Indorama Ventures PCL</v>
      </c>
      <c r="B758" t="str">
        <f>IFERROR(IF(0=LEN(ReferenceData!$B$758),"",ReferenceData!$B$758),"")</f>
        <v>IVL TB Equity</v>
      </c>
      <c r="C758" t="str">
        <f>IFERROR(IF(0=LEN(ReferenceData!$C$758),"",ReferenceData!$C$758),"")</f>
        <v>F0946</v>
      </c>
      <c r="D758" t="str">
        <f>IFERROR(IF(0=LEN(ReferenceData!$D$758),"",ReferenceData!$D$758),"")</f>
        <v>TOTAL_GHG_CO2_EMISSIONS</v>
      </c>
      <c r="E758" t="str">
        <f>IFERROR(IF(0=LEN(ReferenceData!$E$758),"",ReferenceData!$E$758),"")</f>
        <v>Dynamic</v>
      </c>
      <c r="F758" t="str">
        <f ca="1">IFERROR(IF(0=LEN(ReferenceData!$F$758),"",ReferenceData!$F$758),"")</f>
        <v/>
      </c>
      <c r="G758">
        <f ca="1">IFERROR(IF(0=LEN(ReferenceData!$G$758),"",ReferenceData!$G$758),"")</f>
        <v>9.7328798830000007</v>
      </c>
      <c r="H758">
        <f ca="1">IFERROR(IF(0=LEN(ReferenceData!$H$758),"",ReferenceData!$H$758),"")</f>
        <v>9.445049805</v>
      </c>
      <c r="I758">
        <f ca="1">IFERROR(IF(0=LEN(ReferenceData!$I$758),"",ReferenceData!$I$758),"")</f>
        <v>7.0894399410000002</v>
      </c>
      <c r="J758">
        <f ca="1">IFERROR(IF(0=LEN(ReferenceData!$J$758),"",ReferenceData!$J$758),"")</f>
        <v>5.913459961</v>
      </c>
    </row>
    <row r="759" spans="1:10" x14ac:dyDescent="0.25">
      <c r="A759" t="str">
        <f>IFERROR(IF(0=LEN(ReferenceData!$A$759),"",ReferenceData!$A$759),"")</f>
        <v xml:space="preserve">                    Inner Mongolia Yuan Xing Energ</v>
      </c>
      <c r="B759" t="str">
        <f>IFERROR(IF(0=LEN(ReferenceData!$B$759),"",ReferenceData!$B$759),"")</f>
        <v>000683 CH Equity</v>
      </c>
      <c r="C759" t="str">
        <f>IFERROR(IF(0=LEN(ReferenceData!$C$759),"",ReferenceData!$C$759),"")</f>
        <v>F0946</v>
      </c>
      <c r="D759" t="str">
        <f>IFERROR(IF(0=LEN(ReferenceData!$D$759),"",ReferenceData!$D$759),"")</f>
        <v>TOTAL_GHG_CO2_EMISSIONS</v>
      </c>
      <c r="E759" t="str">
        <f>IFERROR(IF(0=LEN(ReferenceData!$E$759),"",ReferenceData!$E$759),"")</f>
        <v>Dynamic</v>
      </c>
      <c r="F759" t="str">
        <f ca="1">IFERROR(IF(0=LEN(ReferenceData!$F$759),"",ReferenceData!$F$759),"")</f>
        <v/>
      </c>
      <c r="G759" t="str">
        <f ca="1">IFERROR(IF(0=LEN(ReferenceData!$G$759),"",ReferenceData!$G$759),"")</f>
        <v/>
      </c>
      <c r="H759" t="str">
        <f ca="1">IFERROR(IF(0=LEN(ReferenceData!$H$759),"",ReferenceData!$H$759),"")</f>
        <v/>
      </c>
      <c r="I759" t="str">
        <f ca="1">IFERROR(IF(0=LEN(ReferenceData!$I$759),"",ReferenceData!$I$759),"")</f>
        <v/>
      </c>
      <c r="J759" t="str">
        <f ca="1">IFERROR(IF(0=LEN(ReferenceData!$J$759),"",ReferenceData!$J$759),"")</f>
        <v/>
      </c>
    </row>
    <row r="760" spans="1:10" x14ac:dyDescent="0.25">
      <c r="A760" t="str">
        <f>IFERROR(IF(0=LEN(ReferenceData!$A$760),"",ReferenceData!$A$760),"")</f>
        <v xml:space="preserve">                    Organichesky Sintez PJSC</v>
      </c>
      <c r="B760" t="str">
        <f>IFERROR(IF(0=LEN(ReferenceData!$B$760),"",ReferenceData!$B$760),"")</f>
        <v>KZOS RM Equity</v>
      </c>
      <c r="C760" t="str">
        <f>IFERROR(IF(0=LEN(ReferenceData!$C$760),"",ReferenceData!$C$760),"")</f>
        <v>F0946</v>
      </c>
      <c r="D760" t="str">
        <f>IFERROR(IF(0=LEN(ReferenceData!$D$760),"",ReferenceData!$D$760),"")</f>
        <v>TOTAL_GHG_CO2_EMISSIONS</v>
      </c>
      <c r="E760" t="str">
        <f>IFERROR(IF(0=LEN(ReferenceData!$E$760),"",ReferenceData!$E$760),"")</f>
        <v>Dynamic</v>
      </c>
      <c r="F760" t="str">
        <f ca="1">IFERROR(IF(0=LEN(ReferenceData!$F$760),"",ReferenceData!$F$760),"")</f>
        <v/>
      </c>
      <c r="G760" t="str">
        <f ca="1">IFERROR(IF(0=LEN(ReferenceData!$G$760),"",ReferenceData!$G$760),"")</f>
        <v/>
      </c>
      <c r="H760" t="str">
        <f ca="1">IFERROR(IF(0=LEN(ReferenceData!$H$760),"",ReferenceData!$H$760),"")</f>
        <v/>
      </c>
      <c r="I760" t="str">
        <f ca="1">IFERROR(IF(0=LEN(ReferenceData!$I$760),"",ReferenceData!$I$760),"")</f>
        <v/>
      </c>
      <c r="J760" t="str">
        <f ca="1">IFERROR(IF(0=LEN(ReferenceData!$J$760),"",ReferenceData!$J$760),"")</f>
        <v/>
      </c>
    </row>
    <row r="761" spans="1:10" x14ac:dyDescent="0.25">
      <c r="A761" t="str">
        <f>IFERROR(IF(0=LEN(ReferenceData!$A$761),"",ReferenceData!$A$761),"")</f>
        <v xml:space="preserve">                    Kolon Industries Inc</v>
      </c>
      <c r="B761" t="str">
        <f>IFERROR(IF(0=LEN(ReferenceData!$B$761),"",ReferenceData!$B$761),"")</f>
        <v>120110 KS Equity</v>
      </c>
      <c r="C761" t="str">
        <f>IFERROR(IF(0=LEN(ReferenceData!$C$761),"",ReferenceData!$C$761),"")</f>
        <v>F0946</v>
      </c>
      <c r="D761" t="str">
        <f>IFERROR(IF(0=LEN(ReferenceData!$D$761),"",ReferenceData!$D$761),"")</f>
        <v>TOTAL_GHG_CO2_EMISSIONS</v>
      </c>
      <c r="E761" t="str">
        <f>IFERROR(IF(0=LEN(ReferenceData!$E$761),"",ReferenceData!$E$761),"")</f>
        <v>Dynamic</v>
      </c>
      <c r="F761" t="str">
        <f ca="1">IFERROR(IF(0=LEN(ReferenceData!$F$761),"",ReferenceData!$F$761),"")</f>
        <v/>
      </c>
      <c r="G761" t="str">
        <f ca="1">IFERROR(IF(0=LEN(ReferenceData!$G$761),"",ReferenceData!$G$761),"")</f>
        <v/>
      </c>
      <c r="H761" t="str">
        <f ca="1">IFERROR(IF(0=LEN(ReferenceData!$H$761),"",ReferenceData!$H$761),"")</f>
        <v/>
      </c>
      <c r="I761" t="str">
        <f ca="1">IFERROR(IF(0=LEN(ReferenceData!$I$761),"",ReferenceData!$I$761),"")</f>
        <v/>
      </c>
      <c r="J761" t="str">
        <f ca="1">IFERROR(IF(0=LEN(ReferenceData!$J$761),"",ReferenceData!$J$761),"")</f>
        <v/>
      </c>
    </row>
    <row r="762" spans="1:10" x14ac:dyDescent="0.25">
      <c r="A762" t="str">
        <f>IFERROR(IF(0=LEN(ReferenceData!$A$762),"",ReferenceData!$A$762),"")</f>
        <v xml:space="preserve">                    Koppers Holdings Inc</v>
      </c>
      <c r="B762" t="str">
        <f>IFERROR(IF(0=LEN(ReferenceData!$B$762),"",ReferenceData!$B$762),"")</f>
        <v>KOP US Equity</v>
      </c>
      <c r="C762" t="str">
        <f>IFERROR(IF(0=LEN(ReferenceData!$C$762),"",ReferenceData!$C$762),"")</f>
        <v>F0946</v>
      </c>
      <c r="D762" t="str">
        <f>IFERROR(IF(0=LEN(ReferenceData!$D$762),"",ReferenceData!$D$762),"")</f>
        <v>TOTAL_GHG_CO2_EMISSIONS</v>
      </c>
      <c r="E762" t="str">
        <f>IFERROR(IF(0=LEN(ReferenceData!$E$762),"",ReferenceData!$E$762),"")</f>
        <v>Dynamic</v>
      </c>
      <c r="F762" t="str">
        <f ca="1">IFERROR(IF(0=LEN(ReferenceData!$F$762),"",ReferenceData!$F$762),"")</f>
        <v/>
      </c>
      <c r="G762">
        <f ca="1">IFERROR(IF(0=LEN(ReferenceData!$G$762),"",ReferenceData!$G$762),"")</f>
        <v>0.42806899999999998</v>
      </c>
      <c r="H762">
        <f ca="1">IFERROR(IF(0=LEN(ReferenceData!$H$762),"",ReferenceData!$H$762),"")</f>
        <v>0.48525698900000003</v>
      </c>
      <c r="I762">
        <f ca="1">IFERROR(IF(0=LEN(ReferenceData!$I$762),"",ReferenceData!$I$762),"")</f>
        <v>0.52351800500000001</v>
      </c>
      <c r="J762">
        <f ca="1">IFERROR(IF(0=LEN(ReferenceData!$J$762),"",ReferenceData!$J$762),"")</f>
        <v>0.48699499499999999</v>
      </c>
    </row>
    <row r="763" spans="1:10" x14ac:dyDescent="0.25">
      <c r="A763" t="str">
        <f>IFERROR(IF(0=LEN(ReferenceData!$A$763),"",ReferenceData!$A$763),"")</f>
        <v xml:space="preserve">                    Kumho Petrochemical Co Ltd</v>
      </c>
      <c r="B763" t="str">
        <f>IFERROR(IF(0=LEN(ReferenceData!$B$763),"",ReferenceData!$B$763),"")</f>
        <v>011780 KS Equity</v>
      </c>
      <c r="C763" t="str">
        <f>IFERROR(IF(0=LEN(ReferenceData!$C$763),"",ReferenceData!$C$763),"")</f>
        <v>F0946</v>
      </c>
      <c r="D763" t="str">
        <f>IFERROR(IF(0=LEN(ReferenceData!$D$763),"",ReferenceData!$D$763),"")</f>
        <v>TOTAL_GHG_CO2_EMISSIONS</v>
      </c>
      <c r="E763" t="str">
        <f>IFERROR(IF(0=LEN(ReferenceData!$E$763),"",ReferenceData!$E$763),"")</f>
        <v>Dynamic</v>
      </c>
      <c r="F763" t="str">
        <f ca="1">IFERROR(IF(0=LEN(ReferenceData!$F$763),"",ReferenceData!$F$763),"")</f>
        <v/>
      </c>
      <c r="G763" t="str">
        <f ca="1">IFERROR(IF(0=LEN(ReferenceData!$G$763),"",ReferenceData!$G$763),"")</f>
        <v/>
      </c>
      <c r="H763">
        <f ca="1">IFERROR(IF(0=LEN(ReferenceData!$H$763),"",ReferenceData!$H$763),"")</f>
        <v>3.494330078</v>
      </c>
      <c r="I763">
        <f ca="1">IFERROR(IF(0=LEN(ReferenceData!$I$763),"",ReferenceData!$I$763),"")</f>
        <v>3.5103601069999999</v>
      </c>
      <c r="J763" t="str">
        <f ca="1">IFERROR(IF(0=LEN(ReferenceData!$J$763),"",ReferenceData!$J$763),"")</f>
        <v/>
      </c>
    </row>
    <row r="764" spans="1:10" x14ac:dyDescent="0.25">
      <c r="A764" t="str">
        <f>IFERROR(IF(0=LEN(ReferenceData!$A$764),"",ReferenceData!$A$764),"")</f>
        <v xml:space="preserve">                    Kaneka Corp</v>
      </c>
      <c r="B764" t="str">
        <f>IFERROR(IF(0=LEN(ReferenceData!$B$764),"",ReferenceData!$B$764),"")</f>
        <v>4118 JP Equity</v>
      </c>
      <c r="C764" t="str">
        <f>IFERROR(IF(0=LEN(ReferenceData!$C$764),"",ReferenceData!$C$764),"")</f>
        <v>F0946</v>
      </c>
      <c r="D764" t="str">
        <f>IFERROR(IF(0=LEN(ReferenceData!$D$764),"",ReferenceData!$D$764),"")</f>
        <v>TOTAL_GHG_CO2_EMISSIONS</v>
      </c>
      <c r="E764" t="str">
        <f>IFERROR(IF(0=LEN(ReferenceData!$E$764),"",ReferenceData!$E$764),"")</f>
        <v>Dynamic</v>
      </c>
      <c r="F764" t="str">
        <f ca="1">IFERROR(IF(0=LEN(ReferenceData!$F$764),"",ReferenceData!$F$764),"")</f>
        <v/>
      </c>
      <c r="G764">
        <f ca="1">IFERROR(IF(0=LEN(ReferenceData!$G$764),"",ReferenceData!$G$764),"")</f>
        <v>1.548</v>
      </c>
      <c r="H764">
        <f ca="1">IFERROR(IF(0=LEN(ReferenceData!$H$764),"",ReferenceData!$H$764),"")</f>
        <v>1.461400024</v>
      </c>
      <c r="I764">
        <f ca="1">IFERROR(IF(0=LEN(ReferenceData!$I$764),"",ReferenceData!$I$764),"")</f>
        <v>1.46</v>
      </c>
      <c r="J764">
        <f ca="1">IFERROR(IF(0=LEN(ReferenceData!$J$764),"",ReferenceData!$J$764),"")</f>
        <v>1.569</v>
      </c>
    </row>
    <row r="765" spans="1:10" x14ac:dyDescent="0.25">
      <c r="A765" t="str">
        <f>IFERROR(IF(0=LEN(ReferenceData!$A$765),"",ReferenceData!$A$765),"")</f>
        <v xml:space="preserve">                    Kuraray Co Ltd</v>
      </c>
      <c r="B765" t="str">
        <f>IFERROR(IF(0=LEN(ReferenceData!$B$765),"",ReferenceData!$B$765),"")</f>
        <v>3405 JP Equity</v>
      </c>
      <c r="C765" t="str">
        <f>IFERROR(IF(0=LEN(ReferenceData!$C$765),"",ReferenceData!$C$765),"")</f>
        <v>F0946</v>
      </c>
      <c r="D765" t="str">
        <f>IFERROR(IF(0=LEN(ReferenceData!$D$765),"",ReferenceData!$D$765),"")</f>
        <v>TOTAL_GHG_CO2_EMISSIONS</v>
      </c>
      <c r="E765" t="str">
        <f>IFERROR(IF(0=LEN(ReferenceData!$E$765),"",ReferenceData!$E$765),"")</f>
        <v>Dynamic</v>
      </c>
      <c r="F765">
        <f ca="1">IFERROR(IF(0=LEN(ReferenceData!$F$765),"",ReferenceData!$F$765),"")</f>
        <v>2.8969999999999998</v>
      </c>
      <c r="G765">
        <f ca="1">IFERROR(IF(0=LEN(ReferenceData!$G$765),"",ReferenceData!$G$765),"")</f>
        <v>2.96</v>
      </c>
      <c r="H765">
        <f ca="1">IFERROR(IF(0=LEN(ReferenceData!$H$765),"",ReferenceData!$H$765),"")</f>
        <v>3.0449999999999999</v>
      </c>
      <c r="I765">
        <f ca="1">IFERROR(IF(0=LEN(ReferenceData!$I$765),"",ReferenceData!$I$765),"")</f>
        <v>3.23</v>
      </c>
      <c r="J765">
        <f ca="1">IFERROR(IF(0=LEN(ReferenceData!$J$765),"",ReferenceData!$J$765),"")</f>
        <v>3.1880000000000002</v>
      </c>
    </row>
    <row r="766" spans="1:10" x14ac:dyDescent="0.25">
      <c r="A766" t="str">
        <f>IFERROR(IF(0=LEN(ReferenceData!$A$766),"",ReferenceData!$A$766),"")</f>
        <v xml:space="preserve">                    LANXESS AG</v>
      </c>
      <c r="B766" t="str">
        <f>IFERROR(IF(0=LEN(ReferenceData!$B$766),"",ReferenceData!$B$766),"")</f>
        <v>LXS GR Equity</v>
      </c>
      <c r="C766" t="str">
        <f>IFERROR(IF(0=LEN(ReferenceData!$C$766),"",ReferenceData!$C$766),"")</f>
        <v>F0946</v>
      </c>
      <c r="D766" t="str">
        <f>IFERROR(IF(0=LEN(ReferenceData!$D$766),"",ReferenceData!$D$766),"")</f>
        <v>TOTAL_GHG_CO2_EMISSIONS</v>
      </c>
      <c r="E766" t="str">
        <f>IFERROR(IF(0=LEN(ReferenceData!$E$766),"",ReferenceData!$E$766),"")</f>
        <v>Dynamic</v>
      </c>
      <c r="F766" t="str">
        <f ca="1">IFERROR(IF(0=LEN(ReferenceData!$F$766),"",ReferenceData!$F$766),"")</f>
        <v/>
      </c>
      <c r="G766">
        <f ca="1">IFERROR(IF(0=LEN(ReferenceData!$G$766),"",ReferenceData!$G$766),"")</f>
        <v>2.8460000000000001</v>
      </c>
      <c r="H766">
        <f ca="1">IFERROR(IF(0=LEN(ReferenceData!$H$766),"",ReferenceData!$H$766),"")</f>
        <v>2.9079999999999999</v>
      </c>
      <c r="I766">
        <f ca="1">IFERROR(IF(0=LEN(ReferenceData!$I$766),"",ReferenceData!$I$766),"")</f>
        <v>3.4929999999999999</v>
      </c>
      <c r="J766">
        <f ca="1">IFERROR(IF(0=LEN(ReferenceData!$J$766),"",ReferenceData!$J$766),"")</f>
        <v>5.7960000000000003</v>
      </c>
    </row>
    <row r="767" spans="1:10" x14ac:dyDescent="0.25">
      <c r="A767" t="str">
        <f>IFERROR(IF(0=LEN(ReferenceData!$A$767),"",ReferenceData!$A$767),"")</f>
        <v xml:space="preserve">                    LG Chem Ltd</v>
      </c>
      <c r="B767" t="str">
        <f>IFERROR(IF(0=LEN(ReferenceData!$B$767),"",ReferenceData!$B$767),"")</f>
        <v>051910 KS Equity</v>
      </c>
      <c r="C767" t="str">
        <f>IFERROR(IF(0=LEN(ReferenceData!$C$767),"",ReferenceData!$C$767),"")</f>
        <v>F0946</v>
      </c>
      <c r="D767" t="str">
        <f>IFERROR(IF(0=LEN(ReferenceData!$D$767),"",ReferenceData!$D$767),"")</f>
        <v>TOTAL_GHG_CO2_EMISSIONS</v>
      </c>
      <c r="E767" t="str">
        <f>IFERROR(IF(0=LEN(ReferenceData!$E$767),"",ReferenceData!$E$767),"")</f>
        <v>Dynamic</v>
      </c>
      <c r="F767" t="str">
        <f ca="1">IFERROR(IF(0=LEN(ReferenceData!$F$767),"",ReferenceData!$F$767),"")</f>
        <v/>
      </c>
      <c r="G767">
        <f ca="1">IFERROR(IF(0=LEN(ReferenceData!$G$767),"",ReferenceData!$G$767),"")</f>
        <v>10.339700199999999</v>
      </c>
      <c r="H767">
        <f ca="1">IFERROR(IF(0=LEN(ReferenceData!$H$767),"",ReferenceData!$H$767),"")</f>
        <v>9.5197802730000003</v>
      </c>
      <c r="I767">
        <f ca="1">IFERROR(IF(0=LEN(ReferenceData!$I$767),"",ReferenceData!$I$767),"")</f>
        <v>10.5832002</v>
      </c>
      <c r="J767">
        <f ca="1">IFERROR(IF(0=LEN(ReferenceData!$J$767),"",ReferenceData!$J$767),"")</f>
        <v>9.9878701169999999</v>
      </c>
    </row>
    <row r="768" spans="1:10" x14ac:dyDescent="0.25">
      <c r="A768" t="str">
        <f>IFERROR(IF(0=LEN(ReferenceData!$A$768),"",ReferenceData!$A$768),"")</f>
        <v xml:space="preserve">                    Lotte Chemical Corp</v>
      </c>
      <c r="B768" t="str">
        <f>IFERROR(IF(0=LEN(ReferenceData!$B$768),"",ReferenceData!$B$768),"")</f>
        <v>011170 KS Equity</v>
      </c>
      <c r="C768" t="str">
        <f>IFERROR(IF(0=LEN(ReferenceData!$C$768),"",ReferenceData!$C$768),"")</f>
        <v>F0946</v>
      </c>
      <c r="D768" t="str">
        <f>IFERROR(IF(0=LEN(ReferenceData!$D$768),"",ReferenceData!$D$768),"")</f>
        <v>TOTAL_GHG_CO2_EMISSIONS</v>
      </c>
      <c r="E768" t="str">
        <f>IFERROR(IF(0=LEN(ReferenceData!$E$768),"",ReferenceData!$E$768),"")</f>
        <v>Dynamic</v>
      </c>
      <c r="F768" t="str">
        <f ca="1">IFERROR(IF(0=LEN(ReferenceData!$F$768),"",ReferenceData!$F$768),"")</f>
        <v/>
      </c>
      <c r="G768">
        <f ca="1">IFERROR(IF(0=LEN(ReferenceData!$G$768),"",ReferenceData!$G$768),"")</f>
        <v>6.5421098630000003</v>
      </c>
      <c r="H768">
        <f ca="1">IFERROR(IF(0=LEN(ReferenceData!$H$768),"",ReferenceData!$H$768),"")</f>
        <v>5.5742700200000002</v>
      </c>
      <c r="I768">
        <f ca="1">IFERROR(IF(0=LEN(ReferenceData!$I$768),"",ReferenceData!$I$768),"")</f>
        <v>6.372649902</v>
      </c>
      <c r="J768">
        <f ca="1">IFERROR(IF(0=LEN(ReferenceData!$J$768),"",ReferenceData!$J$768),"")</f>
        <v>5.8812700199999997</v>
      </c>
    </row>
    <row r="769" spans="1:10" x14ac:dyDescent="0.25">
      <c r="A769" t="str">
        <f>IFERROR(IF(0=LEN(ReferenceData!$A$769),"",ReferenceData!$A$769),"")</f>
        <v xml:space="preserve">                    LyondellBasell Industries NV</v>
      </c>
      <c r="B769" t="str">
        <f>IFERROR(IF(0=LEN(ReferenceData!$B$769),"",ReferenceData!$B$769),"")</f>
        <v>LYB US Equity</v>
      </c>
      <c r="C769" t="str">
        <f>IFERROR(IF(0=LEN(ReferenceData!$C$769),"",ReferenceData!$C$769),"")</f>
        <v>F0946</v>
      </c>
      <c r="D769" t="str">
        <f>IFERROR(IF(0=LEN(ReferenceData!$D$769),"",ReferenceData!$D$769),"")</f>
        <v>TOTAL_GHG_CO2_EMISSIONS</v>
      </c>
      <c r="E769" t="str">
        <f>IFERROR(IF(0=LEN(ReferenceData!$E$769),"",ReferenceData!$E$769),"")</f>
        <v>Dynamic</v>
      </c>
      <c r="F769">
        <f ca="1">IFERROR(IF(0=LEN(ReferenceData!$F$769),"",ReferenceData!$F$769),"")</f>
        <v>21.7</v>
      </c>
      <c r="G769">
        <f ca="1">IFERROR(IF(0=LEN(ReferenceData!$G$769),"",ReferenceData!$G$769),"")</f>
        <v>23.301099610000001</v>
      </c>
      <c r="H769">
        <f ca="1">IFERROR(IF(0=LEN(ReferenceData!$H$769),"",ReferenceData!$H$769),"")</f>
        <v>24.28380078</v>
      </c>
      <c r="I769">
        <f ca="1">IFERROR(IF(0=LEN(ReferenceData!$I$769),"",ReferenceData!$I$769),"")</f>
        <v>23.170999999999999</v>
      </c>
      <c r="J769">
        <f ca="1">IFERROR(IF(0=LEN(ReferenceData!$J$769),"",ReferenceData!$J$769),"")</f>
        <v>23.379000000000001</v>
      </c>
    </row>
    <row r="770" spans="1:10" x14ac:dyDescent="0.25">
      <c r="A770" t="str">
        <f>IFERROR(IF(0=LEN(ReferenceData!$A$770),"",ReferenceData!$A$770),"")</f>
        <v xml:space="preserve">                    Luxi Chemical Group Co Ltd</v>
      </c>
      <c r="B770" t="str">
        <f>IFERROR(IF(0=LEN(ReferenceData!$B$770),"",ReferenceData!$B$770),"")</f>
        <v>000830 CH Equity</v>
      </c>
      <c r="C770" t="str">
        <f>IFERROR(IF(0=LEN(ReferenceData!$C$770),"",ReferenceData!$C$770),"")</f>
        <v>F0946</v>
      </c>
      <c r="D770" t="str">
        <f>IFERROR(IF(0=LEN(ReferenceData!$D$770),"",ReferenceData!$D$770),"")</f>
        <v>TOTAL_GHG_CO2_EMISSIONS</v>
      </c>
      <c r="E770" t="str">
        <f>IFERROR(IF(0=LEN(ReferenceData!$E$770),"",ReferenceData!$E$770),"")</f>
        <v>Dynamic</v>
      </c>
      <c r="F770" t="str">
        <f ca="1">IFERROR(IF(0=LEN(ReferenceData!$F$770),"",ReferenceData!$F$770),"")</f>
        <v/>
      </c>
      <c r="G770" t="str">
        <f ca="1">IFERROR(IF(0=LEN(ReferenceData!$G$770),"",ReferenceData!$G$770),"")</f>
        <v/>
      </c>
      <c r="H770" t="str">
        <f ca="1">IFERROR(IF(0=LEN(ReferenceData!$H$770),"",ReferenceData!$H$770),"")</f>
        <v/>
      </c>
      <c r="I770" t="str">
        <f ca="1">IFERROR(IF(0=LEN(ReferenceData!$I$770),"",ReferenceData!$I$770),"")</f>
        <v/>
      </c>
      <c r="J770" t="str">
        <f ca="1">IFERROR(IF(0=LEN(ReferenceData!$J$770),"",ReferenceData!$J$770),"")</f>
        <v/>
      </c>
    </row>
    <row r="771" spans="1:10" x14ac:dyDescent="0.25">
      <c r="A771" t="str">
        <f>IFERROR(IF(0=LEN(ReferenceData!$A$771),"",ReferenceData!$A$771),"")</f>
        <v xml:space="preserve">                    Mitsui Chemicals Inc</v>
      </c>
      <c r="B771" t="str">
        <f>IFERROR(IF(0=LEN(ReferenceData!$B$771),"",ReferenceData!$B$771),"")</f>
        <v>4183 JP Equity</v>
      </c>
      <c r="C771" t="str">
        <f>IFERROR(IF(0=LEN(ReferenceData!$C$771),"",ReferenceData!$C$771),"")</f>
        <v>F0946</v>
      </c>
      <c r="D771" t="str">
        <f>IFERROR(IF(0=LEN(ReferenceData!$D$771),"",ReferenceData!$D$771),"")</f>
        <v>TOTAL_GHG_CO2_EMISSIONS</v>
      </c>
      <c r="E771" t="str">
        <f>IFERROR(IF(0=LEN(ReferenceData!$E$771),"",ReferenceData!$E$771),"")</f>
        <v>Dynamic</v>
      </c>
      <c r="F771" t="str">
        <f ca="1">IFERROR(IF(0=LEN(ReferenceData!$F$771),"",ReferenceData!$F$771),"")</f>
        <v/>
      </c>
      <c r="G771">
        <f ca="1">IFERROR(IF(0=LEN(ReferenceData!$G$771),"",ReferenceData!$G$771),"")</f>
        <v>4.8730000000000002</v>
      </c>
      <c r="H771">
        <f ca="1">IFERROR(IF(0=LEN(ReferenceData!$H$771),"",ReferenceData!$H$771),"")</f>
        <v>4.9329999999999998</v>
      </c>
      <c r="I771">
        <f ca="1">IFERROR(IF(0=LEN(ReferenceData!$I$771),"",ReferenceData!$I$771),"")</f>
        <v>5.07</v>
      </c>
      <c r="J771">
        <f ca="1">IFERROR(IF(0=LEN(ReferenceData!$J$771),"",ReferenceData!$J$771),"")</f>
        <v>5.22</v>
      </c>
    </row>
    <row r="772" spans="1:10" x14ac:dyDescent="0.25">
      <c r="A772" t="str">
        <f>IFERROR(IF(0=LEN(ReferenceData!$A$772),"",ReferenceData!$A$772),"")</f>
        <v xml:space="preserve">                    Methanex Corp</v>
      </c>
      <c r="B772" t="str">
        <f>IFERROR(IF(0=LEN(ReferenceData!$B$772),"",ReferenceData!$B$772),"")</f>
        <v>MX CN Equity</v>
      </c>
      <c r="C772" t="str">
        <f>IFERROR(IF(0=LEN(ReferenceData!$C$772),"",ReferenceData!$C$772),"")</f>
        <v>F0946</v>
      </c>
      <c r="D772" t="str">
        <f>IFERROR(IF(0=LEN(ReferenceData!$D$772),"",ReferenceData!$D$772),"")</f>
        <v>TOTAL_GHG_CO2_EMISSIONS</v>
      </c>
      <c r="E772" t="str">
        <f>IFERROR(IF(0=LEN(ReferenceData!$E$772),"",ReferenceData!$E$772),"")</f>
        <v>Dynamic</v>
      </c>
      <c r="F772">
        <f ca="1">IFERROR(IF(0=LEN(ReferenceData!$F$772),"",ReferenceData!$F$772),"")</f>
        <v>3.9940000000000002</v>
      </c>
      <c r="G772">
        <f ca="1">IFERROR(IF(0=LEN(ReferenceData!$G$772),"",ReferenceData!$G$772),"")</f>
        <v>4.0640000000000001</v>
      </c>
      <c r="H772">
        <f ca="1">IFERROR(IF(0=LEN(ReferenceData!$H$772),"",ReferenceData!$H$772),"")</f>
        <v>3.9546000979999998</v>
      </c>
      <c r="I772">
        <f ca="1">IFERROR(IF(0=LEN(ReferenceData!$I$772),"",ReferenceData!$I$772),"")</f>
        <v>5.3918798829999997</v>
      </c>
      <c r="J772">
        <f ca="1">IFERROR(IF(0=LEN(ReferenceData!$J$772),"",ReferenceData!$J$772),"")</f>
        <v>4.9224799800000003</v>
      </c>
    </row>
    <row r="773" spans="1:10" x14ac:dyDescent="0.25">
      <c r="A773" t="str">
        <f>IFERROR(IF(0=LEN(ReferenceData!$A$773),"",ReferenceData!$A$773),"")</f>
        <v xml:space="preserve">                    Mitsubishi Chemical Group Corp</v>
      </c>
      <c r="B773" t="str">
        <f>IFERROR(IF(0=LEN(ReferenceData!$B$773),"",ReferenceData!$B$773),"")</f>
        <v>4188 JP Equity</v>
      </c>
      <c r="C773" t="str">
        <f>IFERROR(IF(0=LEN(ReferenceData!$C$773),"",ReferenceData!$C$773),"")</f>
        <v>F0946</v>
      </c>
      <c r="D773" t="str">
        <f>IFERROR(IF(0=LEN(ReferenceData!$D$773),"",ReferenceData!$D$773),"")</f>
        <v>TOTAL_GHG_CO2_EMISSIONS</v>
      </c>
      <c r="E773" t="str">
        <f>IFERROR(IF(0=LEN(ReferenceData!$E$773),"",ReferenceData!$E$773),"")</f>
        <v>Dynamic</v>
      </c>
      <c r="F773" t="str">
        <f ca="1">IFERROR(IF(0=LEN(ReferenceData!$F$773),"",ReferenceData!$F$773),"")</f>
        <v/>
      </c>
      <c r="G773">
        <f ca="1">IFERROR(IF(0=LEN(ReferenceData!$G$773),"",ReferenceData!$G$773),"")</f>
        <v>16.079000000000001</v>
      </c>
      <c r="H773">
        <f ca="1">IFERROR(IF(0=LEN(ReferenceData!$H$773),"",ReferenceData!$H$773),"")</f>
        <v>15.326000000000001</v>
      </c>
      <c r="I773">
        <f ca="1">IFERROR(IF(0=LEN(ReferenceData!$I$773),"",ReferenceData!$I$773),"")</f>
        <v>16.629000000000001</v>
      </c>
      <c r="J773">
        <f ca="1">IFERROR(IF(0=LEN(ReferenceData!$J$773),"",ReferenceData!$J$773),"")</f>
        <v>14.186999999999999</v>
      </c>
    </row>
    <row r="774" spans="1:10" x14ac:dyDescent="0.25">
      <c r="A774" t="str">
        <f>IFERROR(IF(0=LEN(ReferenceData!$A$774),"",ReferenceData!$A$774),"")</f>
        <v xml:space="preserve">                    Mitsubishi Gas Chemical Co Inc</v>
      </c>
      <c r="B774" t="str">
        <f>IFERROR(IF(0=LEN(ReferenceData!$B$774),"",ReferenceData!$B$774),"")</f>
        <v>4182 JP Equity</v>
      </c>
      <c r="C774" t="str">
        <f>IFERROR(IF(0=LEN(ReferenceData!$C$774),"",ReferenceData!$C$774),"")</f>
        <v>F0946</v>
      </c>
      <c r="D774" t="str">
        <f>IFERROR(IF(0=LEN(ReferenceData!$D$774),"",ReferenceData!$D$774),"")</f>
        <v>TOTAL_GHG_CO2_EMISSIONS</v>
      </c>
      <c r="E774" t="str">
        <f>IFERROR(IF(0=LEN(ReferenceData!$E$774),"",ReferenceData!$E$774),"")</f>
        <v>Dynamic</v>
      </c>
      <c r="F774" t="str">
        <f ca="1">IFERROR(IF(0=LEN(ReferenceData!$F$774),"",ReferenceData!$F$774),"")</f>
        <v/>
      </c>
      <c r="G774">
        <f ca="1">IFERROR(IF(0=LEN(ReferenceData!$G$774),"",ReferenceData!$G$774),"")</f>
        <v>1.5078299559999999</v>
      </c>
      <c r="H774">
        <f ca="1">IFERROR(IF(0=LEN(ReferenceData!$H$774),"",ReferenceData!$H$774),"")</f>
        <v>1.363890015</v>
      </c>
      <c r="I774" t="str">
        <f ca="1">IFERROR(IF(0=LEN(ReferenceData!$I$774),"",ReferenceData!$I$774),"")</f>
        <v/>
      </c>
      <c r="J774" t="str">
        <f ca="1">IFERROR(IF(0=LEN(ReferenceData!$J$774),"",ReferenceData!$J$774),"")</f>
        <v/>
      </c>
    </row>
    <row r="775" spans="1:10" x14ac:dyDescent="0.25">
      <c r="A775" t="str">
        <f>IFERROR(IF(0=LEN(ReferenceData!$A$775),"",ReferenceData!$A$775),"")</f>
        <v xml:space="preserve">                    Nan Ya Plastics Corp</v>
      </c>
      <c r="B775" t="str">
        <f>IFERROR(IF(0=LEN(ReferenceData!$B$775),"",ReferenceData!$B$775),"")</f>
        <v>1303 TT Equity</v>
      </c>
      <c r="C775" t="str">
        <f>IFERROR(IF(0=LEN(ReferenceData!$C$775),"",ReferenceData!$C$775),"")</f>
        <v>F0946</v>
      </c>
      <c r="D775" t="str">
        <f>IFERROR(IF(0=LEN(ReferenceData!$D$775),"",ReferenceData!$D$775),"")</f>
        <v>TOTAL_GHG_CO2_EMISSIONS</v>
      </c>
      <c r="E775" t="str">
        <f>IFERROR(IF(0=LEN(ReferenceData!$E$775),"",ReferenceData!$E$775),"")</f>
        <v>Dynamic</v>
      </c>
      <c r="F775" t="str">
        <f ca="1">IFERROR(IF(0=LEN(ReferenceData!$F$775),"",ReferenceData!$F$775),"")</f>
        <v/>
      </c>
      <c r="G775" t="str">
        <f ca="1">IFERROR(IF(0=LEN(ReferenceData!$G$775),"",ReferenceData!$G$775),"")</f>
        <v/>
      </c>
      <c r="H775">
        <f ca="1">IFERROR(IF(0=LEN(ReferenceData!$H$775),"",ReferenceData!$H$775),"")</f>
        <v>6.846850098</v>
      </c>
      <c r="I775" t="str">
        <f ca="1">IFERROR(IF(0=LEN(ReferenceData!$I$775),"",ReferenceData!$I$775),"")</f>
        <v/>
      </c>
      <c r="J775" t="str">
        <f ca="1">IFERROR(IF(0=LEN(ReferenceData!$J$775),"",ReferenceData!$J$775),"")</f>
        <v/>
      </c>
    </row>
    <row r="776" spans="1:10" x14ac:dyDescent="0.25">
      <c r="A776" t="str">
        <f>IFERROR(IF(0=LEN(ReferenceData!$A$776),"",ReferenceData!$A$776),"")</f>
        <v xml:space="preserve">                    Nippon Sanso Holdings Corp</v>
      </c>
      <c r="B776" t="str">
        <f>IFERROR(IF(0=LEN(ReferenceData!$B$776),"",ReferenceData!$B$776),"")</f>
        <v>4091 JP Equity</v>
      </c>
      <c r="C776" t="str">
        <f>IFERROR(IF(0=LEN(ReferenceData!$C$776),"",ReferenceData!$C$776),"")</f>
        <v>F0946</v>
      </c>
      <c r="D776" t="str">
        <f>IFERROR(IF(0=LEN(ReferenceData!$D$776),"",ReferenceData!$D$776),"")</f>
        <v>TOTAL_GHG_CO2_EMISSIONS</v>
      </c>
      <c r="E776" t="str">
        <f>IFERROR(IF(0=LEN(ReferenceData!$E$776),"",ReferenceData!$E$776),"")</f>
        <v>Dynamic</v>
      </c>
      <c r="F776" t="str">
        <f ca="1">IFERROR(IF(0=LEN(ReferenceData!$F$776),"",ReferenceData!$F$776),"")</f>
        <v/>
      </c>
      <c r="G776">
        <f ca="1">IFERROR(IF(0=LEN(ReferenceData!$G$776),"",ReferenceData!$G$776),"")</f>
        <v>5.9210000000000003</v>
      </c>
      <c r="H776">
        <f ca="1">IFERROR(IF(0=LEN(ReferenceData!$H$776),"",ReferenceData!$H$776),"")</f>
        <v>5.6509999999999998</v>
      </c>
      <c r="I776">
        <f ca="1">IFERROR(IF(0=LEN(ReferenceData!$I$776),"",ReferenceData!$I$776),"")</f>
        <v>5.8079999999999998</v>
      </c>
      <c r="J776">
        <f ca="1">IFERROR(IF(0=LEN(ReferenceData!$J$776),"",ReferenceData!$J$776),"")</f>
        <v>4.07</v>
      </c>
    </row>
    <row r="777" spans="1:10" x14ac:dyDescent="0.25">
      <c r="A777" t="str">
        <f>IFERROR(IF(0=LEN(ReferenceData!$A$777),"",ReferenceData!$A$777),"")</f>
        <v xml:space="preserve">                    Nippon Shokubai Co Ltd</v>
      </c>
      <c r="B777" t="str">
        <f>IFERROR(IF(0=LEN(ReferenceData!$B$777),"",ReferenceData!$B$777),"")</f>
        <v>4114 JP Equity</v>
      </c>
      <c r="C777" t="str">
        <f>IFERROR(IF(0=LEN(ReferenceData!$C$777),"",ReferenceData!$C$777),"")</f>
        <v>F0946</v>
      </c>
      <c r="D777" t="str">
        <f>IFERROR(IF(0=LEN(ReferenceData!$D$777),"",ReferenceData!$D$777),"")</f>
        <v>TOTAL_GHG_CO2_EMISSIONS</v>
      </c>
      <c r="E777" t="str">
        <f>IFERROR(IF(0=LEN(ReferenceData!$E$777),"",ReferenceData!$E$777),"")</f>
        <v>Dynamic</v>
      </c>
      <c r="F777" t="str">
        <f ca="1">IFERROR(IF(0=LEN(ReferenceData!$F$777),"",ReferenceData!$F$777),"")</f>
        <v/>
      </c>
      <c r="G777">
        <f ca="1">IFERROR(IF(0=LEN(ReferenceData!$G$777),"",ReferenceData!$G$777),"")</f>
        <v>1.147</v>
      </c>
      <c r="H777">
        <f ca="1">IFERROR(IF(0=LEN(ReferenceData!$H$777),"",ReferenceData!$H$777),"")</f>
        <v>1.1240000000000001</v>
      </c>
      <c r="I777">
        <f ca="1">IFERROR(IF(0=LEN(ReferenceData!$I$777),"",ReferenceData!$I$777),"")</f>
        <v>1.1319999999999999</v>
      </c>
      <c r="J777">
        <f ca="1">IFERROR(IF(0=LEN(ReferenceData!$J$777),"",ReferenceData!$J$777),"")</f>
        <v>1.157</v>
      </c>
    </row>
    <row r="778" spans="1:10" x14ac:dyDescent="0.25">
      <c r="A778" t="str">
        <f>IFERROR(IF(0=LEN(ReferenceData!$A$778),"",ReferenceData!$A$778),"")</f>
        <v xml:space="preserve">                    Orbia Advance Corp SAB de CV</v>
      </c>
      <c r="B778" t="str">
        <f>IFERROR(IF(0=LEN(ReferenceData!$B$778),"",ReferenceData!$B$778),"")</f>
        <v>ORBIA* MM Equity</v>
      </c>
      <c r="C778" t="str">
        <f>IFERROR(IF(0=LEN(ReferenceData!$C$778),"",ReferenceData!$C$778),"")</f>
        <v>F0946</v>
      </c>
      <c r="D778" t="str">
        <f>IFERROR(IF(0=LEN(ReferenceData!$D$778),"",ReferenceData!$D$778),"")</f>
        <v>TOTAL_GHG_CO2_EMISSIONS</v>
      </c>
      <c r="E778" t="str">
        <f>IFERROR(IF(0=LEN(ReferenceData!$E$778),"",ReferenceData!$E$778),"")</f>
        <v>Dynamic</v>
      </c>
      <c r="F778">
        <f ca="1">IFERROR(IF(0=LEN(ReferenceData!$F$778),"",ReferenceData!$F$778),"")</f>
        <v>1.611099976</v>
      </c>
      <c r="G778">
        <f ca="1">IFERROR(IF(0=LEN(ReferenceData!$G$778),"",ReferenceData!$G$778),"")</f>
        <v>1.963949951</v>
      </c>
      <c r="H778">
        <f ca="1">IFERROR(IF(0=LEN(ReferenceData!$H$778),"",ReferenceData!$H$778),"")</f>
        <v>1.9898299559999999</v>
      </c>
      <c r="I778">
        <f ca="1">IFERROR(IF(0=LEN(ReferenceData!$I$778),"",ReferenceData!$I$778),"")</f>
        <v>1.7070799560000001</v>
      </c>
      <c r="J778">
        <f ca="1">IFERROR(IF(0=LEN(ReferenceData!$J$778),"",ReferenceData!$J$778),"")</f>
        <v>1.7902399899999999</v>
      </c>
    </row>
    <row r="779" spans="1:10" x14ac:dyDescent="0.25">
      <c r="A779" t="str">
        <f>IFERROR(IF(0=LEN(ReferenceData!$A$779),"",ReferenceData!$A$779),"")</f>
        <v xml:space="preserve">                    Olin Corp</v>
      </c>
      <c r="B779" t="str">
        <f>IFERROR(IF(0=LEN(ReferenceData!$B$779),"",ReferenceData!$B$779),"")</f>
        <v>OLN US Equity</v>
      </c>
      <c r="C779" t="str">
        <f>IFERROR(IF(0=LEN(ReferenceData!$C$779),"",ReferenceData!$C$779),"")</f>
        <v>F0946</v>
      </c>
      <c r="D779" t="str">
        <f>IFERROR(IF(0=LEN(ReferenceData!$D$779),"",ReferenceData!$D$779),"")</f>
        <v>TOTAL_GHG_CO2_EMISSIONS</v>
      </c>
      <c r="E779" t="str">
        <f>IFERROR(IF(0=LEN(ReferenceData!$E$779),"",ReferenceData!$E$779),"")</f>
        <v>Dynamic</v>
      </c>
      <c r="F779">
        <f ca="1">IFERROR(IF(0=LEN(ReferenceData!$F$779),"",ReferenceData!$F$779),"")</f>
        <v>5.5</v>
      </c>
      <c r="G779">
        <f ca="1">IFERROR(IF(0=LEN(ReferenceData!$G$779),"",ReferenceData!$G$779),"")</f>
        <v>5.7</v>
      </c>
      <c r="H779" t="str">
        <f ca="1">IFERROR(IF(0=LEN(ReferenceData!$H$779),"",ReferenceData!$H$779),"")</f>
        <v/>
      </c>
      <c r="I779">
        <f ca="1">IFERROR(IF(0=LEN(ReferenceData!$I$779),"",ReferenceData!$I$779),"")</f>
        <v>6.7020498049999997</v>
      </c>
      <c r="J779" t="str">
        <f ca="1">IFERROR(IF(0=LEN(ReferenceData!$J$779),"",ReferenceData!$J$779),"")</f>
        <v/>
      </c>
    </row>
    <row r="780" spans="1:10" x14ac:dyDescent="0.25">
      <c r="A780" t="str">
        <f>IFERROR(IF(0=LEN(ReferenceData!$A$780),"",ReferenceData!$A$780),"")</f>
        <v xml:space="preserve">                    Petronas Chemicals Group Bhd</v>
      </c>
      <c r="B780" t="str">
        <f>IFERROR(IF(0=LEN(ReferenceData!$B$780),"",ReferenceData!$B$780),"")</f>
        <v>PCHEM MK Equity</v>
      </c>
      <c r="C780" t="str">
        <f>IFERROR(IF(0=LEN(ReferenceData!$C$780),"",ReferenceData!$C$780),"")</f>
        <v>F0946</v>
      </c>
      <c r="D780" t="str">
        <f>IFERROR(IF(0=LEN(ReferenceData!$D$780),"",ReferenceData!$D$780),"")</f>
        <v>TOTAL_GHG_CO2_EMISSIONS</v>
      </c>
      <c r="E780" t="str">
        <f>IFERROR(IF(0=LEN(ReferenceData!$E$780),"",ReferenceData!$E$780),"")</f>
        <v>Dynamic</v>
      </c>
      <c r="F780" t="str">
        <f ca="1">IFERROR(IF(0=LEN(ReferenceData!$F$780),"",ReferenceData!$F$780),"")</f>
        <v/>
      </c>
      <c r="G780">
        <f ca="1">IFERROR(IF(0=LEN(ReferenceData!$G$780),"",ReferenceData!$G$780),"")</f>
        <v>7</v>
      </c>
      <c r="H780">
        <f ca="1">IFERROR(IF(0=LEN(ReferenceData!$H$780),"",ReferenceData!$H$780),"")</f>
        <v>7.1</v>
      </c>
      <c r="I780">
        <f ca="1">IFERROR(IF(0=LEN(ReferenceData!$I$780),"",ReferenceData!$I$780),"")</f>
        <v>7.02</v>
      </c>
      <c r="J780">
        <f ca="1">IFERROR(IF(0=LEN(ReferenceData!$J$780),"",ReferenceData!$J$780),"")</f>
        <v>7.08</v>
      </c>
    </row>
    <row r="781" spans="1:10" x14ac:dyDescent="0.25">
      <c r="A781" t="str">
        <f>IFERROR(IF(0=LEN(ReferenceData!$A$781),"",ReferenceData!$A$781),"")</f>
        <v xml:space="preserve">                    PTT Global Chemical PCL</v>
      </c>
      <c r="B781" t="str">
        <f>IFERROR(IF(0=LEN(ReferenceData!$B$781),"",ReferenceData!$B$781),"")</f>
        <v>PTTGC TB Equity</v>
      </c>
      <c r="C781" t="str">
        <f>IFERROR(IF(0=LEN(ReferenceData!$C$781),"",ReferenceData!$C$781),"")</f>
        <v>F0946</v>
      </c>
      <c r="D781" t="str">
        <f>IFERROR(IF(0=LEN(ReferenceData!$D$781),"",ReferenceData!$D$781),"")</f>
        <v>TOTAL_GHG_CO2_EMISSIONS</v>
      </c>
      <c r="E781" t="str">
        <f>IFERROR(IF(0=LEN(ReferenceData!$E$781),"",ReferenceData!$E$781),"")</f>
        <v>Dynamic</v>
      </c>
      <c r="F781">
        <f ca="1">IFERROR(IF(0=LEN(ReferenceData!$F$781),"",ReferenceData!$F$781),"")</f>
        <v>6.476</v>
      </c>
      <c r="G781">
        <f ca="1">IFERROR(IF(0=LEN(ReferenceData!$G$781),"",ReferenceData!$G$781),"")</f>
        <v>6.7535498049999996</v>
      </c>
      <c r="H781">
        <f ca="1">IFERROR(IF(0=LEN(ReferenceData!$H$781),"",ReferenceData!$H$781),"")</f>
        <v>5.9</v>
      </c>
      <c r="I781">
        <f ca="1">IFERROR(IF(0=LEN(ReferenceData!$I$781),"",ReferenceData!$I$781),"")</f>
        <v>5.83</v>
      </c>
      <c r="J781">
        <f ca="1">IFERROR(IF(0=LEN(ReferenceData!$J$781),"",ReferenceData!$J$781),"")</f>
        <v>5.9263500980000003</v>
      </c>
    </row>
    <row r="782" spans="1:10" x14ac:dyDescent="0.25">
      <c r="A782" t="str">
        <f>IFERROR(IF(0=LEN(ReferenceData!$A$782),"",ReferenceData!$A$782),"")</f>
        <v xml:space="preserve">                    Petkim Petrokimya Holding AS</v>
      </c>
      <c r="B782" t="str">
        <f>IFERROR(IF(0=LEN(ReferenceData!$B$782),"",ReferenceData!$B$782),"")</f>
        <v>PETKMTRY EO Equity</v>
      </c>
      <c r="C782" t="str">
        <f>IFERROR(IF(0=LEN(ReferenceData!$C$782),"",ReferenceData!$C$782),"")</f>
        <v>F0946</v>
      </c>
      <c r="D782" t="str">
        <f>IFERROR(IF(0=LEN(ReferenceData!$D$782),"",ReferenceData!$D$782),"")</f>
        <v>TOTAL_GHG_CO2_EMISSIONS</v>
      </c>
      <c r="E782" t="str">
        <f>IFERROR(IF(0=LEN(ReferenceData!$E$782),"",ReferenceData!$E$782),"")</f>
        <v>Dynamic</v>
      </c>
      <c r="F782" t="str">
        <f ca="1">IFERROR(IF(0=LEN(ReferenceData!$F$782),"",ReferenceData!$F$782),"")</f>
        <v/>
      </c>
      <c r="G782" t="str">
        <f ca="1">IFERROR(IF(0=LEN(ReferenceData!$G$782),"",ReferenceData!$G$782),"")</f>
        <v/>
      </c>
      <c r="H782" t="str">
        <f ca="1">IFERROR(IF(0=LEN(ReferenceData!$H$782),"",ReferenceData!$H$782),"")</f>
        <v/>
      </c>
      <c r="I782" t="str">
        <f ca="1">IFERROR(IF(0=LEN(ReferenceData!$I$782),"",ReferenceData!$I$782),"")</f>
        <v/>
      </c>
      <c r="J782" t="str">
        <f ca="1">IFERROR(IF(0=LEN(ReferenceData!$J$782),"",ReferenceData!$J$782),"")</f>
        <v/>
      </c>
    </row>
    <row r="783" spans="1:10" x14ac:dyDescent="0.25">
      <c r="A783" t="str">
        <f>IFERROR(IF(0=LEN(ReferenceData!$A$783),"",ReferenceData!$A$783),"")</f>
        <v xml:space="preserve">                    Rongsheng Petrochemical Co Ltd</v>
      </c>
      <c r="B783" t="str">
        <f>IFERROR(IF(0=LEN(ReferenceData!$B$783),"",ReferenceData!$B$783),"")</f>
        <v>002493 CH Equity</v>
      </c>
      <c r="C783" t="str">
        <f>IFERROR(IF(0=LEN(ReferenceData!$C$783),"",ReferenceData!$C$783),"")</f>
        <v>F0946</v>
      </c>
      <c r="D783" t="str">
        <f>IFERROR(IF(0=LEN(ReferenceData!$D$783),"",ReferenceData!$D$783),"")</f>
        <v>TOTAL_GHG_CO2_EMISSIONS</v>
      </c>
      <c r="E783" t="str">
        <f>IFERROR(IF(0=LEN(ReferenceData!$E$783),"",ReferenceData!$E$783),"")</f>
        <v>Dynamic</v>
      </c>
      <c r="F783">
        <f ca="1">IFERROR(IF(0=LEN(ReferenceData!$F$783),"",ReferenceData!$F$783),"")</f>
        <v>33.616800779999998</v>
      </c>
      <c r="G783">
        <f ca="1">IFERROR(IF(0=LEN(ReferenceData!$G$783),"",ReferenceData!$G$783),"")</f>
        <v>107.86199999999999</v>
      </c>
      <c r="H783" t="str">
        <f ca="1">IFERROR(IF(0=LEN(ReferenceData!$H$783),"",ReferenceData!$H$783),"")</f>
        <v/>
      </c>
      <c r="I783" t="str">
        <f ca="1">IFERROR(IF(0=LEN(ReferenceData!$I$783),"",ReferenceData!$I$783),"")</f>
        <v/>
      </c>
      <c r="J783" t="str">
        <f ca="1">IFERROR(IF(0=LEN(ReferenceData!$J$783),"",ReferenceData!$J$783),"")</f>
        <v/>
      </c>
    </row>
    <row r="784" spans="1:10" x14ac:dyDescent="0.25">
      <c r="A784" t="str">
        <f>IFERROR(IF(0=LEN(ReferenceData!$A$784),"",ReferenceData!$A$784),"")</f>
        <v xml:space="preserve">                    Saudi Basic Industries Corp</v>
      </c>
      <c r="B784" t="str">
        <f>IFERROR(IF(0=LEN(ReferenceData!$B$784),"",ReferenceData!$B$784),"")</f>
        <v>SABIC AB Equity</v>
      </c>
      <c r="C784" t="str">
        <f>IFERROR(IF(0=LEN(ReferenceData!$C$784),"",ReferenceData!$C$784),"")</f>
        <v>F0946</v>
      </c>
      <c r="D784" t="str">
        <f>IFERROR(IF(0=LEN(ReferenceData!$D$784),"",ReferenceData!$D$784),"")</f>
        <v>TOTAL_GHG_CO2_EMISSIONS</v>
      </c>
      <c r="E784" t="str">
        <f>IFERROR(IF(0=LEN(ReferenceData!$E$784),"",ReferenceData!$E$784),"")</f>
        <v>Dynamic</v>
      </c>
      <c r="F784">
        <f ca="1">IFERROR(IF(0=LEN(ReferenceData!$F$784),"",ReferenceData!$F$784),"")</f>
        <v>52.413398440000002</v>
      </c>
      <c r="G784">
        <f ca="1">IFERROR(IF(0=LEN(ReferenceData!$G$784),"",ReferenceData!$G$784),"")</f>
        <v>51.119</v>
      </c>
      <c r="H784">
        <f ca="1">IFERROR(IF(0=LEN(ReferenceData!$H$784),"",ReferenceData!$H$784),"")</f>
        <v>54.261800780000002</v>
      </c>
      <c r="I784">
        <f ca="1">IFERROR(IF(0=LEN(ReferenceData!$I$784),"",ReferenceData!$I$784),"")</f>
        <v>55</v>
      </c>
      <c r="J784">
        <f ca="1">IFERROR(IF(0=LEN(ReferenceData!$J$784),"",ReferenceData!$J$784),"")</f>
        <v>57</v>
      </c>
    </row>
    <row r="785" spans="1:10" x14ac:dyDescent="0.25">
      <c r="A785" t="str">
        <f>IFERROR(IF(0=LEN(ReferenceData!$A$785),"",ReferenceData!$A$785),"")</f>
        <v xml:space="preserve">                    Saudi Kayan Petrochemical Co</v>
      </c>
      <c r="B785" t="str">
        <f>IFERROR(IF(0=LEN(ReferenceData!$B$785),"",ReferenceData!$B$785),"")</f>
        <v>KAYAN AB Equity</v>
      </c>
      <c r="C785" t="str">
        <f>IFERROR(IF(0=LEN(ReferenceData!$C$785),"",ReferenceData!$C$785),"")</f>
        <v>F0946</v>
      </c>
      <c r="D785" t="str">
        <f>IFERROR(IF(0=LEN(ReferenceData!$D$785),"",ReferenceData!$D$785),"")</f>
        <v>TOTAL_GHG_CO2_EMISSIONS</v>
      </c>
      <c r="E785" t="str">
        <f>IFERROR(IF(0=LEN(ReferenceData!$E$785),"",ReferenceData!$E$785),"")</f>
        <v>Dynamic</v>
      </c>
      <c r="F785">
        <f ca="1">IFERROR(IF(0=LEN(ReferenceData!$F$785),"",ReferenceData!$F$785),"")</f>
        <v>5.5</v>
      </c>
      <c r="G785" t="str">
        <f ca="1">IFERROR(IF(0=LEN(ReferenceData!$G$785),"",ReferenceData!$G$785),"")</f>
        <v/>
      </c>
      <c r="H785" t="str">
        <f ca="1">IFERROR(IF(0=LEN(ReferenceData!$H$785),"",ReferenceData!$H$785),"")</f>
        <v/>
      </c>
      <c r="I785" t="str">
        <f ca="1">IFERROR(IF(0=LEN(ReferenceData!$I$785),"",ReferenceData!$I$785),"")</f>
        <v/>
      </c>
      <c r="J785" t="str">
        <f ca="1">IFERROR(IF(0=LEN(ReferenceData!$J$785),"",ReferenceData!$J$785),"")</f>
        <v/>
      </c>
    </row>
    <row r="786" spans="1:10" x14ac:dyDescent="0.25">
      <c r="A786" t="str">
        <f>IFERROR(IF(0=LEN(ReferenceData!$A$786),"",ReferenceData!$A$786),"")</f>
        <v xml:space="preserve">                    Shandong Hualu Hengsheng Chemi</v>
      </c>
      <c r="B786" t="str">
        <f>IFERROR(IF(0=LEN(ReferenceData!$B$786),"",ReferenceData!$B$786),"")</f>
        <v>600426 CH Equity</v>
      </c>
      <c r="C786" t="str">
        <f>IFERROR(IF(0=LEN(ReferenceData!$C$786),"",ReferenceData!$C$786),"")</f>
        <v>F0946</v>
      </c>
      <c r="D786" t="str">
        <f>IFERROR(IF(0=LEN(ReferenceData!$D$786),"",ReferenceData!$D$786),"")</f>
        <v>TOTAL_GHG_CO2_EMISSIONS</v>
      </c>
      <c r="E786" t="str">
        <f>IFERROR(IF(0=LEN(ReferenceData!$E$786),"",ReferenceData!$E$786),"")</f>
        <v>Dynamic</v>
      </c>
      <c r="F786" t="str">
        <f ca="1">IFERROR(IF(0=LEN(ReferenceData!$F$786),"",ReferenceData!$F$786),"")</f>
        <v/>
      </c>
      <c r="G786" t="str">
        <f ca="1">IFERROR(IF(0=LEN(ReferenceData!$G$786),"",ReferenceData!$G$786),"")</f>
        <v/>
      </c>
      <c r="H786" t="str">
        <f ca="1">IFERROR(IF(0=LEN(ReferenceData!$H$786),"",ReferenceData!$H$786),"")</f>
        <v/>
      </c>
      <c r="I786" t="str">
        <f ca="1">IFERROR(IF(0=LEN(ReferenceData!$I$786),"",ReferenceData!$I$786),"")</f>
        <v/>
      </c>
      <c r="J786" t="str">
        <f ca="1">IFERROR(IF(0=LEN(ReferenceData!$J$786),"",ReferenceData!$J$786),"")</f>
        <v/>
      </c>
    </row>
    <row r="787" spans="1:10" x14ac:dyDescent="0.25">
      <c r="A787" t="str">
        <f>IFERROR(IF(0=LEN(ReferenceData!$A$787),"",ReferenceData!$A$787),"")</f>
        <v xml:space="preserve">                    Sinopec Shanghai Petrochemical</v>
      </c>
      <c r="B787" t="str">
        <f>IFERROR(IF(0=LEN(ReferenceData!$B$787),"",ReferenceData!$B$787),"")</f>
        <v>338 HK Equity</v>
      </c>
      <c r="C787" t="str">
        <f>IFERROR(IF(0=LEN(ReferenceData!$C$787),"",ReferenceData!$C$787),"")</f>
        <v>F0946</v>
      </c>
      <c r="D787" t="str">
        <f>IFERROR(IF(0=LEN(ReferenceData!$D$787),"",ReferenceData!$D$787),"")</f>
        <v>TOTAL_GHG_CO2_EMISSIONS</v>
      </c>
      <c r="E787" t="str">
        <f>IFERROR(IF(0=LEN(ReferenceData!$E$787),"",ReferenceData!$E$787),"")</f>
        <v>Dynamic</v>
      </c>
      <c r="F787">
        <f ca="1">IFERROR(IF(0=LEN(ReferenceData!$F$787),"",ReferenceData!$F$787),"")</f>
        <v>8.3544003910000004</v>
      </c>
      <c r="G787">
        <f ca="1">IFERROR(IF(0=LEN(ReferenceData!$G$787),"",ReferenceData!$G$787),"")</f>
        <v>9.4674999999999994</v>
      </c>
      <c r="H787">
        <f ca="1">IFERROR(IF(0=LEN(ReferenceData!$H$787),"",ReferenceData!$H$787),"")</f>
        <v>170.94</v>
      </c>
      <c r="I787">
        <f ca="1">IFERROR(IF(0=LEN(ReferenceData!$I$787),"",ReferenceData!$I$787),"")</f>
        <v>170.69</v>
      </c>
      <c r="J787">
        <f ca="1">IFERROR(IF(0=LEN(ReferenceData!$J$787),"",ReferenceData!$J$787),"")</f>
        <v>171.52</v>
      </c>
    </row>
    <row r="788" spans="1:10" x14ac:dyDescent="0.25">
      <c r="A788" t="str">
        <f>IFERROR(IF(0=LEN(ReferenceData!$A$788),"",ReferenceData!$A$788),"")</f>
        <v xml:space="preserve">                    SKC Co Ltd</v>
      </c>
      <c r="B788" t="str">
        <f>IFERROR(IF(0=LEN(ReferenceData!$B$788),"",ReferenceData!$B$788),"")</f>
        <v>011790 KS Equity</v>
      </c>
      <c r="C788" t="str">
        <f>IFERROR(IF(0=LEN(ReferenceData!$C$788),"",ReferenceData!$C$788),"")</f>
        <v>F0946</v>
      </c>
      <c r="D788" t="str">
        <f>IFERROR(IF(0=LEN(ReferenceData!$D$788),"",ReferenceData!$D$788),"")</f>
        <v>TOTAL_GHG_CO2_EMISSIONS</v>
      </c>
      <c r="E788" t="str">
        <f>IFERROR(IF(0=LEN(ReferenceData!$E$788),"",ReferenceData!$E$788),"")</f>
        <v>Dynamic</v>
      </c>
      <c r="F788" t="str">
        <f ca="1">IFERROR(IF(0=LEN(ReferenceData!$F$788),"",ReferenceData!$F$788),"")</f>
        <v/>
      </c>
      <c r="G788">
        <f ca="1">IFERROR(IF(0=LEN(ReferenceData!$G$788),"",ReferenceData!$G$788),"")</f>
        <v>1.0763499759999999</v>
      </c>
      <c r="H788">
        <f ca="1">IFERROR(IF(0=LEN(ReferenceData!$H$788),"",ReferenceData!$H$788),"")</f>
        <v>1.704819946</v>
      </c>
      <c r="I788" t="str">
        <f ca="1">IFERROR(IF(0=LEN(ReferenceData!$I$788),"",ReferenceData!$I$788),"")</f>
        <v/>
      </c>
      <c r="J788" t="str">
        <f ca="1">IFERROR(IF(0=LEN(ReferenceData!$J$788),"",ReferenceData!$J$788),"")</f>
        <v/>
      </c>
    </row>
    <row r="789" spans="1:10" x14ac:dyDescent="0.25">
      <c r="A789" t="str">
        <f>IFERROR(IF(0=LEN(ReferenceData!$A$789),"",ReferenceData!$A$789),"")</f>
        <v xml:space="preserve">                    Sahara International Petrochem</v>
      </c>
      <c r="B789" t="str">
        <f>IFERROR(IF(0=LEN(ReferenceData!$B$789),"",ReferenceData!$B$789),"")</f>
        <v>SIPCHEM AB Equity</v>
      </c>
      <c r="C789" t="str">
        <f>IFERROR(IF(0=LEN(ReferenceData!$C$789),"",ReferenceData!$C$789),"")</f>
        <v>F0946</v>
      </c>
      <c r="D789" t="str">
        <f>IFERROR(IF(0=LEN(ReferenceData!$D$789),"",ReferenceData!$D$789),"")</f>
        <v>TOTAL_GHG_CO2_EMISSIONS</v>
      </c>
      <c r="E789" t="str">
        <f>IFERROR(IF(0=LEN(ReferenceData!$E$789),"",ReferenceData!$E$789),"")</f>
        <v>Dynamic</v>
      </c>
      <c r="F789" t="str">
        <f ca="1">IFERROR(IF(0=LEN(ReferenceData!$F$789),"",ReferenceData!$F$789),"")</f>
        <v/>
      </c>
      <c r="G789" t="str">
        <f ca="1">IFERROR(IF(0=LEN(ReferenceData!$G$789),"",ReferenceData!$G$789),"")</f>
        <v/>
      </c>
      <c r="H789" t="str">
        <f ca="1">IFERROR(IF(0=LEN(ReferenceData!$H$789),"",ReferenceData!$H$789),"")</f>
        <v/>
      </c>
      <c r="I789">
        <f ca="1">IFERROR(IF(0=LEN(ReferenceData!$I$789),"",ReferenceData!$I$789),"")</f>
        <v>3.4708400880000001</v>
      </c>
      <c r="J789" t="str">
        <f ca="1">IFERROR(IF(0=LEN(ReferenceData!$J$789),"",ReferenceData!$J$789),"")</f>
        <v/>
      </c>
    </row>
    <row r="790" spans="1:10" x14ac:dyDescent="0.25">
      <c r="A790" t="str">
        <f>IFERROR(IF(0=LEN(ReferenceData!$A$790),"",ReferenceData!$A$790),"")</f>
        <v xml:space="preserve">                    Resonac Holdings Corp</v>
      </c>
      <c r="B790" t="str">
        <f>IFERROR(IF(0=LEN(ReferenceData!$B$790),"",ReferenceData!$B$790),"")</f>
        <v>4004 JP Equity</v>
      </c>
      <c r="C790" t="str">
        <f>IFERROR(IF(0=LEN(ReferenceData!$C$790),"",ReferenceData!$C$790),"")</f>
        <v>F0946</v>
      </c>
      <c r="D790" t="str">
        <f>IFERROR(IF(0=LEN(ReferenceData!$D$790),"",ReferenceData!$D$790),"")</f>
        <v>TOTAL_GHG_CO2_EMISSIONS</v>
      </c>
      <c r="E790" t="str">
        <f>IFERROR(IF(0=LEN(ReferenceData!$E$790),"",ReferenceData!$E$790),"")</f>
        <v>Dynamic</v>
      </c>
      <c r="F790" t="str">
        <f ca="1">IFERROR(IF(0=LEN(ReferenceData!$F$790),"",ReferenceData!$F$790),"")</f>
        <v/>
      </c>
      <c r="G790">
        <f ca="1">IFERROR(IF(0=LEN(ReferenceData!$G$790),"",ReferenceData!$G$790),"")</f>
        <v>3.2890000000000001</v>
      </c>
      <c r="H790">
        <f ca="1">IFERROR(IF(0=LEN(ReferenceData!$H$790),"",ReferenceData!$H$790),"")</f>
        <v>3.306</v>
      </c>
      <c r="I790">
        <f ca="1">IFERROR(IF(0=LEN(ReferenceData!$I$790),"",ReferenceData!$I$790),"")</f>
        <v>3.419</v>
      </c>
      <c r="J790">
        <f ca="1">IFERROR(IF(0=LEN(ReferenceData!$J$790),"",ReferenceData!$J$790),"")</f>
        <v>3.4180000000000001</v>
      </c>
    </row>
    <row r="791" spans="1:10" x14ac:dyDescent="0.25">
      <c r="A791" t="str">
        <f>IFERROR(IF(0=LEN(ReferenceData!$A$791),"",ReferenceData!$A$791),"")</f>
        <v xml:space="preserve">                    Solvay SA</v>
      </c>
      <c r="B791" t="str">
        <f>IFERROR(IF(0=LEN(ReferenceData!$B$791),"",ReferenceData!$B$791),"")</f>
        <v>SOLB BB Equity</v>
      </c>
      <c r="C791" t="str">
        <f>IFERROR(IF(0=LEN(ReferenceData!$C$791),"",ReferenceData!$C$791),"")</f>
        <v>F0946</v>
      </c>
      <c r="D791" t="str">
        <f>IFERROR(IF(0=LEN(ReferenceData!$D$791),"",ReferenceData!$D$791),"")</f>
        <v>TOTAL_GHG_CO2_EMISSIONS</v>
      </c>
      <c r="E791" t="str">
        <f>IFERROR(IF(0=LEN(ReferenceData!$E$791),"",ReferenceData!$E$791),"")</f>
        <v>Dynamic</v>
      </c>
      <c r="F791" t="str">
        <f ca="1">IFERROR(IF(0=LEN(ReferenceData!$F$791),"",ReferenceData!$F$791),"")</f>
        <v/>
      </c>
      <c r="G791">
        <f ca="1">IFERROR(IF(0=LEN(ReferenceData!$G$791),"",ReferenceData!$G$791),"")</f>
        <v>11.224</v>
      </c>
      <c r="H791">
        <f ca="1">IFERROR(IF(0=LEN(ReferenceData!$H$791),"",ReferenceData!$H$791),"")</f>
        <v>10.3</v>
      </c>
      <c r="I791">
        <f ca="1">IFERROR(IF(0=LEN(ReferenceData!$I$791),"",ReferenceData!$I$791),"")</f>
        <v>12.09</v>
      </c>
      <c r="J791">
        <f ca="1">IFERROR(IF(0=LEN(ReferenceData!$J$791),"",ReferenceData!$J$791),"")</f>
        <v>12.35</v>
      </c>
    </row>
    <row r="792" spans="1:10" x14ac:dyDescent="0.25">
      <c r="A792" t="str">
        <f>IFERROR(IF(0=LEN(ReferenceData!$A$792),"",ReferenceData!$A$792),"")</f>
        <v xml:space="preserve">                    Sumitomo Chemical Co Ltd</v>
      </c>
      <c r="B792" t="str">
        <f>IFERROR(IF(0=LEN(ReferenceData!$B$792),"",ReferenceData!$B$792),"")</f>
        <v>4005 JP Equity</v>
      </c>
      <c r="C792" t="str">
        <f>IFERROR(IF(0=LEN(ReferenceData!$C$792),"",ReferenceData!$C$792),"")</f>
        <v>F0946</v>
      </c>
      <c r="D792" t="str">
        <f>IFERROR(IF(0=LEN(ReferenceData!$D$792),"",ReferenceData!$D$792),"")</f>
        <v>TOTAL_GHG_CO2_EMISSIONS</v>
      </c>
      <c r="E792" t="str">
        <f>IFERROR(IF(0=LEN(ReferenceData!$E$792),"",ReferenceData!$E$792),"")</f>
        <v>Dynamic</v>
      </c>
      <c r="F792" t="str">
        <f ca="1">IFERROR(IF(0=LEN(ReferenceData!$F$792),"",ReferenceData!$F$792),"")</f>
        <v/>
      </c>
      <c r="G792">
        <f ca="1">IFERROR(IF(0=LEN(ReferenceData!$G$792),"",ReferenceData!$G$792),"")</f>
        <v>7.6479999999999997</v>
      </c>
      <c r="H792">
        <f ca="1">IFERROR(IF(0=LEN(ReferenceData!$H$792),"",ReferenceData!$H$792),"")</f>
        <v>7.5083701170000001</v>
      </c>
      <c r="I792">
        <f ca="1">IFERROR(IF(0=LEN(ReferenceData!$I$792),"",ReferenceData!$I$792),"")</f>
        <v>7.2169999999999996</v>
      </c>
      <c r="J792">
        <f ca="1">IFERROR(IF(0=LEN(ReferenceData!$J$792),"",ReferenceData!$J$792),"")</f>
        <v>7.258</v>
      </c>
    </row>
    <row r="793" spans="1:10" x14ac:dyDescent="0.25">
      <c r="A793" t="str">
        <f>IFERROR(IF(0=LEN(ReferenceData!$A$793),"",ReferenceData!$A$793),"")</f>
        <v xml:space="preserve">                    Tangshan Sanyou Chemical Indus</v>
      </c>
      <c r="B793" t="str">
        <f>IFERROR(IF(0=LEN(ReferenceData!$B$793),"",ReferenceData!$B$793),"")</f>
        <v>600409 CH Equity</v>
      </c>
      <c r="C793" t="str">
        <f>IFERROR(IF(0=LEN(ReferenceData!$C$793),"",ReferenceData!$C$793),"")</f>
        <v>F0946</v>
      </c>
      <c r="D793" t="str">
        <f>IFERROR(IF(0=LEN(ReferenceData!$D$793),"",ReferenceData!$D$793),"")</f>
        <v>TOTAL_GHG_CO2_EMISSIONS</v>
      </c>
      <c r="E793" t="str">
        <f>IFERROR(IF(0=LEN(ReferenceData!$E$793),"",ReferenceData!$E$793),"")</f>
        <v>Dynamic</v>
      </c>
      <c r="F793" t="str">
        <f ca="1">IFERROR(IF(0=LEN(ReferenceData!$F$793),"",ReferenceData!$F$793),"")</f>
        <v/>
      </c>
      <c r="G793" t="str">
        <f ca="1">IFERROR(IF(0=LEN(ReferenceData!$G$793),"",ReferenceData!$G$793),"")</f>
        <v/>
      </c>
      <c r="H793" t="str">
        <f ca="1">IFERROR(IF(0=LEN(ReferenceData!$H$793),"",ReferenceData!$H$793),"")</f>
        <v/>
      </c>
      <c r="I793" t="str">
        <f ca="1">IFERROR(IF(0=LEN(ReferenceData!$I$793),"",ReferenceData!$I$793),"")</f>
        <v/>
      </c>
      <c r="J793" t="str">
        <f ca="1">IFERROR(IF(0=LEN(ReferenceData!$J$793),"",ReferenceData!$J$793),"")</f>
        <v/>
      </c>
    </row>
    <row r="794" spans="1:10" x14ac:dyDescent="0.25">
      <c r="A794" t="str">
        <f>IFERROR(IF(0=LEN(ReferenceData!$A$794),"",ReferenceData!$A$794),"")</f>
        <v xml:space="preserve">                    Tata Chemicals Ltd</v>
      </c>
      <c r="B794" t="str">
        <f>IFERROR(IF(0=LEN(ReferenceData!$B$794),"",ReferenceData!$B$794),"")</f>
        <v>TTCH IN Equity</v>
      </c>
      <c r="C794" t="str">
        <f>IFERROR(IF(0=LEN(ReferenceData!$C$794),"",ReferenceData!$C$794),"")</f>
        <v>F0946</v>
      </c>
      <c r="D794" t="str">
        <f>IFERROR(IF(0=LEN(ReferenceData!$D$794),"",ReferenceData!$D$794),"")</f>
        <v>TOTAL_GHG_CO2_EMISSIONS</v>
      </c>
      <c r="E794" t="str">
        <f>IFERROR(IF(0=LEN(ReferenceData!$E$794),"",ReferenceData!$E$794),"")</f>
        <v>Dynamic</v>
      </c>
      <c r="F794" t="str">
        <f ca="1">IFERROR(IF(0=LEN(ReferenceData!$F$794),"",ReferenceData!$F$794),"")</f>
        <v/>
      </c>
      <c r="G794">
        <f ca="1">IFERROR(IF(0=LEN(ReferenceData!$G$794),"",ReferenceData!$G$794),"")</f>
        <v>2.3684199220000002</v>
      </c>
      <c r="H794">
        <f ca="1">IFERROR(IF(0=LEN(ReferenceData!$H$794),"",ReferenceData!$H$794),"")</f>
        <v>6.284649902</v>
      </c>
      <c r="I794">
        <f ca="1">IFERROR(IF(0=LEN(ReferenceData!$I$794),"",ReferenceData!$I$794),"")</f>
        <v>4.4887001949999998</v>
      </c>
      <c r="J794">
        <f ca="1">IFERROR(IF(0=LEN(ReferenceData!$J$794),"",ReferenceData!$J$794),"")</f>
        <v>4.3603598630000002</v>
      </c>
    </row>
    <row r="795" spans="1:10" x14ac:dyDescent="0.25">
      <c r="A795" t="str">
        <f>IFERROR(IF(0=LEN(ReferenceData!$A$795),"",ReferenceData!$A$795),"")</f>
        <v xml:space="preserve">                    TSRC Corp</v>
      </c>
      <c r="B795" t="str">
        <f>IFERROR(IF(0=LEN(ReferenceData!$B$795),"",ReferenceData!$B$795),"")</f>
        <v>2103 TT Equity</v>
      </c>
      <c r="C795" t="str">
        <f>IFERROR(IF(0=LEN(ReferenceData!$C$795),"",ReferenceData!$C$795),"")</f>
        <v>F0946</v>
      </c>
      <c r="D795" t="str">
        <f>IFERROR(IF(0=LEN(ReferenceData!$D$795),"",ReferenceData!$D$795),"")</f>
        <v>TOTAL_GHG_CO2_EMISSIONS</v>
      </c>
      <c r="E795" t="str">
        <f>IFERROR(IF(0=LEN(ReferenceData!$E$795),"",ReferenceData!$E$795),"")</f>
        <v>Dynamic</v>
      </c>
      <c r="F795" t="str">
        <f ca="1">IFERROR(IF(0=LEN(ReferenceData!$F$795),"",ReferenceData!$F$795),"")</f>
        <v/>
      </c>
      <c r="G795">
        <f ca="1">IFERROR(IF(0=LEN(ReferenceData!$G$795),"",ReferenceData!$G$795),"")</f>
        <v>0.571197022</v>
      </c>
      <c r="H795">
        <f ca="1">IFERROR(IF(0=LEN(ReferenceData!$H$795),"",ReferenceData!$H$795),"")</f>
        <v>0.61506500200000003</v>
      </c>
      <c r="I795">
        <f ca="1">IFERROR(IF(0=LEN(ReferenceData!$I$795),"",ReferenceData!$I$795),"")</f>
        <v>0.59791998300000004</v>
      </c>
      <c r="J795">
        <f ca="1">IFERROR(IF(0=LEN(ReferenceData!$J$795),"",ReferenceData!$J$795),"")</f>
        <v>0.58100897200000001</v>
      </c>
    </row>
    <row r="796" spans="1:10" x14ac:dyDescent="0.25">
      <c r="A796" t="str">
        <f>IFERROR(IF(0=LEN(ReferenceData!$A$796),"",ReferenceData!$A$796),"")</f>
        <v xml:space="preserve">                    Tokai Carbon Co Ltd</v>
      </c>
      <c r="B796" t="str">
        <f>IFERROR(IF(0=LEN(ReferenceData!$B$796),"",ReferenceData!$B$796),"")</f>
        <v>5301 JP Equity</v>
      </c>
      <c r="C796" t="str">
        <f>IFERROR(IF(0=LEN(ReferenceData!$C$796),"",ReferenceData!$C$796),"")</f>
        <v>F0946</v>
      </c>
      <c r="D796" t="str">
        <f>IFERROR(IF(0=LEN(ReferenceData!$D$796),"",ReferenceData!$D$796),"")</f>
        <v>TOTAL_GHG_CO2_EMISSIONS</v>
      </c>
      <c r="E796" t="str">
        <f>IFERROR(IF(0=LEN(ReferenceData!$E$796),"",ReferenceData!$E$796),"")</f>
        <v>Dynamic</v>
      </c>
      <c r="F796" t="str">
        <f ca="1">IFERROR(IF(0=LEN(ReferenceData!$F$796),"",ReferenceData!$F$796),"")</f>
        <v/>
      </c>
      <c r="G796">
        <f ca="1">IFERROR(IF(0=LEN(ReferenceData!$G$796),"",ReferenceData!$G$796),"")</f>
        <v>2.4089999999999998</v>
      </c>
      <c r="H796">
        <f ca="1">IFERROR(IF(0=LEN(ReferenceData!$H$796),"",ReferenceData!$H$796),"")</f>
        <v>2.2309999999999999</v>
      </c>
      <c r="I796">
        <f ca="1">IFERROR(IF(0=LEN(ReferenceData!$I$796),"",ReferenceData!$I$796),"")</f>
        <v>2.6869999999999998</v>
      </c>
      <c r="J796">
        <f ca="1">IFERROR(IF(0=LEN(ReferenceData!$J$796),"",ReferenceData!$J$796),"")</f>
        <v>3.056</v>
      </c>
    </row>
    <row r="797" spans="1:10" x14ac:dyDescent="0.25">
      <c r="A797" t="str">
        <f>IFERROR(IF(0=LEN(ReferenceData!$A$797),"",ReferenceData!$A$797),"")</f>
        <v xml:space="preserve">                    Tokuyama Corp</v>
      </c>
      <c r="B797" t="str">
        <f>IFERROR(IF(0=LEN(ReferenceData!$B$797),"",ReferenceData!$B$797),"")</f>
        <v>4043 JP Equity</v>
      </c>
      <c r="C797" t="str">
        <f>IFERROR(IF(0=LEN(ReferenceData!$C$797),"",ReferenceData!$C$797),"")</f>
        <v>F0946</v>
      </c>
      <c r="D797" t="str">
        <f>IFERROR(IF(0=LEN(ReferenceData!$D$797),"",ReferenceData!$D$797),"")</f>
        <v>TOTAL_GHG_CO2_EMISSIONS</v>
      </c>
      <c r="E797" t="str">
        <f>IFERROR(IF(0=LEN(ReferenceData!$E$797),"",ReferenceData!$E$797),"")</f>
        <v>Dynamic</v>
      </c>
      <c r="F797" t="str">
        <f ca="1">IFERROR(IF(0=LEN(ReferenceData!$F$797),"",ReferenceData!$F$797),"")</f>
        <v/>
      </c>
      <c r="G797">
        <f ca="1">IFERROR(IF(0=LEN(ReferenceData!$G$797),"",ReferenceData!$G$797),"")</f>
        <v>6.53</v>
      </c>
      <c r="H797">
        <f ca="1">IFERROR(IF(0=LEN(ReferenceData!$H$797),"",ReferenceData!$H$797),"")</f>
        <v>6.49</v>
      </c>
      <c r="I797">
        <f ca="1">IFERROR(IF(0=LEN(ReferenceData!$I$797),"",ReferenceData!$I$797),"")</f>
        <v>6.76</v>
      </c>
      <c r="J797">
        <f ca="1">IFERROR(IF(0=LEN(ReferenceData!$J$797),"",ReferenceData!$J$797),"")</f>
        <v>6.7</v>
      </c>
    </row>
    <row r="798" spans="1:10" x14ac:dyDescent="0.25">
      <c r="A798" t="str">
        <f>IFERROR(IF(0=LEN(ReferenceData!$A$798),"",ReferenceData!$A$798),"")</f>
        <v xml:space="preserve">                    Tosoh Corp</v>
      </c>
      <c r="B798" t="str">
        <f>IFERROR(IF(0=LEN(ReferenceData!$B$798),"",ReferenceData!$B$798),"")</f>
        <v>4042 JP Equity</v>
      </c>
      <c r="C798" t="str">
        <f>IFERROR(IF(0=LEN(ReferenceData!$C$798),"",ReferenceData!$C$798),"")</f>
        <v>F0946</v>
      </c>
      <c r="D798" t="str">
        <f>IFERROR(IF(0=LEN(ReferenceData!$D$798),"",ReferenceData!$D$798),"")</f>
        <v>TOTAL_GHG_CO2_EMISSIONS</v>
      </c>
      <c r="E798" t="str">
        <f>IFERROR(IF(0=LEN(ReferenceData!$E$798),"",ReferenceData!$E$798),"")</f>
        <v>Dynamic</v>
      </c>
      <c r="F798" t="str">
        <f ca="1">IFERROR(IF(0=LEN(ReferenceData!$F$798),"",ReferenceData!$F$798),"")</f>
        <v/>
      </c>
      <c r="G798">
        <f ca="1">IFERROR(IF(0=LEN(ReferenceData!$G$798),"",ReferenceData!$G$798),"")</f>
        <v>8.3052597660000007</v>
      </c>
      <c r="H798">
        <f ca="1">IFERROR(IF(0=LEN(ReferenceData!$H$798),"",ReferenceData!$H$798),"")</f>
        <v>8.0299999999999994</v>
      </c>
      <c r="I798">
        <f ca="1">IFERROR(IF(0=LEN(ReferenceData!$I$798),"",ReferenceData!$I$798),"")</f>
        <v>8.1940000000000008</v>
      </c>
      <c r="J798">
        <f ca="1">IFERROR(IF(0=LEN(ReferenceData!$J$798),"",ReferenceData!$J$798),"")</f>
        <v>8.2360000000000007</v>
      </c>
    </row>
    <row r="799" spans="1:10" x14ac:dyDescent="0.25">
      <c r="A799" t="str">
        <f>IFERROR(IF(0=LEN(ReferenceData!$A$799),"",ReferenceData!$A$799),"")</f>
        <v xml:space="preserve">                    UBE Corp</v>
      </c>
      <c r="B799" t="str">
        <f>IFERROR(IF(0=LEN(ReferenceData!$B$799),"",ReferenceData!$B$799),"")</f>
        <v>4208 JP Equity</v>
      </c>
      <c r="C799" t="str">
        <f>IFERROR(IF(0=LEN(ReferenceData!$C$799),"",ReferenceData!$C$799),"")</f>
        <v>F0946</v>
      </c>
      <c r="D799" t="str">
        <f>IFERROR(IF(0=LEN(ReferenceData!$D$799),"",ReferenceData!$D$799),"")</f>
        <v>TOTAL_GHG_CO2_EMISSIONS</v>
      </c>
      <c r="E799" t="str">
        <f>IFERROR(IF(0=LEN(ReferenceData!$E$799),"",ReferenceData!$E$799),"")</f>
        <v>Dynamic</v>
      </c>
      <c r="F799" t="str">
        <f ca="1">IFERROR(IF(0=LEN(ReferenceData!$F$799),"",ReferenceData!$F$799),"")</f>
        <v/>
      </c>
      <c r="G799">
        <f ca="1">IFERROR(IF(0=LEN(ReferenceData!$G$799),"",ReferenceData!$G$799),"")</f>
        <v>11.769</v>
      </c>
      <c r="H799">
        <f ca="1">IFERROR(IF(0=LEN(ReferenceData!$H$799),"",ReferenceData!$H$799),"")</f>
        <v>11.28</v>
      </c>
      <c r="I799">
        <f ca="1">IFERROR(IF(0=LEN(ReferenceData!$I$799),"",ReferenceData!$I$799),"")</f>
        <v>12.1</v>
      </c>
      <c r="J799">
        <f ca="1">IFERROR(IF(0=LEN(ReferenceData!$J$799),"",ReferenceData!$J$799),"")</f>
        <v>12</v>
      </c>
    </row>
    <row r="800" spans="1:10" x14ac:dyDescent="0.25">
      <c r="A800" t="str">
        <f>IFERROR(IF(0=LEN(ReferenceData!$A$800),"",ReferenceData!$A$800),"")</f>
        <v xml:space="preserve">                    Wacker Chemie AG</v>
      </c>
      <c r="B800" t="str">
        <f>IFERROR(IF(0=LEN(ReferenceData!$B$800),"",ReferenceData!$B$800),"")</f>
        <v>WCH GR Equity</v>
      </c>
      <c r="C800" t="str">
        <f>IFERROR(IF(0=LEN(ReferenceData!$C$800),"",ReferenceData!$C$800),"")</f>
        <v>F0946</v>
      </c>
      <c r="D800" t="str">
        <f>IFERROR(IF(0=LEN(ReferenceData!$D$800),"",ReferenceData!$D$800),"")</f>
        <v>TOTAL_GHG_CO2_EMISSIONS</v>
      </c>
      <c r="E800" t="str">
        <f>IFERROR(IF(0=LEN(ReferenceData!$E$800),"",ReferenceData!$E$800),"")</f>
        <v>Dynamic</v>
      </c>
      <c r="F800" t="str">
        <f ca="1">IFERROR(IF(0=LEN(ReferenceData!$F$800),"",ReferenceData!$F$800),"")</f>
        <v/>
      </c>
      <c r="G800">
        <f ca="1">IFERROR(IF(0=LEN(ReferenceData!$G$800),"",ReferenceData!$G$800),"")</f>
        <v>2.692459961</v>
      </c>
      <c r="H800">
        <f ca="1">IFERROR(IF(0=LEN(ReferenceData!$H$800),"",ReferenceData!$H$800),"")</f>
        <v>2.8639999999999999</v>
      </c>
      <c r="I800">
        <f ca="1">IFERROR(IF(0=LEN(ReferenceData!$I$800),"",ReferenceData!$I$800),"")</f>
        <v>2.92</v>
      </c>
      <c r="J800">
        <f ca="1">IFERROR(IF(0=LEN(ReferenceData!$J$800),"",ReferenceData!$J$800),"")</f>
        <v>2.7919999999999998</v>
      </c>
    </row>
    <row r="801" spans="1:10" x14ac:dyDescent="0.25">
      <c r="A801" t="str">
        <f>IFERROR(IF(0=LEN(ReferenceData!$A$801),"",ReferenceData!$A$801),"")</f>
        <v xml:space="preserve">                    Wanhua Chemical Group Co Ltd</v>
      </c>
      <c r="B801" t="str">
        <f>IFERROR(IF(0=LEN(ReferenceData!$B$801),"",ReferenceData!$B$801),"")</f>
        <v>600309 CH Equity</v>
      </c>
      <c r="C801" t="str">
        <f>IFERROR(IF(0=LEN(ReferenceData!$C$801),"",ReferenceData!$C$801),"")</f>
        <v>F0946</v>
      </c>
      <c r="D801" t="str">
        <f>IFERROR(IF(0=LEN(ReferenceData!$D$801),"",ReferenceData!$D$801),"")</f>
        <v>TOTAL_GHG_CO2_EMISSIONS</v>
      </c>
      <c r="E801" t="str">
        <f>IFERROR(IF(0=LEN(ReferenceData!$E$801),"",ReferenceData!$E$801),"")</f>
        <v>Dynamic</v>
      </c>
      <c r="F801" t="str">
        <f ca="1">IFERROR(IF(0=LEN(ReferenceData!$F$801),"",ReferenceData!$F$801),"")</f>
        <v/>
      </c>
      <c r="G801" t="str">
        <f ca="1">IFERROR(IF(0=LEN(ReferenceData!$G$801),"",ReferenceData!$G$801),"")</f>
        <v/>
      </c>
      <c r="H801">
        <f ca="1">IFERROR(IF(0=LEN(ReferenceData!$H$801),"",ReferenceData!$H$801),"")</f>
        <v>19.899999999999999</v>
      </c>
      <c r="I801">
        <f ca="1">IFERROR(IF(0=LEN(ReferenceData!$I$801),"",ReferenceData!$I$801),"")</f>
        <v>18.149999999999999</v>
      </c>
      <c r="J801">
        <f ca="1">IFERROR(IF(0=LEN(ReferenceData!$J$801),"",ReferenceData!$J$801),"")</f>
        <v>15.5</v>
      </c>
    </row>
    <row r="802" spans="1:10" x14ac:dyDescent="0.25">
      <c r="A802" t="str">
        <f>IFERROR(IF(0=LEN(ReferenceData!$A$802),"",ReferenceData!$A$802),"")</f>
        <v xml:space="preserve">                    Westlake Corp</v>
      </c>
      <c r="B802" t="str">
        <f>IFERROR(IF(0=LEN(ReferenceData!$B$802),"",ReferenceData!$B$802),"")</f>
        <v>WLK US Equity</v>
      </c>
      <c r="C802" t="str">
        <f>IFERROR(IF(0=LEN(ReferenceData!$C$802),"",ReferenceData!$C$802),"")</f>
        <v>F0946</v>
      </c>
      <c r="D802" t="str">
        <f>IFERROR(IF(0=LEN(ReferenceData!$D$802),"",ReferenceData!$D$802),"")</f>
        <v>TOTAL_GHG_CO2_EMISSIONS</v>
      </c>
      <c r="E802" t="str">
        <f>IFERROR(IF(0=LEN(ReferenceData!$E$802),"",ReferenceData!$E$802),"")</f>
        <v>Dynamic</v>
      </c>
      <c r="F802" t="str">
        <f ca="1">IFERROR(IF(0=LEN(ReferenceData!$F$802),"",ReferenceData!$F$802),"")</f>
        <v/>
      </c>
      <c r="G802">
        <f ca="1">IFERROR(IF(0=LEN(ReferenceData!$G$802),"",ReferenceData!$G$802),"")</f>
        <v>10.43</v>
      </c>
      <c r="H802">
        <f ca="1">IFERROR(IF(0=LEN(ReferenceData!$H$802),"",ReferenceData!$H$802),"")</f>
        <v>9.6157197270000001</v>
      </c>
      <c r="I802">
        <f ca="1">IFERROR(IF(0=LEN(ReferenceData!$I$802),"",ReferenceData!$I$802),"")</f>
        <v>10.491</v>
      </c>
      <c r="J802">
        <f ca="1">IFERROR(IF(0=LEN(ReferenceData!$J$802),"",ReferenceData!$J$802),"")</f>
        <v>10.71709961</v>
      </c>
    </row>
    <row r="803" spans="1:10" x14ac:dyDescent="0.25">
      <c r="A803" t="str">
        <f>IFERROR(IF(0=LEN(ReferenceData!$A$803),"",ReferenceData!$A$803),"")</f>
        <v xml:space="preserve">                    Yanbu National Petrochemical C</v>
      </c>
      <c r="B803" t="str">
        <f>IFERROR(IF(0=LEN(ReferenceData!$B$803),"",ReferenceData!$B$803),"")</f>
        <v>YANSAB AB Equity</v>
      </c>
      <c r="C803" t="str">
        <f>IFERROR(IF(0=LEN(ReferenceData!$C$803),"",ReferenceData!$C$803),"")</f>
        <v>F0946</v>
      </c>
      <c r="D803" t="str">
        <f>IFERROR(IF(0=LEN(ReferenceData!$D$803),"",ReferenceData!$D$803),"")</f>
        <v>TOTAL_GHG_CO2_EMISSIONS</v>
      </c>
      <c r="E803" t="str">
        <f>IFERROR(IF(0=LEN(ReferenceData!$E$803),"",ReferenceData!$E$803),"")</f>
        <v>Dynamic</v>
      </c>
      <c r="F803" t="str">
        <f ca="1">IFERROR(IF(0=LEN(ReferenceData!$F$803),"",ReferenceData!$F$803),"")</f>
        <v/>
      </c>
      <c r="G803" t="str">
        <f ca="1">IFERROR(IF(0=LEN(ReferenceData!$G$803),"",ReferenceData!$G$803),"")</f>
        <v/>
      </c>
      <c r="H803" t="str">
        <f ca="1">IFERROR(IF(0=LEN(ReferenceData!$H$803),"",ReferenceData!$H$803),"")</f>
        <v/>
      </c>
      <c r="I803" t="str">
        <f ca="1">IFERROR(IF(0=LEN(ReferenceData!$I$803),"",ReferenceData!$I$803),"")</f>
        <v/>
      </c>
      <c r="J803" t="str">
        <f ca="1">IFERROR(IF(0=LEN(ReferenceData!$J$803),"",ReferenceData!$J$803),"")</f>
        <v/>
      </c>
    </row>
    <row r="804" spans="1:10" x14ac:dyDescent="0.25">
      <c r="A804" t="str">
        <f>IFERROR(IF(0=LEN(ReferenceData!$A$804),"",ReferenceData!$A$804),"")</f>
        <v xml:space="preserve">                    Zeon Corp</v>
      </c>
      <c r="B804" t="str">
        <f>IFERROR(IF(0=LEN(ReferenceData!$B$804),"",ReferenceData!$B$804),"")</f>
        <v>4205 JP Equity</v>
      </c>
      <c r="C804" t="str">
        <f>IFERROR(IF(0=LEN(ReferenceData!$C$804),"",ReferenceData!$C$804),"")</f>
        <v>F0946</v>
      </c>
      <c r="D804" t="str">
        <f>IFERROR(IF(0=LEN(ReferenceData!$D$804),"",ReferenceData!$D$804),"")</f>
        <v>TOTAL_GHG_CO2_EMISSIONS</v>
      </c>
      <c r="E804" t="str">
        <f>IFERROR(IF(0=LEN(ReferenceData!$E$804),"",ReferenceData!$E$804),"")</f>
        <v>Dynamic</v>
      </c>
      <c r="F804" t="str">
        <f ca="1">IFERROR(IF(0=LEN(ReferenceData!$F$804),"",ReferenceData!$F$804),"")</f>
        <v/>
      </c>
      <c r="G804">
        <f ca="1">IFERROR(IF(0=LEN(ReferenceData!$G$804),"",ReferenceData!$G$804),"")</f>
        <v>0.77605499300000003</v>
      </c>
      <c r="H804">
        <f ca="1">IFERROR(IF(0=LEN(ReferenceData!$H$804),"",ReferenceData!$H$804),"")</f>
        <v>0.76736999500000003</v>
      </c>
      <c r="I804">
        <f ca="1">IFERROR(IF(0=LEN(ReferenceData!$I$804),"",ReferenceData!$I$804),"")</f>
        <v>0.77430902099999999</v>
      </c>
      <c r="J804">
        <f ca="1">IFERROR(IF(0=LEN(ReferenceData!$J$804),"",ReferenceData!$J$804),"")</f>
        <v>0.80637902800000005</v>
      </c>
    </row>
    <row r="805" spans="1:10" x14ac:dyDescent="0.25">
      <c r="A805" t="str">
        <f>IFERROR(IF(0=LEN(ReferenceData!$A$805),"",ReferenceData!$A$805),"")</f>
        <v xml:space="preserve">                Industrial Gases</v>
      </c>
      <c r="B805" t="str">
        <f>IFERROR(IF(0=LEN(ReferenceData!$B$805),"",ReferenceData!$B$805),"")</f>
        <v/>
      </c>
      <c r="C805" t="str">
        <f>IFERROR(IF(0=LEN(ReferenceData!$C$805),"",ReferenceData!$C$805),"")</f>
        <v/>
      </c>
      <c r="D805" t="str">
        <f>IFERROR(IF(0=LEN(ReferenceData!$D$805),"",ReferenceData!$D$805),"")</f>
        <v/>
      </c>
      <c r="E805" t="str">
        <f>IFERROR(IF(0=LEN(ReferenceData!$E$805),"",ReferenceData!$E$805),"")</f>
        <v>Sum</v>
      </c>
      <c r="F805">
        <f ca="1">IFERROR(IF(0=LEN(ReferenceData!$F$805),"",ReferenceData!$F$805),"")</f>
        <v>38.33</v>
      </c>
      <c r="G805">
        <f ca="1">IFERROR(IF(0=LEN(ReferenceData!$G$805),"",ReferenceData!$G$805),"")</f>
        <v>102.944</v>
      </c>
      <c r="H805">
        <f ca="1">IFERROR(IF(0=LEN(ReferenceData!$H$805),"",ReferenceData!$H$805),"")</f>
        <v>93.615900389999993</v>
      </c>
      <c r="I805">
        <f ca="1">IFERROR(IF(0=LEN(ReferenceData!$I$805),"",ReferenceData!$I$805),"")</f>
        <v>97.316999999999979</v>
      </c>
      <c r="J805">
        <f ca="1">IFERROR(IF(0=LEN(ReferenceData!$J$805),"",ReferenceData!$J$805),"")</f>
        <v>59.182000000000002</v>
      </c>
    </row>
    <row r="806" spans="1:10" x14ac:dyDescent="0.25">
      <c r="A806" t="str">
        <f>IFERROR(IF(0=LEN(ReferenceData!$A$806),"",ReferenceData!$A$806),"")</f>
        <v xml:space="preserve">                    Air Liquide SA</v>
      </c>
      <c r="B806" t="str">
        <f>IFERROR(IF(0=LEN(ReferenceData!$B$806),"",ReferenceData!$B$806),"")</f>
        <v>AI FP Equity</v>
      </c>
      <c r="C806" t="str">
        <f>IFERROR(IF(0=LEN(ReferenceData!$C$806),"",ReferenceData!$C$806),"")</f>
        <v>F0946</v>
      </c>
      <c r="D806" t="str">
        <f>IFERROR(IF(0=LEN(ReferenceData!$D$806),"",ReferenceData!$D$806),"")</f>
        <v>TOTAL_GHG_CO2_EMISSIONS</v>
      </c>
      <c r="E806" t="str">
        <f>IFERROR(IF(0=LEN(ReferenceData!$E$806),"",ReferenceData!$E$806),"")</f>
        <v>Dynamic</v>
      </c>
      <c r="F806">
        <f ca="1">IFERROR(IF(0=LEN(ReferenceData!$F$806),"",ReferenceData!$F$806),"")</f>
        <v>38.33</v>
      </c>
      <c r="G806">
        <f ca="1">IFERROR(IF(0=LEN(ReferenceData!$G$806),"",ReferenceData!$G$806),"")</f>
        <v>35.088999999999999</v>
      </c>
      <c r="H806">
        <f ca="1">IFERROR(IF(0=LEN(ReferenceData!$H$806),"",ReferenceData!$H$806),"")</f>
        <v>27.471</v>
      </c>
      <c r="I806">
        <f ca="1">IFERROR(IF(0=LEN(ReferenceData!$I$806),"",ReferenceData!$I$806),"")</f>
        <v>27.847999999999999</v>
      </c>
      <c r="J806">
        <f ca="1">IFERROR(IF(0=LEN(ReferenceData!$J$806),"",ReferenceData!$J$806),"")</f>
        <v>27.812000000000001</v>
      </c>
    </row>
    <row r="807" spans="1:10" x14ac:dyDescent="0.25">
      <c r="A807" t="str">
        <f>IFERROR(IF(0=LEN(ReferenceData!$A$807),"",ReferenceData!$A$807),"")</f>
        <v xml:space="preserve">                    Air Products and Chemicals Inc</v>
      </c>
      <c r="B807" t="str">
        <f>IFERROR(IF(0=LEN(ReferenceData!$B$807),"",ReferenceData!$B$807),"")</f>
        <v>APD US Equity</v>
      </c>
      <c r="C807" t="str">
        <f>IFERROR(IF(0=LEN(ReferenceData!$C$807),"",ReferenceData!$C$807),"")</f>
        <v>F0946</v>
      </c>
      <c r="D807" t="str">
        <f>IFERROR(IF(0=LEN(ReferenceData!$D$807),"",ReferenceData!$D$807),"")</f>
        <v>TOTAL_GHG_CO2_EMISSIONS</v>
      </c>
      <c r="E807" t="str">
        <f>IFERROR(IF(0=LEN(ReferenceData!$E$807),"",ReferenceData!$E$807),"")</f>
        <v>Dynamic</v>
      </c>
      <c r="F807" t="str">
        <f ca="1">IFERROR(IF(0=LEN(ReferenceData!$F$807),"",ReferenceData!$F$807),"")</f>
        <v/>
      </c>
      <c r="G807">
        <f ca="1">IFERROR(IF(0=LEN(ReferenceData!$G$807),"",ReferenceData!$G$807),"")</f>
        <v>24.2</v>
      </c>
      <c r="H807">
        <f ca="1">IFERROR(IF(0=LEN(ReferenceData!$H$807),"",ReferenceData!$H$807),"")</f>
        <v>24.183900390000002</v>
      </c>
      <c r="I807">
        <f ca="1">IFERROR(IF(0=LEN(ReferenceData!$I$807),"",ReferenceData!$I$807),"")</f>
        <v>27.3</v>
      </c>
      <c r="J807">
        <f ca="1">IFERROR(IF(0=LEN(ReferenceData!$J$807),"",ReferenceData!$J$807),"")</f>
        <v>27.3</v>
      </c>
    </row>
    <row r="808" spans="1:10" x14ac:dyDescent="0.25">
      <c r="A808" t="str">
        <f>IFERROR(IF(0=LEN(ReferenceData!$A$808),"",ReferenceData!$A$808),"")</f>
        <v xml:space="preserve">                    Linde PLC</v>
      </c>
      <c r="B808" t="str">
        <f>IFERROR(IF(0=LEN(ReferenceData!$B$808),"",ReferenceData!$B$808),"")</f>
        <v>LIN US Equity</v>
      </c>
      <c r="C808" t="str">
        <f>IFERROR(IF(0=LEN(ReferenceData!$C$808),"",ReferenceData!$C$808),"")</f>
        <v>F0946</v>
      </c>
      <c r="D808" t="str">
        <f>IFERROR(IF(0=LEN(ReferenceData!$D$808),"",ReferenceData!$D$808),"")</f>
        <v>TOTAL_GHG_CO2_EMISSIONS</v>
      </c>
      <c r="E808" t="str">
        <f>IFERROR(IF(0=LEN(ReferenceData!$E$808),"",ReferenceData!$E$808),"")</f>
        <v>Dynamic</v>
      </c>
      <c r="F808" t="str">
        <f ca="1">IFERROR(IF(0=LEN(ReferenceData!$F$808),"",ReferenceData!$F$808),"")</f>
        <v/>
      </c>
      <c r="G808">
        <f ca="1">IFERROR(IF(0=LEN(ReferenceData!$G$808),"",ReferenceData!$G$808),"")</f>
        <v>37.734000000000002</v>
      </c>
      <c r="H808">
        <f ca="1">IFERROR(IF(0=LEN(ReferenceData!$H$808),"",ReferenceData!$H$808),"")</f>
        <v>36.31</v>
      </c>
      <c r="I808">
        <f ca="1">IFERROR(IF(0=LEN(ReferenceData!$I$808),"",ReferenceData!$I$808),"")</f>
        <v>36.360999999999997</v>
      </c>
      <c r="J808" t="str">
        <f ca="1">IFERROR(IF(0=LEN(ReferenceData!$J$808),"",ReferenceData!$J$808),"")</f>
        <v/>
      </c>
    </row>
    <row r="809" spans="1:10" x14ac:dyDescent="0.25">
      <c r="A809" t="str">
        <f>IFERROR(IF(0=LEN(ReferenceData!$A$809),"",ReferenceData!$A$809),"")</f>
        <v xml:space="preserve">                    Nippon Sanso Holdings Corp</v>
      </c>
      <c r="B809" t="str">
        <f>IFERROR(IF(0=LEN(ReferenceData!$B$809),"",ReferenceData!$B$809),"")</f>
        <v>4091 JP Equity</v>
      </c>
      <c r="C809" t="str">
        <f>IFERROR(IF(0=LEN(ReferenceData!$C$809),"",ReferenceData!$C$809),"")</f>
        <v>F0946</v>
      </c>
      <c r="D809" t="str">
        <f>IFERROR(IF(0=LEN(ReferenceData!$D$809),"",ReferenceData!$D$809),"")</f>
        <v>TOTAL_GHG_CO2_EMISSIONS</v>
      </c>
      <c r="E809" t="str">
        <f>IFERROR(IF(0=LEN(ReferenceData!$E$809),"",ReferenceData!$E$809),"")</f>
        <v>Dynamic</v>
      </c>
      <c r="F809" t="str">
        <f ca="1">IFERROR(IF(0=LEN(ReferenceData!$F$809),"",ReferenceData!$F$809),"")</f>
        <v/>
      </c>
      <c r="G809">
        <f ca="1">IFERROR(IF(0=LEN(ReferenceData!$G$809),"",ReferenceData!$G$809),"")</f>
        <v>5.9210000000000003</v>
      </c>
      <c r="H809">
        <f ca="1">IFERROR(IF(0=LEN(ReferenceData!$H$809),"",ReferenceData!$H$809),"")</f>
        <v>5.6509999999999998</v>
      </c>
      <c r="I809">
        <f ca="1">IFERROR(IF(0=LEN(ReferenceData!$I$809),"",ReferenceData!$I$809),"")</f>
        <v>5.8079999999999998</v>
      </c>
      <c r="J809">
        <f ca="1">IFERROR(IF(0=LEN(ReferenceData!$J$809),"",ReferenceData!$J$809),"")</f>
        <v>4.07</v>
      </c>
    </row>
    <row r="810" spans="1:10" x14ac:dyDescent="0.25">
      <c r="A810" t="str">
        <f>IFERROR(IF(0=LEN(ReferenceData!$A$810),"",ReferenceData!$A$810),"")</f>
        <v xml:space="preserve">            Metals &amp; Mining</v>
      </c>
      <c r="B810" t="str">
        <f>IFERROR(IF(0=LEN(ReferenceData!$B$810),"",ReferenceData!$B$810),"")</f>
        <v/>
      </c>
      <c r="C810" t="str">
        <f>IFERROR(IF(0=LEN(ReferenceData!$C$810),"",ReferenceData!$C$810),"")</f>
        <v/>
      </c>
      <c r="D810" t="str">
        <f>IFERROR(IF(0=LEN(ReferenceData!$D$810),"",ReferenceData!$D$810),"")</f>
        <v/>
      </c>
      <c r="E810" t="str">
        <f>IFERROR(IF(0=LEN(ReferenceData!$E$810),"",ReferenceData!$E$810),"")</f>
        <v>Sum</v>
      </c>
      <c r="F810">
        <f ca="1">IFERROR(IF(0=LEN(ReferenceData!$F$810),"",ReferenceData!$F$810),"")</f>
        <v>349.95318974600002</v>
      </c>
      <c r="G810">
        <f ca="1">IFERROR(IF(0=LEN(ReferenceData!$G$810),"",ReferenceData!$G$810),"")</f>
        <v>660.46375735599997</v>
      </c>
      <c r="H810">
        <f ca="1">IFERROR(IF(0=LEN(ReferenceData!$H$810),"",ReferenceData!$H$810),"")</f>
        <v>636.26327376800009</v>
      </c>
      <c r="I810">
        <f ca="1">IFERROR(IF(0=LEN(ReferenceData!$I$810),"",ReferenceData!$I$810),"")</f>
        <v>678.52954492100002</v>
      </c>
      <c r="J810">
        <f ca="1">IFERROR(IF(0=LEN(ReferenceData!$J$810),"",ReferenceData!$J$810),"")</f>
        <v>690.38827886700005</v>
      </c>
    </row>
    <row r="811" spans="1:10" x14ac:dyDescent="0.25">
      <c r="A811" t="str">
        <f>IFERROR(IF(0=LEN(ReferenceData!$A$811),"",ReferenceData!$A$811),"")</f>
        <v xml:space="preserve">                Aluminum</v>
      </c>
      <c r="B811" t="str">
        <f>IFERROR(IF(0=LEN(ReferenceData!$B$811),"",ReferenceData!$B$811),"")</f>
        <v/>
      </c>
      <c r="C811" t="str">
        <f>IFERROR(IF(0=LEN(ReferenceData!$C$811),"",ReferenceData!$C$811),"")</f>
        <v/>
      </c>
      <c r="D811" t="str">
        <f>IFERROR(IF(0=LEN(ReferenceData!$D$811),"",ReferenceData!$D$811),"")</f>
        <v/>
      </c>
      <c r="E811" t="str">
        <f>IFERROR(IF(0=LEN(ReferenceData!$E$811),"",ReferenceData!$E$811),"")</f>
        <v>Sum</v>
      </c>
      <c r="F811">
        <f ca="1">IFERROR(IF(0=LEN(ReferenceData!$F$811),"",ReferenceData!$F$811),"")</f>
        <v>147.95740270000002</v>
      </c>
      <c r="G811">
        <f ca="1">IFERROR(IF(0=LEN(ReferenceData!$G$811),"",ReferenceData!$G$811),"")</f>
        <v>365.94222069699998</v>
      </c>
      <c r="H811">
        <f ca="1">IFERROR(IF(0=LEN(ReferenceData!$H$811),"",ReferenceData!$H$811),"")</f>
        <v>363.24177648900007</v>
      </c>
      <c r="I811">
        <f ca="1">IFERROR(IF(0=LEN(ReferenceData!$I$811),"",ReferenceData!$I$811),"")</f>
        <v>392.94047053600002</v>
      </c>
      <c r="J811">
        <f ca="1">IFERROR(IF(0=LEN(ReferenceData!$J$811),"",ReferenceData!$J$811),"")</f>
        <v>416.60219018500004</v>
      </c>
    </row>
    <row r="812" spans="1:10" x14ac:dyDescent="0.25">
      <c r="A812" t="str">
        <f>IFERROR(IF(0=LEN(ReferenceData!$A$812),"",ReferenceData!$A$812),"")</f>
        <v xml:space="preserve">                    Alcoa Corp</v>
      </c>
      <c r="B812" t="str">
        <f>IFERROR(IF(0=LEN(ReferenceData!$B$812),"",ReferenceData!$B$812),"")</f>
        <v>AA US Equity</v>
      </c>
      <c r="C812" t="str">
        <f>IFERROR(IF(0=LEN(ReferenceData!$C$812),"",ReferenceData!$C$812),"")</f>
        <v>F0946</v>
      </c>
      <c r="D812" t="str">
        <f>IFERROR(IF(0=LEN(ReferenceData!$D$812),"",ReferenceData!$D$812),"")</f>
        <v>TOTAL_GHG_CO2_EMISSIONS</v>
      </c>
      <c r="E812" t="str">
        <f>IFERROR(IF(0=LEN(ReferenceData!$E$812),"",ReferenceData!$E$812),"")</f>
        <v>Dynamic</v>
      </c>
      <c r="F812" t="str">
        <f ca="1">IFERROR(IF(0=LEN(ReferenceData!$F$812),"",ReferenceData!$F$812),"")</f>
        <v/>
      </c>
      <c r="G812">
        <f ca="1">IFERROR(IF(0=LEN(ReferenceData!$G$812),"",ReferenceData!$G$812),"")</f>
        <v>21.8</v>
      </c>
      <c r="H812">
        <f ca="1">IFERROR(IF(0=LEN(ReferenceData!$H$812),"",ReferenceData!$H$812),"")</f>
        <v>23.9</v>
      </c>
      <c r="I812">
        <f ca="1">IFERROR(IF(0=LEN(ReferenceData!$I$812),"",ReferenceData!$I$812),"")</f>
        <v>24.3</v>
      </c>
      <c r="J812">
        <f ca="1">IFERROR(IF(0=LEN(ReferenceData!$J$812),"",ReferenceData!$J$812),"")</f>
        <v>25.2</v>
      </c>
    </row>
    <row r="813" spans="1:10" x14ac:dyDescent="0.25">
      <c r="A813" t="str">
        <f>IFERROR(IF(0=LEN(ReferenceData!$A$813),"",ReferenceData!$A$813),"")</f>
        <v xml:space="preserve">                    Alro SA</v>
      </c>
      <c r="B813" t="str">
        <f>IFERROR(IF(0=LEN(ReferenceData!$B$813),"",ReferenceData!$B$813),"")</f>
        <v>ALR RO Equity</v>
      </c>
      <c r="C813" t="str">
        <f>IFERROR(IF(0=LEN(ReferenceData!$C$813),"",ReferenceData!$C$813),"")</f>
        <v>F0946</v>
      </c>
      <c r="D813" t="str">
        <f>IFERROR(IF(0=LEN(ReferenceData!$D$813),"",ReferenceData!$D$813),"")</f>
        <v>TOTAL_GHG_CO2_EMISSIONS</v>
      </c>
      <c r="E813" t="str">
        <f>IFERROR(IF(0=LEN(ReferenceData!$E$813),"",ReferenceData!$E$813),"")</f>
        <v>Dynamic</v>
      </c>
      <c r="F813" t="str">
        <f ca="1">IFERROR(IF(0=LEN(ReferenceData!$F$813),"",ReferenceData!$F$813),"")</f>
        <v/>
      </c>
      <c r="G813" t="str">
        <f ca="1">IFERROR(IF(0=LEN(ReferenceData!$G$813),"",ReferenceData!$G$813),"")</f>
        <v/>
      </c>
      <c r="H813">
        <f ca="1">IFERROR(IF(0=LEN(ReferenceData!$H$813),"",ReferenceData!$H$813),"")</f>
        <v>1.4761700440000001</v>
      </c>
      <c r="I813">
        <f ca="1">IFERROR(IF(0=LEN(ReferenceData!$I$813),"",ReferenceData!$I$813),"")</f>
        <v>1.451920044</v>
      </c>
      <c r="J813">
        <f ca="1">IFERROR(IF(0=LEN(ReferenceData!$J$813),"",ReferenceData!$J$813),"")</f>
        <v>1.9992800289999999</v>
      </c>
    </row>
    <row r="814" spans="1:10" x14ac:dyDescent="0.25">
      <c r="A814" t="str">
        <f>IFERROR(IF(0=LEN(ReferenceData!$A$814),"",ReferenceData!$A$814),"")</f>
        <v xml:space="preserve">                    Alumina Ltd</v>
      </c>
      <c r="B814" t="str">
        <f>IFERROR(IF(0=LEN(ReferenceData!$B$814),"",ReferenceData!$B$814),"")</f>
        <v>AWC AU Equity</v>
      </c>
      <c r="C814" t="str">
        <f>IFERROR(IF(0=LEN(ReferenceData!$C$814),"",ReferenceData!$C$814),"")</f>
        <v>F0946</v>
      </c>
      <c r="D814" t="str">
        <f>IFERROR(IF(0=LEN(ReferenceData!$D$814),"",ReferenceData!$D$814),"")</f>
        <v>TOTAL_GHG_CO2_EMISSIONS</v>
      </c>
      <c r="E814" t="str">
        <f>IFERROR(IF(0=LEN(ReferenceData!$E$814),"",ReferenceData!$E$814),"")</f>
        <v>Dynamic</v>
      </c>
      <c r="F814" t="str">
        <f ca="1">IFERROR(IF(0=LEN(ReferenceData!$F$814),"",ReferenceData!$F$814),"")</f>
        <v/>
      </c>
      <c r="G814" t="str">
        <f ca="1">IFERROR(IF(0=LEN(ReferenceData!$G$814),"",ReferenceData!$G$814),"")</f>
        <v/>
      </c>
      <c r="H814" t="str">
        <f ca="1">IFERROR(IF(0=LEN(ReferenceData!$H$814),"",ReferenceData!$H$814),"")</f>
        <v/>
      </c>
      <c r="I814">
        <f ca="1">IFERROR(IF(0=LEN(ReferenceData!$I$814),"",ReferenceData!$I$814),"")</f>
        <v>12.540800000000001</v>
      </c>
      <c r="J814">
        <f ca="1">IFERROR(IF(0=LEN(ReferenceData!$J$814),"",ReferenceData!$J$814),"")</f>
        <v>12.500500000000001</v>
      </c>
    </row>
    <row r="815" spans="1:10" x14ac:dyDescent="0.25">
      <c r="A815" t="str">
        <f>IFERROR(IF(0=LEN(ReferenceData!$A$815),"",ReferenceData!$A$815),"")</f>
        <v xml:space="preserve">                    Aluminium Bahrain BSC</v>
      </c>
      <c r="B815" t="str">
        <f>IFERROR(IF(0=LEN(ReferenceData!$B$815),"",ReferenceData!$B$815),"")</f>
        <v>ALBH BI Equity</v>
      </c>
      <c r="C815" t="str">
        <f>IFERROR(IF(0=LEN(ReferenceData!$C$815),"",ReferenceData!$C$815),"")</f>
        <v>F0946</v>
      </c>
      <c r="D815" t="str">
        <f>IFERROR(IF(0=LEN(ReferenceData!$D$815),"",ReferenceData!$D$815),"")</f>
        <v>TOTAL_GHG_CO2_EMISSIONS</v>
      </c>
      <c r="E815" t="str">
        <f>IFERROR(IF(0=LEN(ReferenceData!$E$815),"",ReferenceData!$E$815),"")</f>
        <v>Dynamic</v>
      </c>
      <c r="F815" t="str">
        <f ca="1">IFERROR(IF(0=LEN(ReferenceData!$F$815),"",ReferenceData!$F$815),"")</f>
        <v/>
      </c>
      <c r="G815">
        <f ca="1">IFERROR(IF(0=LEN(ReferenceData!$G$815),"",ReferenceData!$G$815),"")</f>
        <v>12.300299799999999</v>
      </c>
      <c r="H815">
        <f ca="1">IFERROR(IF(0=LEN(ReferenceData!$H$815),"",ReferenceData!$H$815),"")</f>
        <v>12.16790039</v>
      </c>
      <c r="I815">
        <f ca="1">IFERROR(IF(0=LEN(ReferenceData!$I$815),"",ReferenceData!$I$815),"")</f>
        <v>12.062400390000001</v>
      </c>
      <c r="J815">
        <f ca="1">IFERROR(IF(0=LEN(ReferenceData!$J$815),"",ReferenceData!$J$815),"")</f>
        <v>9.4598701169999995</v>
      </c>
    </row>
    <row r="816" spans="1:10" x14ac:dyDescent="0.25">
      <c r="A816" t="str">
        <f>IFERROR(IF(0=LEN(ReferenceData!$A$816),"",ReferenceData!$A$816),"")</f>
        <v xml:space="preserve">                    Aluminum Corp of China Ltd</v>
      </c>
      <c r="B816" t="str">
        <f>IFERROR(IF(0=LEN(ReferenceData!$B$816),"",ReferenceData!$B$816),"")</f>
        <v>2600 HK Equity</v>
      </c>
      <c r="C816" t="str">
        <f>IFERROR(IF(0=LEN(ReferenceData!$C$816),"",ReferenceData!$C$816),"")</f>
        <v>F0946</v>
      </c>
      <c r="D816" t="str">
        <f>IFERROR(IF(0=LEN(ReferenceData!$D$816),"",ReferenceData!$D$816),"")</f>
        <v>TOTAL_GHG_CO2_EMISSIONS</v>
      </c>
      <c r="E816" t="str">
        <f>IFERROR(IF(0=LEN(ReferenceData!$E$816),"",ReferenceData!$E$816),"")</f>
        <v>Dynamic</v>
      </c>
      <c r="F816">
        <f ca="1">IFERROR(IF(0=LEN(ReferenceData!$F$816),"",ReferenceData!$F$816),"")</f>
        <v>117.64</v>
      </c>
      <c r="G816">
        <f ca="1">IFERROR(IF(0=LEN(ReferenceData!$G$816),"",ReferenceData!$G$816),"")</f>
        <v>86.801101560000006</v>
      </c>
      <c r="H816">
        <f ca="1">IFERROR(IF(0=LEN(ReferenceData!$H$816),"",ReferenceData!$H$816),"")</f>
        <v>89.04</v>
      </c>
      <c r="I816">
        <f ca="1">IFERROR(IF(0=LEN(ReferenceData!$I$816),"",ReferenceData!$I$816),"")</f>
        <v>93.951999999999998</v>
      </c>
      <c r="J816">
        <f ca="1">IFERROR(IF(0=LEN(ReferenceData!$J$816),"",ReferenceData!$J$816),"")</f>
        <v>101.268</v>
      </c>
    </row>
    <row r="817" spans="1:10" x14ac:dyDescent="0.25">
      <c r="A817" t="str">
        <f>IFERROR(IF(0=LEN(ReferenceData!$A$817),"",ReferenceData!$A$817),"")</f>
        <v xml:space="preserve">                    Aluar Aluminio Argentino SAIC</v>
      </c>
      <c r="B817" t="str">
        <f>IFERROR(IF(0=LEN(ReferenceData!$B$817),"",ReferenceData!$B$817),"")</f>
        <v>ALUA AR Equity</v>
      </c>
      <c r="C817" t="str">
        <f>IFERROR(IF(0=LEN(ReferenceData!$C$817),"",ReferenceData!$C$817),"")</f>
        <v>F0946</v>
      </c>
      <c r="D817" t="str">
        <f>IFERROR(IF(0=LEN(ReferenceData!$D$817),"",ReferenceData!$D$817),"")</f>
        <v>TOTAL_GHG_CO2_EMISSIONS</v>
      </c>
      <c r="E817" t="str">
        <f>IFERROR(IF(0=LEN(ReferenceData!$E$817),"",ReferenceData!$E$817),"")</f>
        <v>Dynamic</v>
      </c>
      <c r="F817" t="str">
        <f ca="1">IFERROR(IF(0=LEN(ReferenceData!$F$817),"",ReferenceData!$F$817),"")</f>
        <v/>
      </c>
      <c r="G817" t="str">
        <f ca="1">IFERROR(IF(0=LEN(ReferenceData!$G$817),"",ReferenceData!$G$817),"")</f>
        <v/>
      </c>
      <c r="H817" t="str">
        <f ca="1">IFERROR(IF(0=LEN(ReferenceData!$H$817),"",ReferenceData!$H$817),"")</f>
        <v/>
      </c>
      <c r="I817" t="str">
        <f ca="1">IFERROR(IF(0=LEN(ReferenceData!$I$817),"",ReferenceData!$I$817),"")</f>
        <v/>
      </c>
      <c r="J817" t="str">
        <f ca="1">IFERROR(IF(0=LEN(ReferenceData!$J$817),"",ReferenceData!$J$817),"")</f>
        <v/>
      </c>
    </row>
    <row r="818" spans="1:10" x14ac:dyDescent="0.25">
      <c r="A818" t="str">
        <f>IFERROR(IF(0=LEN(ReferenceData!$A$818),"",ReferenceData!$A$818),"")</f>
        <v xml:space="preserve">                    BHP Group Ltd</v>
      </c>
      <c r="B818" t="str">
        <f>IFERROR(IF(0=LEN(ReferenceData!$B$818),"",ReferenceData!$B$818),"")</f>
        <v>BHP AU Equity</v>
      </c>
      <c r="C818" t="str">
        <f>IFERROR(IF(0=LEN(ReferenceData!$C$818),"",ReferenceData!$C$818),"")</f>
        <v>F0946</v>
      </c>
      <c r="D818" t="str">
        <f>IFERROR(IF(0=LEN(ReferenceData!$D$818),"",ReferenceData!$D$818),"")</f>
        <v>TOTAL_GHG_CO2_EMISSIONS</v>
      </c>
      <c r="E818" t="str">
        <f>IFERROR(IF(0=LEN(ReferenceData!$E$818),"",ReferenceData!$E$818),"")</f>
        <v>Dynamic</v>
      </c>
      <c r="F818" t="str">
        <f ca="1">IFERROR(IF(0=LEN(ReferenceData!$F$818),"",ReferenceData!$F$818),"")</f>
        <v/>
      </c>
      <c r="G818">
        <f ca="1">IFERROR(IF(0=LEN(ReferenceData!$G$818),"",ReferenceData!$G$818),"")</f>
        <v>14</v>
      </c>
      <c r="H818">
        <f ca="1">IFERROR(IF(0=LEN(ReferenceData!$H$818),"",ReferenceData!$H$818),"")</f>
        <v>15</v>
      </c>
      <c r="I818">
        <f ca="1">IFERROR(IF(0=LEN(ReferenceData!$I$818),"",ReferenceData!$I$818),"")</f>
        <v>14.6</v>
      </c>
      <c r="J818">
        <f ca="1">IFERROR(IF(0=LEN(ReferenceData!$J$818),"",ReferenceData!$J$818),"")</f>
        <v>14.824</v>
      </c>
    </row>
    <row r="819" spans="1:10" x14ac:dyDescent="0.25">
      <c r="A819" t="str">
        <f>IFERROR(IF(0=LEN(ReferenceData!$A$819),"",ReferenceData!$A$819),"")</f>
        <v xml:space="preserve">                    Century Aluminum Co</v>
      </c>
      <c r="B819" t="str">
        <f>IFERROR(IF(0=LEN(ReferenceData!$B$819),"",ReferenceData!$B$819),"")</f>
        <v>CENX US Equity</v>
      </c>
      <c r="C819" t="str">
        <f>IFERROR(IF(0=LEN(ReferenceData!$C$819),"",ReferenceData!$C$819),"")</f>
        <v>F0946</v>
      </c>
      <c r="D819" t="str">
        <f>IFERROR(IF(0=LEN(ReferenceData!$D$819),"",ReferenceData!$D$819),"")</f>
        <v>TOTAL_GHG_CO2_EMISSIONS</v>
      </c>
      <c r="E819" t="str">
        <f>IFERROR(IF(0=LEN(ReferenceData!$E$819),"",ReferenceData!$E$819),"")</f>
        <v>Dynamic</v>
      </c>
      <c r="F819" t="str">
        <f ca="1">IFERROR(IF(0=LEN(ReferenceData!$F$819),"",ReferenceData!$F$819),"")</f>
        <v/>
      </c>
      <c r="G819">
        <f ca="1">IFERROR(IF(0=LEN(ReferenceData!$G$819),"",ReferenceData!$G$819),"")</f>
        <v>5.4392998050000001</v>
      </c>
      <c r="H819">
        <f ca="1">IFERROR(IF(0=LEN(ReferenceData!$H$819),"",ReferenceData!$H$819),"")</f>
        <v>5.5715400390000003</v>
      </c>
      <c r="I819">
        <f ca="1">IFERROR(IF(0=LEN(ReferenceData!$I$819),"",ReferenceData!$I$819),"")</f>
        <v>5.144830078</v>
      </c>
      <c r="J819">
        <f ca="1">IFERROR(IF(0=LEN(ReferenceData!$J$819),"",ReferenceData!$J$819),"")</f>
        <v>4.9547998050000004</v>
      </c>
    </row>
    <row r="820" spans="1:10" x14ac:dyDescent="0.25">
      <c r="A820" t="str">
        <f>IFERROR(IF(0=LEN(ReferenceData!$A$820),"",ReferenceData!$A$820),"")</f>
        <v xml:space="preserve">                    China Hongqiao Group Ltd</v>
      </c>
      <c r="B820" t="str">
        <f>IFERROR(IF(0=LEN(ReferenceData!$B$820),"",ReferenceData!$B$820),"")</f>
        <v>1378 HK Equity</v>
      </c>
      <c r="C820" t="str">
        <f>IFERROR(IF(0=LEN(ReferenceData!$C$820),"",ReferenceData!$C$820),"")</f>
        <v>F0946</v>
      </c>
      <c r="D820" t="str">
        <f>IFERROR(IF(0=LEN(ReferenceData!$D$820),"",ReferenceData!$D$820),"")</f>
        <v>TOTAL_GHG_CO2_EMISSIONS</v>
      </c>
      <c r="E820" t="str">
        <f>IFERROR(IF(0=LEN(ReferenceData!$E$820),"",ReferenceData!$E$820),"")</f>
        <v>Dynamic</v>
      </c>
      <c r="F820" t="str">
        <f ca="1">IFERROR(IF(0=LEN(ReferenceData!$F$820),"",ReferenceData!$F$820),"")</f>
        <v/>
      </c>
      <c r="G820">
        <f ca="1">IFERROR(IF(0=LEN(ReferenceData!$G$820),"",ReferenceData!$G$820),"")</f>
        <v>78.7</v>
      </c>
      <c r="H820">
        <f ca="1">IFERROR(IF(0=LEN(ReferenceData!$H$820),"",ReferenceData!$H$820),"")</f>
        <v>76.11</v>
      </c>
      <c r="I820">
        <f ca="1">IFERROR(IF(0=LEN(ReferenceData!$I$820),"",ReferenceData!$I$820),"")</f>
        <v>68.3</v>
      </c>
      <c r="J820">
        <f ca="1">IFERROR(IF(0=LEN(ReferenceData!$J$820),"",ReferenceData!$J$820),"")</f>
        <v>84.23</v>
      </c>
    </row>
    <row r="821" spans="1:10" x14ac:dyDescent="0.25">
      <c r="A821" t="str">
        <f>IFERROR(IF(0=LEN(ReferenceData!$A$821),"",ReferenceData!$A$821),"")</f>
        <v xml:space="preserve">                    China Rare Earth Resources And</v>
      </c>
      <c r="B821" t="str">
        <f>IFERROR(IF(0=LEN(ReferenceData!$B$821),"",ReferenceData!$B$821),"")</f>
        <v>000831 CH Equity</v>
      </c>
      <c r="C821" t="str">
        <f>IFERROR(IF(0=LEN(ReferenceData!$C$821),"",ReferenceData!$C$821),"")</f>
        <v>F0946</v>
      </c>
      <c r="D821" t="str">
        <f>IFERROR(IF(0=LEN(ReferenceData!$D$821),"",ReferenceData!$D$821),"")</f>
        <v>TOTAL_GHG_CO2_EMISSIONS</v>
      </c>
      <c r="E821" t="str">
        <f>IFERROR(IF(0=LEN(ReferenceData!$E$821),"",ReferenceData!$E$821),"")</f>
        <v>Dynamic</v>
      </c>
      <c r="F821">
        <f ca="1">IFERROR(IF(0=LEN(ReferenceData!$F$821),"",ReferenceData!$F$821),"")</f>
        <v>1.74027E-2</v>
      </c>
      <c r="G821" t="str">
        <f ca="1">IFERROR(IF(0=LEN(ReferenceData!$G$821),"",ReferenceData!$G$821),"")</f>
        <v/>
      </c>
      <c r="H821" t="str">
        <f ca="1">IFERROR(IF(0=LEN(ReferenceData!$H$821),"",ReferenceData!$H$821),"")</f>
        <v/>
      </c>
      <c r="I821" t="str">
        <f ca="1">IFERROR(IF(0=LEN(ReferenceData!$I$821),"",ReferenceData!$I$821),"")</f>
        <v/>
      </c>
      <c r="J821" t="str">
        <f ca="1">IFERROR(IF(0=LEN(ReferenceData!$J$821),"",ReferenceData!$J$821),"")</f>
        <v/>
      </c>
    </row>
    <row r="822" spans="1:10" x14ac:dyDescent="0.25">
      <c r="A822" t="str">
        <f>IFERROR(IF(0=LEN(ReferenceData!$A$822),"",ReferenceData!$A$822),"")</f>
        <v xml:space="preserve">                    CVG Industria Venezolana de Al</v>
      </c>
      <c r="B822" t="str">
        <f>IFERROR(IF(0=LEN(ReferenceData!$B$822),"",ReferenceData!$B$822),"")</f>
        <v>8134353Z VC Equity</v>
      </c>
      <c r="C822" t="str">
        <f>IFERROR(IF(0=LEN(ReferenceData!$C$822),"",ReferenceData!$C$822),"")</f>
        <v>F0946</v>
      </c>
      <c r="D822" t="str">
        <f>IFERROR(IF(0=LEN(ReferenceData!$D$822),"",ReferenceData!$D$822),"")</f>
        <v>TOTAL_GHG_CO2_EMISSIONS</v>
      </c>
      <c r="E822" t="str">
        <f>IFERROR(IF(0=LEN(ReferenceData!$E$822),"",ReferenceData!$E$822),"")</f>
        <v>Dynamic</v>
      </c>
      <c r="F822" t="str">
        <f ca="1">IFERROR(IF(0=LEN(ReferenceData!$F$822),"",ReferenceData!$F$822),"")</f>
        <v/>
      </c>
      <c r="G822" t="str">
        <f ca="1">IFERROR(IF(0=LEN(ReferenceData!$G$822),"",ReferenceData!$G$822),"")</f>
        <v/>
      </c>
      <c r="H822" t="str">
        <f ca="1">IFERROR(IF(0=LEN(ReferenceData!$H$822),"",ReferenceData!$H$822),"")</f>
        <v/>
      </c>
      <c r="I822" t="str">
        <f ca="1">IFERROR(IF(0=LEN(ReferenceData!$I$822),"",ReferenceData!$I$822),"")</f>
        <v/>
      </c>
      <c r="J822" t="str">
        <f ca="1">IFERROR(IF(0=LEN(ReferenceData!$J$822),"",ReferenceData!$J$822),"")</f>
        <v/>
      </c>
    </row>
    <row r="823" spans="1:10" x14ac:dyDescent="0.25">
      <c r="A823" t="str">
        <f>IFERROR(IF(0=LEN(ReferenceData!$A$823),"",ReferenceData!$A$823),"")</f>
        <v xml:space="preserve">                    Dubai Aluminium Co Ltd</v>
      </c>
      <c r="B823" t="str">
        <f>IFERROR(IF(0=LEN(ReferenceData!$B$823),"",ReferenceData!$B$823),"")</f>
        <v>606833Z UH Equity</v>
      </c>
      <c r="C823" t="str">
        <f>IFERROR(IF(0=LEN(ReferenceData!$C$823),"",ReferenceData!$C$823),"")</f>
        <v>F0946</v>
      </c>
      <c r="D823" t="str">
        <f>IFERROR(IF(0=LEN(ReferenceData!$D$823),"",ReferenceData!$D$823),"")</f>
        <v>TOTAL_GHG_CO2_EMISSIONS</v>
      </c>
      <c r="E823" t="str">
        <f>IFERROR(IF(0=LEN(ReferenceData!$E$823),"",ReferenceData!$E$823),"")</f>
        <v>Dynamic</v>
      </c>
      <c r="F823" t="str">
        <f ca="1">IFERROR(IF(0=LEN(ReferenceData!$F$823),"",ReferenceData!$F$823),"")</f>
        <v/>
      </c>
      <c r="G823" t="str">
        <f ca="1">IFERROR(IF(0=LEN(ReferenceData!$G$823),"",ReferenceData!$G$823),"")</f>
        <v/>
      </c>
      <c r="H823" t="str">
        <f ca="1">IFERROR(IF(0=LEN(ReferenceData!$H$823),"",ReferenceData!$H$823),"")</f>
        <v/>
      </c>
      <c r="I823" t="str">
        <f ca="1">IFERROR(IF(0=LEN(ReferenceData!$I$823),"",ReferenceData!$I$823),"")</f>
        <v/>
      </c>
      <c r="J823" t="str">
        <f ca="1">IFERROR(IF(0=LEN(ReferenceData!$J$823),"",ReferenceData!$J$823),"")</f>
        <v/>
      </c>
    </row>
    <row r="824" spans="1:10" x14ac:dyDescent="0.25">
      <c r="A824" t="str">
        <f>IFERROR(IF(0=LEN(ReferenceData!$A$824),"",ReferenceData!$A$824),"")</f>
        <v xml:space="preserve">                    Egypt Aluminium</v>
      </c>
      <c r="B824" t="str">
        <f>IFERROR(IF(0=LEN(ReferenceData!$B$824),"",ReferenceData!$B$824),"")</f>
        <v>EGAL EY Equity</v>
      </c>
      <c r="C824" t="str">
        <f>IFERROR(IF(0=LEN(ReferenceData!$C$824),"",ReferenceData!$C$824),"")</f>
        <v>F0946</v>
      </c>
      <c r="D824" t="str">
        <f>IFERROR(IF(0=LEN(ReferenceData!$D$824),"",ReferenceData!$D$824),"")</f>
        <v>TOTAL_GHG_CO2_EMISSIONS</v>
      </c>
      <c r="E824" t="str">
        <f>IFERROR(IF(0=LEN(ReferenceData!$E$824),"",ReferenceData!$E$824),"")</f>
        <v>Dynamic</v>
      </c>
      <c r="F824" t="str">
        <f ca="1">IFERROR(IF(0=LEN(ReferenceData!$F$824),"",ReferenceData!$F$824),"")</f>
        <v/>
      </c>
      <c r="G824" t="str">
        <f ca="1">IFERROR(IF(0=LEN(ReferenceData!$G$824),"",ReferenceData!$G$824),"")</f>
        <v/>
      </c>
      <c r="H824" t="str">
        <f ca="1">IFERROR(IF(0=LEN(ReferenceData!$H$824),"",ReferenceData!$H$824),"")</f>
        <v/>
      </c>
      <c r="I824" t="str">
        <f ca="1">IFERROR(IF(0=LEN(ReferenceData!$I$824),"",ReferenceData!$I$824),"")</f>
        <v/>
      </c>
      <c r="J824" t="str">
        <f ca="1">IFERROR(IF(0=LEN(ReferenceData!$J$824),"",ReferenceData!$J$824),"")</f>
        <v/>
      </c>
    </row>
    <row r="825" spans="1:10" x14ac:dyDescent="0.25">
      <c r="A825" t="str">
        <f>IFERROR(IF(0=LEN(ReferenceData!$A$825),"",ReferenceData!$A$825),"")</f>
        <v xml:space="preserve">                    Guangdong HEC Technology Holdi</v>
      </c>
      <c r="B825" t="str">
        <f>IFERROR(IF(0=LEN(ReferenceData!$B$825),"",ReferenceData!$B$825),"")</f>
        <v>600673 CH Equity</v>
      </c>
      <c r="C825" t="str">
        <f>IFERROR(IF(0=LEN(ReferenceData!$C$825),"",ReferenceData!$C$825),"")</f>
        <v>F0946</v>
      </c>
      <c r="D825" t="str">
        <f>IFERROR(IF(0=LEN(ReferenceData!$D$825),"",ReferenceData!$D$825),"")</f>
        <v>TOTAL_GHG_CO2_EMISSIONS</v>
      </c>
      <c r="E825" t="str">
        <f>IFERROR(IF(0=LEN(ReferenceData!$E$825),"",ReferenceData!$E$825),"")</f>
        <v>Dynamic</v>
      </c>
      <c r="F825" t="str">
        <f ca="1">IFERROR(IF(0=LEN(ReferenceData!$F$825),"",ReferenceData!$F$825),"")</f>
        <v/>
      </c>
      <c r="G825" t="str">
        <f ca="1">IFERROR(IF(0=LEN(ReferenceData!$G$825),"",ReferenceData!$G$825),"")</f>
        <v/>
      </c>
      <c r="H825" t="str">
        <f ca="1">IFERROR(IF(0=LEN(ReferenceData!$H$825),"",ReferenceData!$H$825),"")</f>
        <v/>
      </c>
      <c r="I825" t="str">
        <f ca="1">IFERROR(IF(0=LEN(ReferenceData!$I$825),"",ReferenceData!$I$825),"")</f>
        <v/>
      </c>
      <c r="J825" t="str">
        <f ca="1">IFERROR(IF(0=LEN(ReferenceData!$J$825),"",ReferenceData!$J$825),"")</f>
        <v/>
      </c>
    </row>
    <row r="826" spans="1:10" x14ac:dyDescent="0.25">
      <c r="A826" t="str">
        <f>IFERROR(IF(0=LEN(ReferenceData!$A$826),"",ReferenceData!$A$826),"")</f>
        <v xml:space="preserve">                    Henan Zhongfu Industry Co Ltd</v>
      </c>
      <c r="B826" t="str">
        <f>IFERROR(IF(0=LEN(ReferenceData!$B$826),"",ReferenceData!$B$826),"")</f>
        <v>600595 CH Equity</v>
      </c>
      <c r="C826" t="str">
        <f>IFERROR(IF(0=LEN(ReferenceData!$C$826),"",ReferenceData!$C$826),"")</f>
        <v>F0946</v>
      </c>
      <c r="D826" t="str">
        <f>IFERROR(IF(0=LEN(ReferenceData!$D$826),"",ReferenceData!$D$826),"")</f>
        <v>TOTAL_GHG_CO2_EMISSIONS</v>
      </c>
      <c r="E826" t="str">
        <f>IFERROR(IF(0=LEN(ReferenceData!$E$826),"",ReferenceData!$E$826),"")</f>
        <v>Dynamic</v>
      </c>
      <c r="F826" t="str">
        <f ca="1">IFERROR(IF(0=LEN(ReferenceData!$F$826),"",ReferenceData!$F$826),"")</f>
        <v/>
      </c>
      <c r="G826" t="str">
        <f ca="1">IFERROR(IF(0=LEN(ReferenceData!$G$826),"",ReferenceData!$G$826),"")</f>
        <v/>
      </c>
      <c r="H826" t="str">
        <f ca="1">IFERROR(IF(0=LEN(ReferenceData!$H$826),"",ReferenceData!$H$826),"")</f>
        <v/>
      </c>
      <c r="I826" t="str">
        <f ca="1">IFERROR(IF(0=LEN(ReferenceData!$I$826),"",ReferenceData!$I$826),"")</f>
        <v/>
      </c>
      <c r="J826" t="str">
        <f ca="1">IFERROR(IF(0=LEN(ReferenceData!$J$826),"",ReferenceData!$J$826),"")</f>
        <v/>
      </c>
    </row>
    <row r="827" spans="1:10" x14ac:dyDescent="0.25">
      <c r="A827" t="str">
        <f>IFERROR(IF(0=LEN(ReferenceData!$A$827),"",ReferenceData!$A$827),"")</f>
        <v xml:space="preserve">                    Hindalco Industries Ltd</v>
      </c>
      <c r="B827" t="str">
        <f>IFERROR(IF(0=LEN(ReferenceData!$B$827),"",ReferenceData!$B$827),"")</f>
        <v>HNDL IN Equity</v>
      </c>
      <c r="C827" t="str">
        <f>IFERROR(IF(0=LEN(ReferenceData!$C$827),"",ReferenceData!$C$827),"")</f>
        <v>F0946</v>
      </c>
      <c r="D827" t="str">
        <f>IFERROR(IF(0=LEN(ReferenceData!$D$827),"",ReferenceData!$D$827),"")</f>
        <v>TOTAL_GHG_CO2_EMISSIONS</v>
      </c>
      <c r="E827" t="str">
        <f>IFERROR(IF(0=LEN(ReferenceData!$E$827),"",ReferenceData!$E$827),"")</f>
        <v>Dynamic</v>
      </c>
      <c r="F827" t="str">
        <f ca="1">IFERROR(IF(0=LEN(ReferenceData!$F$827),"",ReferenceData!$F$827),"")</f>
        <v/>
      </c>
      <c r="G827" t="str">
        <f ca="1">IFERROR(IF(0=LEN(ReferenceData!$G$827),"",ReferenceData!$G$827),"")</f>
        <v/>
      </c>
      <c r="H827" t="str">
        <f ca="1">IFERROR(IF(0=LEN(ReferenceData!$H$827),"",ReferenceData!$H$827),"")</f>
        <v/>
      </c>
      <c r="I827">
        <f ca="1">IFERROR(IF(0=LEN(ReferenceData!$I$827),"",ReferenceData!$I$827),"")</f>
        <v>27.62</v>
      </c>
      <c r="J827" t="str">
        <f ca="1">IFERROR(IF(0=LEN(ReferenceData!$J$827),"",ReferenceData!$J$827),"")</f>
        <v/>
      </c>
    </row>
    <row r="828" spans="1:10" x14ac:dyDescent="0.25">
      <c r="A828" t="str">
        <f>IFERROR(IF(0=LEN(ReferenceData!$A$828),"",ReferenceData!$A$828),"")</f>
        <v xml:space="preserve">                    Jiaozuo Wanfang Aluminum Manuf</v>
      </c>
      <c r="B828" t="str">
        <f>IFERROR(IF(0=LEN(ReferenceData!$B$828),"",ReferenceData!$B$828),"")</f>
        <v>000612 CH Equity</v>
      </c>
      <c r="C828" t="str">
        <f>IFERROR(IF(0=LEN(ReferenceData!$C$828),"",ReferenceData!$C$828),"")</f>
        <v>F0946</v>
      </c>
      <c r="D828" t="str">
        <f>IFERROR(IF(0=LEN(ReferenceData!$D$828),"",ReferenceData!$D$828),"")</f>
        <v>TOTAL_GHG_CO2_EMISSIONS</v>
      </c>
      <c r="E828" t="str">
        <f>IFERROR(IF(0=LEN(ReferenceData!$E$828),"",ReferenceData!$E$828),"")</f>
        <v>Dynamic</v>
      </c>
      <c r="F828" t="str">
        <f ca="1">IFERROR(IF(0=LEN(ReferenceData!$F$828),"",ReferenceData!$F$828),"")</f>
        <v/>
      </c>
      <c r="G828" t="str">
        <f ca="1">IFERROR(IF(0=LEN(ReferenceData!$G$828),"",ReferenceData!$G$828),"")</f>
        <v/>
      </c>
      <c r="H828" t="str">
        <f ca="1">IFERROR(IF(0=LEN(ReferenceData!$H$828),"",ReferenceData!$H$828),"")</f>
        <v/>
      </c>
      <c r="I828" t="str">
        <f ca="1">IFERROR(IF(0=LEN(ReferenceData!$I$828),"",ReferenceData!$I$828),"")</f>
        <v/>
      </c>
      <c r="J828" t="str">
        <f ca="1">IFERROR(IF(0=LEN(ReferenceData!$J$828),"",ReferenceData!$J$828),"")</f>
        <v/>
      </c>
    </row>
    <row r="829" spans="1:10" x14ac:dyDescent="0.25">
      <c r="A829" t="str">
        <f>IFERROR(IF(0=LEN(ReferenceData!$A$829),"",ReferenceData!$A$829),"")</f>
        <v xml:space="preserve">                    Kaiser Aluminum Corp</v>
      </c>
      <c r="B829" t="str">
        <f>IFERROR(IF(0=LEN(ReferenceData!$B$829),"",ReferenceData!$B$829),"")</f>
        <v>KALU US Equity</v>
      </c>
      <c r="C829" t="str">
        <f>IFERROR(IF(0=LEN(ReferenceData!$C$829),"",ReferenceData!$C$829),"")</f>
        <v>F0946</v>
      </c>
      <c r="D829" t="str">
        <f>IFERROR(IF(0=LEN(ReferenceData!$D$829),"",ReferenceData!$D$829),"")</f>
        <v>TOTAL_GHG_CO2_EMISSIONS</v>
      </c>
      <c r="E829" t="str">
        <f>IFERROR(IF(0=LEN(ReferenceData!$E$829),"",ReferenceData!$E$829),"")</f>
        <v>Dynamic</v>
      </c>
      <c r="F829" t="str">
        <f ca="1">IFERROR(IF(0=LEN(ReferenceData!$F$829),"",ReferenceData!$F$829),"")</f>
        <v/>
      </c>
      <c r="G829">
        <f ca="1">IFERROR(IF(0=LEN(ReferenceData!$G$829),"",ReferenceData!$G$829),"")</f>
        <v>1.101459961</v>
      </c>
      <c r="H829">
        <f ca="1">IFERROR(IF(0=LEN(ReferenceData!$H$829),"",ReferenceData!$H$829),"")</f>
        <v>0.34639599599999998</v>
      </c>
      <c r="I829" t="str">
        <f ca="1">IFERROR(IF(0=LEN(ReferenceData!$I$829),"",ReferenceData!$I$829),"")</f>
        <v/>
      </c>
      <c r="J829" t="str">
        <f ca="1">IFERROR(IF(0=LEN(ReferenceData!$J$829),"",ReferenceData!$J$829),"")</f>
        <v/>
      </c>
    </row>
    <row r="830" spans="1:10" x14ac:dyDescent="0.25">
      <c r="A830" t="str">
        <f>IFERROR(IF(0=LEN(ReferenceData!$A$830),"",ReferenceData!$A$830),"")</f>
        <v xml:space="preserve">                    Mytilineos SA</v>
      </c>
      <c r="B830" t="str">
        <f>IFERROR(IF(0=LEN(ReferenceData!$B$830),"",ReferenceData!$B$830),"")</f>
        <v>MYTIL GA Equity</v>
      </c>
      <c r="C830" t="str">
        <f>IFERROR(IF(0=LEN(ReferenceData!$C$830),"",ReferenceData!$C$830),"")</f>
        <v>F0946</v>
      </c>
      <c r="D830" t="str">
        <f>IFERROR(IF(0=LEN(ReferenceData!$D$830),"",ReferenceData!$D$830),"")</f>
        <v>TOTAL_GHG_CO2_EMISSIONS</v>
      </c>
      <c r="E830" t="str">
        <f>IFERROR(IF(0=LEN(ReferenceData!$E$830),"",ReferenceData!$E$830),"")</f>
        <v>Dynamic</v>
      </c>
      <c r="F830" t="str">
        <f ca="1">IFERROR(IF(0=LEN(ReferenceData!$F$830),"",ReferenceData!$F$830),"")</f>
        <v/>
      </c>
      <c r="G830">
        <f ca="1">IFERROR(IF(0=LEN(ReferenceData!$G$830),"",ReferenceData!$G$830),"")</f>
        <v>4.0639599610000001</v>
      </c>
      <c r="H830">
        <f ca="1">IFERROR(IF(0=LEN(ReferenceData!$H$830),"",ReferenceData!$H$830),"")</f>
        <v>4.4594199220000004</v>
      </c>
      <c r="I830">
        <f ca="1">IFERROR(IF(0=LEN(ReferenceData!$I$830),"",ReferenceData!$I$830),"")</f>
        <v>4.6393198240000002</v>
      </c>
      <c r="J830">
        <f ca="1">IFERROR(IF(0=LEN(ReferenceData!$J$830),"",ReferenceData!$J$830),"")</f>
        <v>4.375339844</v>
      </c>
    </row>
    <row r="831" spans="1:10" x14ac:dyDescent="0.25">
      <c r="A831" t="str">
        <f>IFERROR(IF(0=LEN(ReferenceData!$A$831),"",ReferenceData!$A$831),"")</f>
        <v xml:space="preserve">                    National Aluminium Co Ltd</v>
      </c>
      <c r="B831" t="str">
        <f>IFERROR(IF(0=LEN(ReferenceData!$B$831),"",ReferenceData!$B$831),"")</f>
        <v>NACL IN Equity</v>
      </c>
      <c r="C831" t="str">
        <f>IFERROR(IF(0=LEN(ReferenceData!$C$831),"",ReferenceData!$C$831),"")</f>
        <v>F0946</v>
      </c>
      <c r="D831" t="str">
        <f>IFERROR(IF(0=LEN(ReferenceData!$D$831),"",ReferenceData!$D$831),"")</f>
        <v>TOTAL_GHG_CO2_EMISSIONS</v>
      </c>
      <c r="E831" t="str">
        <f>IFERROR(IF(0=LEN(ReferenceData!$E$831),"",ReferenceData!$E$831),"")</f>
        <v>Dynamic</v>
      </c>
      <c r="F831" t="str">
        <f ca="1">IFERROR(IF(0=LEN(ReferenceData!$F$831),"",ReferenceData!$F$831),"")</f>
        <v/>
      </c>
      <c r="G831" t="str">
        <f ca="1">IFERROR(IF(0=LEN(ReferenceData!$G$831),"",ReferenceData!$G$831),"")</f>
        <v/>
      </c>
      <c r="H831" t="str">
        <f ca="1">IFERROR(IF(0=LEN(ReferenceData!$H$831),"",ReferenceData!$H$831),"")</f>
        <v/>
      </c>
      <c r="I831" t="str">
        <f ca="1">IFERROR(IF(0=LEN(ReferenceData!$I$831),"",ReferenceData!$I$831),"")</f>
        <v/>
      </c>
      <c r="J831" t="str">
        <f ca="1">IFERROR(IF(0=LEN(ReferenceData!$J$831),"",ReferenceData!$J$831),"")</f>
        <v/>
      </c>
    </row>
    <row r="832" spans="1:10" x14ac:dyDescent="0.25">
      <c r="A832" t="str">
        <f>IFERROR(IF(0=LEN(ReferenceData!$A$832),"",ReferenceData!$A$832),"")</f>
        <v xml:space="preserve">                    Noranda Aluminum Holding Corp</v>
      </c>
      <c r="B832" t="str">
        <f>IFERROR(IF(0=LEN(ReferenceData!$B$832),"",ReferenceData!$B$832),"")</f>
        <v>NORNQ US Equity</v>
      </c>
      <c r="C832" t="str">
        <f>IFERROR(IF(0=LEN(ReferenceData!$C$832),"",ReferenceData!$C$832),"")</f>
        <v>F0946</v>
      </c>
      <c r="D832" t="str">
        <f>IFERROR(IF(0=LEN(ReferenceData!$D$832),"",ReferenceData!$D$832),"")</f>
        <v>TOTAL_GHG_CO2_EMISSIONS</v>
      </c>
      <c r="E832" t="str">
        <f>IFERROR(IF(0=LEN(ReferenceData!$E$832),"",ReferenceData!$E$832),"")</f>
        <v>Dynamic</v>
      </c>
      <c r="F832" t="str">
        <f ca="1">IFERROR(IF(0=LEN(ReferenceData!$F$832),"",ReferenceData!$F$832),"")</f>
        <v/>
      </c>
      <c r="G832" t="str">
        <f ca="1">IFERROR(IF(0=LEN(ReferenceData!$G$832),"",ReferenceData!$G$832),"")</f>
        <v/>
      </c>
      <c r="H832" t="str">
        <f ca="1">IFERROR(IF(0=LEN(ReferenceData!$H$832),"",ReferenceData!$H$832),"")</f>
        <v/>
      </c>
      <c r="I832" t="str">
        <f ca="1">IFERROR(IF(0=LEN(ReferenceData!$I$832),"",ReferenceData!$I$832),"")</f>
        <v/>
      </c>
      <c r="J832" t="str">
        <f ca="1">IFERROR(IF(0=LEN(ReferenceData!$J$832),"",ReferenceData!$J$832),"")</f>
        <v/>
      </c>
    </row>
    <row r="833" spans="1:10" x14ac:dyDescent="0.25">
      <c r="A833" t="str">
        <f>IFERROR(IF(0=LEN(ReferenceData!$A$833),"",ReferenceData!$A$833),"")</f>
        <v xml:space="preserve">                    Norsk Hydro ASA</v>
      </c>
      <c r="B833" t="str">
        <f>IFERROR(IF(0=LEN(ReferenceData!$B$833),"",ReferenceData!$B$833),"")</f>
        <v>NHY NO Equity</v>
      </c>
      <c r="C833" t="str">
        <f>IFERROR(IF(0=LEN(ReferenceData!$C$833),"",ReferenceData!$C$833),"")</f>
        <v>F0946</v>
      </c>
      <c r="D833" t="str">
        <f>IFERROR(IF(0=LEN(ReferenceData!$D$833),"",ReferenceData!$D$833),"")</f>
        <v>TOTAL_GHG_CO2_EMISSIONS</v>
      </c>
      <c r="E833" t="str">
        <f>IFERROR(IF(0=LEN(ReferenceData!$E$833),"",ReferenceData!$E$833),"")</f>
        <v>Dynamic</v>
      </c>
      <c r="F833" t="str">
        <f ca="1">IFERROR(IF(0=LEN(ReferenceData!$F$833),"",ReferenceData!$F$833),"")</f>
        <v/>
      </c>
      <c r="G833">
        <f ca="1">IFERROR(IF(0=LEN(ReferenceData!$G$833),"",ReferenceData!$G$833),"")</f>
        <v>11.31009961</v>
      </c>
      <c r="H833">
        <f ca="1">IFERROR(IF(0=LEN(ReferenceData!$H$833),"",ReferenceData!$H$833),"")</f>
        <v>11.85</v>
      </c>
      <c r="I833">
        <f ca="1">IFERROR(IF(0=LEN(ReferenceData!$I$833),"",ReferenceData!$I$833),"")</f>
        <v>12.6892002</v>
      </c>
      <c r="J833">
        <f ca="1">IFERROR(IF(0=LEN(ReferenceData!$J$833),"",ReferenceData!$J$833),"")</f>
        <v>12.78509961</v>
      </c>
    </row>
    <row r="834" spans="1:10" x14ac:dyDescent="0.25">
      <c r="A834" t="str">
        <f>IFERROR(IF(0=LEN(ReferenceData!$A$834),"",ReferenceData!$A$834),"")</f>
        <v xml:space="preserve">                    Rio Tinto PLC</v>
      </c>
      <c r="B834" t="str">
        <f>IFERROR(IF(0=LEN(ReferenceData!$B$834),"",ReferenceData!$B$834),"")</f>
        <v>RIO LN Equity</v>
      </c>
      <c r="C834" t="str">
        <f>IFERROR(IF(0=LEN(ReferenceData!$C$834),"",ReferenceData!$C$834),"")</f>
        <v>F0946</v>
      </c>
      <c r="D834" t="str">
        <f>IFERROR(IF(0=LEN(ReferenceData!$D$834),"",ReferenceData!$D$834),"")</f>
        <v>TOTAL_GHG_CO2_EMISSIONS</v>
      </c>
      <c r="E834" t="str">
        <f>IFERROR(IF(0=LEN(ReferenceData!$E$834),"",ReferenceData!$E$834),"")</f>
        <v>Dynamic</v>
      </c>
      <c r="F834">
        <f ca="1">IFERROR(IF(0=LEN(ReferenceData!$F$834),"",ReferenceData!$F$834),"")</f>
        <v>30.3</v>
      </c>
      <c r="G834">
        <f ca="1">IFERROR(IF(0=LEN(ReferenceData!$G$834),"",ReferenceData!$G$834),"")</f>
        <v>30</v>
      </c>
      <c r="H834">
        <f ca="1">IFERROR(IF(0=LEN(ReferenceData!$H$834),"",ReferenceData!$H$834),"")</f>
        <v>24.911999999999999</v>
      </c>
      <c r="I834">
        <f ca="1">IFERROR(IF(0=LEN(ReferenceData!$I$834),"",ReferenceData!$I$834),"")</f>
        <v>24.8</v>
      </c>
      <c r="J834">
        <f ca="1">IFERROR(IF(0=LEN(ReferenceData!$J$834),"",ReferenceData!$J$834),"")</f>
        <v>25.5</v>
      </c>
    </row>
    <row r="835" spans="1:10" x14ac:dyDescent="0.25">
      <c r="A835" t="str">
        <f>IFERROR(IF(0=LEN(ReferenceData!$A$835),"",ReferenceData!$A$835),"")</f>
        <v xml:space="preserve">                    Shandong Nanshan Aluminum Co L</v>
      </c>
      <c r="B835" t="str">
        <f>IFERROR(IF(0=LEN(ReferenceData!$B$835),"",ReferenceData!$B$835),"")</f>
        <v>600219 CH Equity</v>
      </c>
      <c r="C835" t="str">
        <f>IFERROR(IF(0=LEN(ReferenceData!$C$835),"",ReferenceData!$C$835),"")</f>
        <v>F0946</v>
      </c>
      <c r="D835" t="str">
        <f>IFERROR(IF(0=LEN(ReferenceData!$D$835),"",ReferenceData!$D$835),"")</f>
        <v>TOTAL_GHG_CO2_EMISSIONS</v>
      </c>
      <c r="E835" t="str">
        <f>IFERROR(IF(0=LEN(ReferenceData!$E$835),"",ReferenceData!$E$835),"")</f>
        <v>Dynamic</v>
      </c>
      <c r="F835" t="str">
        <f ca="1">IFERROR(IF(0=LEN(ReferenceData!$F$835),"",ReferenceData!$F$835),"")</f>
        <v/>
      </c>
      <c r="G835">
        <f ca="1">IFERROR(IF(0=LEN(ReferenceData!$G$835),"",ReferenceData!$G$835),"")</f>
        <v>7.7965</v>
      </c>
      <c r="H835">
        <f ca="1">IFERROR(IF(0=LEN(ReferenceData!$H$835),"",ReferenceData!$H$835),"")</f>
        <v>8.0683500979999998</v>
      </c>
      <c r="I835" t="str">
        <f ca="1">IFERROR(IF(0=LEN(ReferenceData!$I$835),"",ReferenceData!$I$835),"")</f>
        <v/>
      </c>
      <c r="J835" t="str">
        <f ca="1">IFERROR(IF(0=LEN(ReferenceData!$J$835),"",ReferenceData!$J$835),"")</f>
        <v/>
      </c>
    </row>
    <row r="836" spans="1:10" x14ac:dyDescent="0.25">
      <c r="A836" t="str">
        <f>IFERROR(IF(0=LEN(ReferenceData!$A$836),"",ReferenceData!$A$836),"")</f>
        <v xml:space="preserve">                    South32 Ltd</v>
      </c>
      <c r="B836" t="str">
        <f>IFERROR(IF(0=LEN(ReferenceData!$B$836),"",ReferenceData!$B$836),"")</f>
        <v>S32 AU Equity</v>
      </c>
      <c r="C836" t="str">
        <f>IFERROR(IF(0=LEN(ReferenceData!$C$836),"",ReferenceData!$C$836),"")</f>
        <v>F0946</v>
      </c>
      <c r="D836" t="str">
        <f>IFERROR(IF(0=LEN(ReferenceData!$D$836),"",ReferenceData!$D$836),"")</f>
        <v>TOTAL_GHG_CO2_EMISSIONS</v>
      </c>
      <c r="E836" t="str">
        <f>IFERROR(IF(0=LEN(ReferenceData!$E$836),"",ReferenceData!$E$836),"")</f>
        <v>Dynamic</v>
      </c>
      <c r="F836" t="str">
        <f ca="1">IFERROR(IF(0=LEN(ReferenceData!$F$836),"",ReferenceData!$F$836),"")</f>
        <v/>
      </c>
      <c r="G836">
        <f ca="1">IFERROR(IF(0=LEN(ReferenceData!$G$836),"",ReferenceData!$G$836),"")</f>
        <v>29.8</v>
      </c>
      <c r="H836">
        <f ca="1">IFERROR(IF(0=LEN(ReferenceData!$H$836),"",ReferenceData!$H$836),"")</f>
        <v>30.1</v>
      </c>
      <c r="I836">
        <f ca="1">IFERROR(IF(0=LEN(ReferenceData!$I$836),"",ReferenceData!$I$836),"")</f>
        <v>31.5</v>
      </c>
      <c r="J836">
        <f ca="1">IFERROR(IF(0=LEN(ReferenceData!$J$836),"",ReferenceData!$J$836),"")</f>
        <v>30.1</v>
      </c>
    </row>
    <row r="837" spans="1:10" x14ac:dyDescent="0.25">
      <c r="A837" t="str">
        <f>IFERROR(IF(0=LEN(ReferenceData!$A$837),"",ReferenceData!$A$837),"")</f>
        <v xml:space="preserve">                    United Co RUSAL International</v>
      </c>
      <c r="B837" t="str">
        <f>IFERROR(IF(0=LEN(ReferenceData!$B$837),"",ReferenceData!$B$837),"")</f>
        <v>486 HK Equity</v>
      </c>
      <c r="C837" t="str">
        <f>IFERROR(IF(0=LEN(ReferenceData!$C$837),"",ReferenceData!$C$837),"")</f>
        <v>F0946</v>
      </c>
      <c r="D837" t="str">
        <f>IFERROR(IF(0=LEN(ReferenceData!$D$837),"",ReferenceData!$D$837),"")</f>
        <v>TOTAL_GHG_CO2_EMISSIONS</v>
      </c>
      <c r="E837" t="str">
        <f>IFERROR(IF(0=LEN(ReferenceData!$E$837),"",ReferenceData!$E$837),"")</f>
        <v>Dynamic</v>
      </c>
      <c r="F837" t="str">
        <f ca="1">IFERROR(IF(0=LEN(ReferenceData!$F$837),"",ReferenceData!$F$837),"")</f>
        <v/>
      </c>
      <c r="G837" t="str">
        <f ca="1">IFERROR(IF(0=LEN(ReferenceData!$G$837),"",ReferenceData!$G$837),"")</f>
        <v/>
      </c>
      <c r="H837" t="str">
        <f ca="1">IFERROR(IF(0=LEN(ReferenceData!$H$837),"",ReferenceData!$H$837),"")</f>
        <v/>
      </c>
      <c r="I837" t="str">
        <f ca="1">IFERROR(IF(0=LEN(ReferenceData!$I$837),"",ReferenceData!$I$837),"")</f>
        <v/>
      </c>
      <c r="J837">
        <f ca="1">IFERROR(IF(0=LEN(ReferenceData!$J$837),"",ReferenceData!$J$837),"")</f>
        <v>30.905300780000001</v>
      </c>
    </row>
    <row r="838" spans="1:10" x14ac:dyDescent="0.25">
      <c r="A838" t="str">
        <f>IFERROR(IF(0=LEN(ReferenceData!$A$838),"",ReferenceData!$A$838),"")</f>
        <v xml:space="preserve">                    Vedanta Ltd</v>
      </c>
      <c r="B838" t="str">
        <f>IFERROR(IF(0=LEN(ReferenceData!$B$838),"",ReferenceData!$B$838),"")</f>
        <v>VEDL IN Equity</v>
      </c>
      <c r="C838" t="str">
        <f>IFERROR(IF(0=LEN(ReferenceData!$C$838),"",ReferenceData!$C$838),"")</f>
        <v>F0946</v>
      </c>
      <c r="D838" t="str">
        <f>IFERROR(IF(0=LEN(ReferenceData!$D$838),"",ReferenceData!$D$838),"")</f>
        <v>TOTAL_GHG_CO2_EMISSIONS</v>
      </c>
      <c r="E838" t="str">
        <f>IFERROR(IF(0=LEN(ReferenceData!$E$838),"",ReferenceData!$E$838),"")</f>
        <v>Dynamic</v>
      </c>
      <c r="F838" t="str">
        <f ca="1">IFERROR(IF(0=LEN(ReferenceData!$F$838),"",ReferenceData!$F$838),"")</f>
        <v/>
      </c>
      <c r="G838">
        <f ca="1">IFERROR(IF(0=LEN(ReferenceData!$G$838),"",ReferenceData!$G$838),"")</f>
        <v>62.829500000000003</v>
      </c>
      <c r="H838">
        <f ca="1">IFERROR(IF(0=LEN(ReferenceData!$H$838),"",ReferenceData!$H$838),"")</f>
        <v>60.24</v>
      </c>
      <c r="I838">
        <f ca="1">IFERROR(IF(0=LEN(ReferenceData!$I$838),"",ReferenceData!$I$838),"")</f>
        <v>59.34</v>
      </c>
      <c r="J838">
        <f ca="1">IFERROR(IF(0=LEN(ReferenceData!$J$838),"",ReferenceData!$J$838),"")</f>
        <v>58.5</v>
      </c>
    </row>
    <row r="839" spans="1:10" x14ac:dyDescent="0.25">
      <c r="A839" t="str">
        <f>IFERROR(IF(0=LEN(ReferenceData!$A$839),"",ReferenceData!$A$839),"")</f>
        <v xml:space="preserve">                    Xinjiang Joinworld Co Ltd</v>
      </c>
      <c r="B839" t="str">
        <f>IFERROR(IF(0=LEN(ReferenceData!$B$839),"",ReferenceData!$B$839),"")</f>
        <v>600888 CH Equity</v>
      </c>
      <c r="C839" t="str">
        <f>IFERROR(IF(0=LEN(ReferenceData!$C$839),"",ReferenceData!$C$839),"")</f>
        <v>F0946</v>
      </c>
      <c r="D839" t="str">
        <f>IFERROR(IF(0=LEN(ReferenceData!$D$839),"",ReferenceData!$D$839),"")</f>
        <v>TOTAL_GHG_CO2_EMISSIONS</v>
      </c>
      <c r="E839" t="str">
        <f>IFERROR(IF(0=LEN(ReferenceData!$E$839),"",ReferenceData!$E$839),"")</f>
        <v>Dynamic</v>
      </c>
      <c r="F839" t="str">
        <f ca="1">IFERROR(IF(0=LEN(ReferenceData!$F$839),"",ReferenceData!$F$839),"")</f>
        <v/>
      </c>
      <c r="G839" t="str">
        <f ca="1">IFERROR(IF(0=LEN(ReferenceData!$G$839),"",ReferenceData!$G$839),"")</f>
        <v/>
      </c>
      <c r="H839" t="str">
        <f ca="1">IFERROR(IF(0=LEN(ReferenceData!$H$839),"",ReferenceData!$H$839),"")</f>
        <v/>
      </c>
      <c r="I839" t="str">
        <f ca="1">IFERROR(IF(0=LEN(ReferenceData!$I$839),"",ReferenceData!$I$839),"")</f>
        <v/>
      </c>
      <c r="J839" t="str">
        <f ca="1">IFERROR(IF(0=LEN(ReferenceData!$J$839),"",ReferenceData!$J$839),"")</f>
        <v/>
      </c>
    </row>
    <row r="840" spans="1:10" x14ac:dyDescent="0.25">
      <c r="A840" t="str">
        <f>IFERROR(IF(0=LEN(ReferenceData!$A$840),"",ReferenceData!$A$840),"")</f>
        <v xml:space="preserve">                    Yunnan Aluminium Co Ltd</v>
      </c>
      <c r="B840" t="str">
        <f>IFERROR(IF(0=LEN(ReferenceData!$B$840),"",ReferenceData!$B$840),"")</f>
        <v>000807 CH Equity</v>
      </c>
      <c r="C840" t="str">
        <f>IFERROR(IF(0=LEN(ReferenceData!$C$840),"",ReferenceData!$C$840),"")</f>
        <v>F0946</v>
      </c>
      <c r="D840" t="str">
        <f>IFERROR(IF(0=LEN(ReferenceData!$D$840),"",ReferenceData!$D$840),"")</f>
        <v>TOTAL_GHG_CO2_EMISSIONS</v>
      </c>
      <c r="E840" t="str">
        <f>IFERROR(IF(0=LEN(ReferenceData!$E$840),"",ReferenceData!$E$840),"")</f>
        <v>Dynamic</v>
      </c>
      <c r="F840" t="str">
        <f ca="1">IFERROR(IF(0=LEN(ReferenceData!$F$840),"",ReferenceData!$F$840),"")</f>
        <v/>
      </c>
      <c r="G840" t="str">
        <f ca="1">IFERROR(IF(0=LEN(ReferenceData!$G$840),"",ReferenceData!$G$840),"")</f>
        <v/>
      </c>
      <c r="H840" t="str">
        <f ca="1">IFERROR(IF(0=LEN(ReferenceData!$H$840),"",ReferenceData!$H$840),"")</f>
        <v/>
      </c>
      <c r="I840" t="str">
        <f ca="1">IFERROR(IF(0=LEN(ReferenceData!$I$840),"",ReferenceData!$I$840),"")</f>
        <v/>
      </c>
      <c r="J840" t="str">
        <f ca="1">IFERROR(IF(0=LEN(ReferenceData!$J$840),"",ReferenceData!$J$840),"")</f>
        <v/>
      </c>
    </row>
    <row r="841" spans="1:10" x14ac:dyDescent="0.25">
      <c r="A841" t="str">
        <f>IFERROR(IF(0=LEN(ReferenceData!$A$841),"",ReferenceData!$A$841),"")</f>
        <v xml:space="preserve">                Base Metals</v>
      </c>
      <c r="B841" t="str">
        <f>IFERROR(IF(0=LEN(ReferenceData!$B$841),"",ReferenceData!$B$841),"")</f>
        <v/>
      </c>
      <c r="C841" t="str">
        <f>IFERROR(IF(0=LEN(ReferenceData!$C$841),"",ReferenceData!$C$841),"")</f>
        <v/>
      </c>
      <c r="D841" t="str">
        <f>IFERROR(IF(0=LEN(ReferenceData!$D$841),"",ReferenceData!$D$841),"")</f>
        <v/>
      </c>
      <c r="E841" t="str">
        <f>IFERROR(IF(0=LEN(ReferenceData!$E$841),"",ReferenceData!$E$841),"")</f>
        <v>Sum</v>
      </c>
      <c r="F841">
        <f ca="1">IFERROR(IF(0=LEN(ReferenceData!$F$841),"",ReferenceData!$F$841),"")</f>
        <v>1.74027E-2</v>
      </c>
      <c r="G841" t="str">
        <f ca="1">IFERROR(IF(0=LEN(ReferenceData!$G$841),"",ReferenceData!$G$841),"")</f>
        <v/>
      </c>
      <c r="H841" t="str">
        <f ca="1">IFERROR(IF(0=LEN(ReferenceData!$H$841),"",ReferenceData!$H$841),"")</f>
        <v/>
      </c>
      <c r="I841" t="str">
        <f ca="1">IFERROR(IF(0=LEN(ReferenceData!$I$841),"",ReferenceData!$I$841),"")</f>
        <v/>
      </c>
      <c r="J841" t="str">
        <f ca="1">IFERROR(IF(0=LEN(ReferenceData!$J$841),"",ReferenceData!$J$841),"")</f>
        <v/>
      </c>
    </row>
    <row r="842" spans="1:10" x14ac:dyDescent="0.25">
      <c r="A842" t="str">
        <f>IFERROR(IF(0=LEN(ReferenceData!$A$842),"",ReferenceData!$A$842),"")</f>
        <v xml:space="preserve">                    China Rare Earth Resources And</v>
      </c>
      <c r="B842" t="str">
        <f>IFERROR(IF(0=LEN(ReferenceData!$B$842),"",ReferenceData!$B$842),"")</f>
        <v>000831 CH Equity</v>
      </c>
      <c r="C842" t="str">
        <f>IFERROR(IF(0=LEN(ReferenceData!$C$842),"",ReferenceData!$C$842),"")</f>
        <v>F0946</v>
      </c>
      <c r="D842" t="str">
        <f>IFERROR(IF(0=LEN(ReferenceData!$D$842),"",ReferenceData!$D$842),"")</f>
        <v>TOTAL_GHG_CO2_EMISSIONS</v>
      </c>
      <c r="E842" t="str">
        <f>IFERROR(IF(0=LEN(ReferenceData!$E$842),"",ReferenceData!$E$842),"")</f>
        <v>Dynamic</v>
      </c>
      <c r="F842">
        <f ca="1">IFERROR(IF(0=LEN(ReferenceData!$F$842),"",ReferenceData!$F$842),"")</f>
        <v>1.74027E-2</v>
      </c>
      <c r="G842" t="str">
        <f ca="1">IFERROR(IF(0=LEN(ReferenceData!$G$842),"",ReferenceData!$G$842),"")</f>
        <v/>
      </c>
      <c r="H842" t="str">
        <f ca="1">IFERROR(IF(0=LEN(ReferenceData!$H$842),"",ReferenceData!$H$842),"")</f>
        <v/>
      </c>
      <c r="I842" t="str">
        <f ca="1">IFERROR(IF(0=LEN(ReferenceData!$I$842),"",ReferenceData!$I$842),"")</f>
        <v/>
      </c>
      <c r="J842" t="str">
        <f ca="1">IFERROR(IF(0=LEN(ReferenceData!$J$842),"",ReferenceData!$J$842),"")</f>
        <v/>
      </c>
    </row>
    <row r="843" spans="1:10" x14ac:dyDescent="0.25">
      <c r="A843" t="str">
        <f>IFERROR(IF(0=LEN(ReferenceData!$A$843),"",ReferenceData!$A$843),"")</f>
        <v xml:space="preserve">                    Jiaozuo Wanfang Aluminum Manuf</v>
      </c>
      <c r="B843" t="str">
        <f>IFERROR(IF(0=LEN(ReferenceData!$B$843),"",ReferenceData!$B$843),"")</f>
        <v>000612 CH Equity</v>
      </c>
      <c r="C843" t="str">
        <f>IFERROR(IF(0=LEN(ReferenceData!$C$843),"",ReferenceData!$C$843),"")</f>
        <v>F0946</v>
      </c>
      <c r="D843" t="str">
        <f>IFERROR(IF(0=LEN(ReferenceData!$D$843),"",ReferenceData!$D$843),"")</f>
        <v>TOTAL_GHG_CO2_EMISSIONS</v>
      </c>
      <c r="E843" t="str">
        <f>IFERROR(IF(0=LEN(ReferenceData!$E$843),"",ReferenceData!$E$843),"")</f>
        <v>Dynamic</v>
      </c>
      <c r="F843" t="str">
        <f ca="1">IFERROR(IF(0=LEN(ReferenceData!$F$843),"",ReferenceData!$F$843),"")</f>
        <v/>
      </c>
      <c r="G843" t="str">
        <f ca="1">IFERROR(IF(0=LEN(ReferenceData!$G$843),"",ReferenceData!$G$843),"")</f>
        <v/>
      </c>
      <c r="H843" t="str">
        <f ca="1">IFERROR(IF(0=LEN(ReferenceData!$H$843),"",ReferenceData!$H$843),"")</f>
        <v/>
      </c>
      <c r="I843" t="str">
        <f ca="1">IFERROR(IF(0=LEN(ReferenceData!$I$843),"",ReferenceData!$I$843),"")</f>
        <v/>
      </c>
      <c r="J843" t="str">
        <f ca="1">IFERROR(IF(0=LEN(ReferenceData!$J$843),"",ReferenceData!$J$843),"")</f>
        <v/>
      </c>
    </row>
    <row r="844" spans="1:10" x14ac:dyDescent="0.25">
      <c r="A844" t="str">
        <f>IFERROR(IF(0=LEN(ReferenceData!$A$844),"",ReferenceData!$A$844),"")</f>
        <v xml:space="preserve">                    Yunnan Aluminium Co Ltd</v>
      </c>
      <c r="B844" t="str">
        <f>IFERROR(IF(0=LEN(ReferenceData!$B$844),"",ReferenceData!$B$844),"")</f>
        <v>000807 CH Equity</v>
      </c>
      <c r="C844" t="str">
        <f>IFERROR(IF(0=LEN(ReferenceData!$C$844),"",ReferenceData!$C$844),"")</f>
        <v>F0946</v>
      </c>
      <c r="D844" t="str">
        <f>IFERROR(IF(0=LEN(ReferenceData!$D$844),"",ReferenceData!$D$844),"")</f>
        <v>TOTAL_GHG_CO2_EMISSIONS</v>
      </c>
      <c r="E844" t="str">
        <f>IFERROR(IF(0=LEN(ReferenceData!$E$844),"",ReferenceData!$E$844),"")</f>
        <v>Dynamic</v>
      </c>
      <c r="F844" t="str">
        <f ca="1">IFERROR(IF(0=LEN(ReferenceData!$F$844),"",ReferenceData!$F$844),"")</f>
        <v/>
      </c>
      <c r="G844" t="str">
        <f ca="1">IFERROR(IF(0=LEN(ReferenceData!$G$844),"",ReferenceData!$G$844),"")</f>
        <v/>
      </c>
      <c r="H844" t="str">
        <f ca="1">IFERROR(IF(0=LEN(ReferenceData!$H$844),"",ReferenceData!$H$844),"")</f>
        <v/>
      </c>
      <c r="I844" t="str">
        <f ca="1">IFERROR(IF(0=LEN(ReferenceData!$I$844),"",ReferenceData!$I$844),"")</f>
        <v/>
      </c>
      <c r="J844" t="str">
        <f ca="1">IFERROR(IF(0=LEN(ReferenceData!$J$844),"",ReferenceData!$J$844),"")</f>
        <v/>
      </c>
    </row>
    <row r="845" spans="1:10" x14ac:dyDescent="0.25">
      <c r="A845" t="str">
        <f>IFERROR(IF(0=LEN(ReferenceData!$A$845),"",ReferenceData!$A$845),"")</f>
        <v xml:space="preserve">                Copper</v>
      </c>
      <c r="B845" t="str">
        <f>IFERROR(IF(0=LEN(ReferenceData!$B$845),"",ReferenceData!$B$845),"")</f>
        <v/>
      </c>
      <c r="C845" t="str">
        <f>IFERROR(IF(0=LEN(ReferenceData!$C$845),"",ReferenceData!$C$845),"")</f>
        <v/>
      </c>
      <c r="D845" t="str">
        <f>IFERROR(IF(0=LEN(ReferenceData!$D$845),"",ReferenceData!$D$845),"")</f>
        <v/>
      </c>
      <c r="E845" t="str">
        <f>IFERROR(IF(0=LEN(ReferenceData!$E$845),"",ReferenceData!$E$845),"")</f>
        <v>Sum</v>
      </c>
      <c r="F845">
        <f ca="1">IFERROR(IF(0=LEN(ReferenceData!$F$845),"",ReferenceData!$F$845),"")</f>
        <v>114.736495117</v>
      </c>
      <c r="G845">
        <f ca="1">IFERROR(IF(0=LEN(ReferenceData!$G$845),"",ReferenceData!$G$845),"")</f>
        <v>160.53796232600001</v>
      </c>
      <c r="H845">
        <f ca="1">IFERROR(IF(0=LEN(ReferenceData!$H$845),"",ReferenceData!$H$845),"")</f>
        <v>147.19565575799999</v>
      </c>
      <c r="I845">
        <f ca="1">IFERROR(IF(0=LEN(ReferenceData!$I$845),"",ReferenceData!$I$845),"")</f>
        <v>155.49950558399999</v>
      </c>
      <c r="J845">
        <f ca="1">IFERROR(IF(0=LEN(ReferenceData!$J$845),"",ReferenceData!$J$845),"")</f>
        <v>152.03643757799998</v>
      </c>
    </row>
    <row r="846" spans="1:10" x14ac:dyDescent="0.25">
      <c r="A846" t="str">
        <f>IFERROR(IF(0=LEN(ReferenceData!$A$846),"",ReferenceData!$A$846),"")</f>
        <v xml:space="preserve">                    Anglo American PLC</v>
      </c>
      <c r="B846" t="str">
        <f>IFERROR(IF(0=LEN(ReferenceData!$B$846),"",ReferenceData!$B$846),"")</f>
        <v>AAL LN Equity</v>
      </c>
      <c r="C846" t="str">
        <f>IFERROR(IF(0=LEN(ReferenceData!$C$846),"",ReferenceData!$C$846),"")</f>
        <v>F0946</v>
      </c>
      <c r="D846" t="str">
        <f>IFERROR(IF(0=LEN(ReferenceData!$D$846),"",ReferenceData!$D$846),"")</f>
        <v>TOTAL_GHG_CO2_EMISSIONS</v>
      </c>
      <c r="E846" t="str">
        <f>IFERROR(IF(0=LEN(ReferenceData!$E$846),"",ReferenceData!$E$846),"")</f>
        <v>Dynamic</v>
      </c>
      <c r="F846">
        <f ca="1">IFERROR(IF(0=LEN(ReferenceData!$F$846),"",ReferenceData!$F$846),"")</f>
        <v>13.3</v>
      </c>
      <c r="G846">
        <f ca="1">IFERROR(IF(0=LEN(ReferenceData!$G$846),"",ReferenceData!$G$846),"")</f>
        <v>14.76</v>
      </c>
      <c r="H846">
        <f ca="1">IFERROR(IF(0=LEN(ReferenceData!$H$846),"",ReferenceData!$H$846),"")</f>
        <v>16.079999999999998</v>
      </c>
      <c r="I846">
        <f ca="1">IFERROR(IF(0=LEN(ReferenceData!$I$846),"",ReferenceData!$I$846),"")</f>
        <v>17.8</v>
      </c>
      <c r="J846">
        <f ca="1">IFERROR(IF(0=LEN(ReferenceData!$J$846),"",ReferenceData!$J$846),"")</f>
        <v>16.2</v>
      </c>
    </row>
    <row r="847" spans="1:10" x14ac:dyDescent="0.25">
      <c r="A847" t="str">
        <f>IFERROR(IF(0=LEN(ReferenceData!$A$847),"",ReferenceData!$A$847),"")</f>
        <v xml:space="preserve">                    Antofagasta PLC</v>
      </c>
      <c r="B847" t="str">
        <f>IFERROR(IF(0=LEN(ReferenceData!$B$847),"",ReferenceData!$B$847),"")</f>
        <v>ANTO LN Equity</v>
      </c>
      <c r="C847" t="str">
        <f>IFERROR(IF(0=LEN(ReferenceData!$C$847),"",ReferenceData!$C$847),"")</f>
        <v>F0946</v>
      </c>
      <c r="D847" t="str">
        <f>IFERROR(IF(0=LEN(ReferenceData!$D$847),"",ReferenceData!$D$847),"")</f>
        <v>TOTAL_GHG_CO2_EMISSIONS</v>
      </c>
      <c r="E847" t="str">
        <f>IFERROR(IF(0=LEN(ReferenceData!$E$847),"",ReferenceData!$E$847),"")</f>
        <v>Dynamic</v>
      </c>
      <c r="F847">
        <f ca="1">IFERROR(IF(0=LEN(ReferenceData!$F$847),"",ReferenceData!$F$847),"")</f>
        <v>2.0742299800000001</v>
      </c>
      <c r="G847">
        <f ca="1">IFERROR(IF(0=LEN(ReferenceData!$G$847),"",ReferenceData!$G$847),"")</f>
        <v>2.2998400879999998</v>
      </c>
      <c r="H847">
        <f ca="1">IFERROR(IF(0=LEN(ReferenceData!$H$847),"",ReferenceData!$H$847),"")</f>
        <v>2.3452099610000001</v>
      </c>
      <c r="I847">
        <f ca="1">IFERROR(IF(0=LEN(ReferenceData!$I$847),"",ReferenceData!$I$847),"")</f>
        <v>2.3856499019999999</v>
      </c>
      <c r="J847">
        <f ca="1">IFERROR(IF(0=LEN(ReferenceData!$J$847),"",ReferenceData!$J$847),"")</f>
        <v>2.4179099119999998</v>
      </c>
    </row>
    <row r="848" spans="1:10" x14ac:dyDescent="0.25">
      <c r="A848" t="str">
        <f>IFERROR(IF(0=LEN(ReferenceData!$A$848),"",ReferenceData!$A$848),"")</f>
        <v xml:space="preserve">                    Barrick Gold Corp</v>
      </c>
      <c r="B848" t="str">
        <f>IFERROR(IF(0=LEN(ReferenceData!$B$848),"",ReferenceData!$B$848),"")</f>
        <v>ABX CN Equity</v>
      </c>
      <c r="C848" t="str">
        <f>IFERROR(IF(0=LEN(ReferenceData!$C$848),"",ReferenceData!$C$848),"")</f>
        <v>F0946</v>
      </c>
      <c r="D848" t="str">
        <f>IFERROR(IF(0=LEN(ReferenceData!$D$848),"",ReferenceData!$D$848),"")</f>
        <v>TOTAL_GHG_CO2_EMISSIONS</v>
      </c>
      <c r="E848" t="str">
        <f>IFERROR(IF(0=LEN(ReferenceData!$E$848),"",ReferenceData!$E$848),"")</f>
        <v>Dynamic</v>
      </c>
      <c r="F848">
        <f ca="1">IFERROR(IF(0=LEN(ReferenceData!$F$848),"",ReferenceData!$F$848),"")</f>
        <v>6.7050000000000001</v>
      </c>
      <c r="G848">
        <f ca="1">IFERROR(IF(0=LEN(ReferenceData!$G$848),"",ReferenceData!$G$848),"")</f>
        <v>7.4</v>
      </c>
      <c r="H848">
        <f ca="1">IFERROR(IF(0=LEN(ReferenceData!$H$848),"",ReferenceData!$H$848),"")</f>
        <v>7.3514599609999998</v>
      </c>
      <c r="I848">
        <f ca="1">IFERROR(IF(0=LEN(ReferenceData!$I$848),"",ReferenceData!$I$848),"")</f>
        <v>6.7480000000000002</v>
      </c>
      <c r="J848">
        <f ca="1">IFERROR(IF(0=LEN(ReferenceData!$J$848),"",ReferenceData!$J$848),"")</f>
        <v>4.5430000000000001</v>
      </c>
    </row>
    <row r="849" spans="1:10" x14ac:dyDescent="0.25">
      <c r="A849" t="str">
        <f>IFERROR(IF(0=LEN(ReferenceData!$A$849),"",ReferenceData!$A$849),"")</f>
        <v xml:space="preserve">                    BHP Group Ltd</v>
      </c>
      <c r="B849" t="str">
        <f>IFERROR(IF(0=LEN(ReferenceData!$B$849),"",ReferenceData!$B$849),"")</f>
        <v>BHP AU Equity</v>
      </c>
      <c r="C849" t="str">
        <f>IFERROR(IF(0=LEN(ReferenceData!$C$849),"",ReferenceData!$C$849),"")</f>
        <v>F0946</v>
      </c>
      <c r="D849" t="str">
        <f>IFERROR(IF(0=LEN(ReferenceData!$D$849),"",ReferenceData!$D$849),"")</f>
        <v>TOTAL_GHG_CO2_EMISSIONS</v>
      </c>
      <c r="E849" t="str">
        <f>IFERROR(IF(0=LEN(ReferenceData!$E$849),"",ReferenceData!$E$849),"")</f>
        <v>Dynamic</v>
      </c>
      <c r="F849" t="str">
        <f ca="1">IFERROR(IF(0=LEN(ReferenceData!$F$849),"",ReferenceData!$F$849),"")</f>
        <v/>
      </c>
      <c r="G849">
        <f ca="1">IFERROR(IF(0=LEN(ReferenceData!$G$849),"",ReferenceData!$G$849),"")</f>
        <v>14</v>
      </c>
      <c r="H849">
        <f ca="1">IFERROR(IF(0=LEN(ReferenceData!$H$849),"",ReferenceData!$H$849),"")</f>
        <v>15</v>
      </c>
      <c r="I849">
        <f ca="1">IFERROR(IF(0=LEN(ReferenceData!$I$849),"",ReferenceData!$I$849),"")</f>
        <v>14.6</v>
      </c>
      <c r="J849">
        <f ca="1">IFERROR(IF(0=LEN(ReferenceData!$J$849),"",ReferenceData!$J$849),"")</f>
        <v>14.824</v>
      </c>
    </row>
    <row r="850" spans="1:10" x14ac:dyDescent="0.25">
      <c r="A850" t="str">
        <f>IFERROR(IF(0=LEN(ReferenceData!$A$850),"",ReferenceData!$A$850),"")</f>
        <v xml:space="preserve">                    Boliden AB</v>
      </c>
      <c r="B850" t="str">
        <f>IFERROR(IF(0=LEN(ReferenceData!$B$850),"",ReferenceData!$B$850),"")</f>
        <v>BOL SS Equity</v>
      </c>
      <c r="C850" t="str">
        <f>IFERROR(IF(0=LEN(ReferenceData!$C$850),"",ReferenceData!$C$850),"")</f>
        <v>F0946</v>
      </c>
      <c r="D850" t="str">
        <f>IFERROR(IF(0=LEN(ReferenceData!$D$850),"",ReferenceData!$D$850),"")</f>
        <v>TOTAL_GHG_CO2_EMISSIONS</v>
      </c>
      <c r="E850" t="str">
        <f>IFERROR(IF(0=LEN(ReferenceData!$E$850),"",ReferenceData!$E$850),"")</f>
        <v>Dynamic</v>
      </c>
      <c r="F850">
        <f ca="1">IFERROR(IF(0=LEN(ReferenceData!$F$850),"",ReferenceData!$F$850),"")</f>
        <v>0.84699999999999998</v>
      </c>
      <c r="G850">
        <f ca="1">IFERROR(IF(0=LEN(ReferenceData!$G$850),"",ReferenceData!$G$850),"")</f>
        <v>0.95199999999999996</v>
      </c>
      <c r="H850">
        <f ca="1">IFERROR(IF(0=LEN(ReferenceData!$H$850),"",ReferenceData!$H$850),"")</f>
        <v>0.89600000000000002</v>
      </c>
      <c r="I850">
        <f ca="1">IFERROR(IF(0=LEN(ReferenceData!$I$850),"",ReferenceData!$I$850),"")</f>
        <v>0.91700000000000004</v>
      </c>
      <c r="J850">
        <f ca="1">IFERROR(IF(0=LEN(ReferenceData!$J$850),"",ReferenceData!$J$850),"")</f>
        <v>0.97099999999999997</v>
      </c>
    </row>
    <row r="851" spans="1:10" x14ac:dyDescent="0.25">
      <c r="A851" t="str">
        <f>IFERROR(IF(0=LEN(ReferenceData!$A$851),"",ReferenceData!$A$851),"")</f>
        <v xml:space="preserve">                    Capstone Mining Corp</v>
      </c>
      <c r="B851" t="str">
        <f>IFERROR(IF(0=LEN(ReferenceData!$B$851),"",ReferenceData!$B$851),"")</f>
        <v>2073752D CN Equity</v>
      </c>
      <c r="C851" t="str">
        <f>IFERROR(IF(0=LEN(ReferenceData!$C$851),"",ReferenceData!$C$851),"")</f>
        <v>F0946</v>
      </c>
      <c r="D851" t="str">
        <f>IFERROR(IF(0=LEN(ReferenceData!$D$851),"",ReferenceData!$D$851),"")</f>
        <v>TOTAL_GHG_CO2_EMISSIONS</v>
      </c>
      <c r="E851" t="str">
        <f>IFERROR(IF(0=LEN(ReferenceData!$E$851),"",ReferenceData!$E$851),"")</f>
        <v>Dynamic</v>
      </c>
      <c r="F851" t="str">
        <f ca="1">IFERROR(IF(0=LEN(ReferenceData!$F$851),"",ReferenceData!$F$851),"")</f>
        <v/>
      </c>
      <c r="G851">
        <f ca="1">IFERROR(IF(0=LEN(ReferenceData!$G$851),"",ReferenceData!$G$851),"")</f>
        <v>0.30688101200000001</v>
      </c>
      <c r="H851">
        <f ca="1">IFERROR(IF(0=LEN(ReferenceData!$H$851),"",ReferenceData!$H$851),"")</f>
        <v>0.28647000099999997</v>
      </c>
      <c r="I851">
        <f ca="1">IFERROR(IF(0=LEN(ReferenceData!$I$851),"",ReferenceData!$I$851),"")</f>
        <v>0.279670013</v>
      </c>
      <c r="J851">
        <f ca="1">IFERROR(IF(0=LEN(ReferenceData!$J$851),"",ReferenceData!$J$851),"")</f>
        <v>0.28524899300000001</v>
      </c>
    </row>
    <row r="852" spans="1:10" x14ac:dyDescent="0.25">
      <c r="A852" t="str">
        <f>IFERROR(IF(0=LEN(ReferenceData!$A$852),"",ReferenceData!$A$852),"")</f>
        <v xml:space="preserve">                    Cia de Minas Buenaventura SAA</v>
      </c>
      <c r="B852" t="str">
        <f>IFERROR(IF(0=LEN(ReferenceData!$B$852),"",ReferenceData!$B$852),"")</f>
        <v>BUENAVI1 PE Equity</v>
      </c>
      <c r="C852" t="str">
        <f>IFERROR(IF(0=LEN(ReferenceData!$C$852),"",ReferenceData!$C$852),"")</f>
        <v>F0946</v>
      </c>
      <c r="D852" t="str">
        <f>IFERROR(IF(0=LEN(ReferenceData!$D$852),"",ReferenceData!$D$852),"")</f>
        <v>TOTAL_GHG_CO2_EMISSIONS</v>
      </c>
      <c r="E852" t="str">
        <f>IFERROR(IF(0=LEN(ReferenceData!$E$852),"",ReferenceData!$E$852),"")</f>
        <v>Dynamic</v>
      </c>
      <c r="F852" t="str">
        <f ca="1">IFERROR(IF(0=LEN(ReferenceData!$F$852),"",ReferenceData!$F$852),"")</f>
        <v/>
      </c>
      <c r="G852" t="str">
        <f ca="1">IFERROR(IF(0=LEN(ReferenceData!$G$852),"",ReferenceData!$G$852),"")</f>
        <v/>
      </c>
      <c r="H852" t="str">
        <f ca="1">IFERROR(IF(0=LEN(ReferenceData!$H$852),"",ReferenceData!$H$852),"")</f>
        <v/>
      </c>
      <c r="I852" t="str">
        <f ca="1">IFERROR(IF(0=LEN(ReferenceData!$I$852),"",ReferenceData!$I$852),"")</f>
        <v/>
      </c>
      <c r="J852" t="str">
        <f ca="1">IFERROR(IF(0=LEN(ReferenceData!$J$852),"",ReferenceData!$J$852),"")</f>
        <v/>
      </c>
    </row>
    <row r="853" spans="1:10" x14ac:dyDescent="0.25">
      <c r="A853" t="str">
        <f>IFERROR(IF(0=LEN(ReferenceData!$A$853),"",ReferenceData!$A$853),"")</f>
        <v xml:space="preserve">                    Corp Nacional del Cobre de Chi</v>
      </c>
      <c r="B853" t="str">
        <f>IFERROR(IF(0=LEN(ReferenceData!$B$853),"",ReferenceData!$B$853),"")</f>
        <v>1006Z CI Equity</v>
      </c>
      <c r="C853" t="str">
        <f>IFERROR(IF(0=LEN(ReferenceData!$C$853),"",ReferenceData!$C$853),"")</f>
        <v>F0946</v>
      </c>
      <c r="D853" t="str">
        <f>IFERROR(IF(0=LEN(ReferenceData!$D$853),"",ReferenceData!$D$853),"")</f>
        <v>TOTAL_GHG_CO2_EMISSIONS</v>
      </c>
      <c r="E853" t="str">
        <f>IFERROR(IF(0=LEN(ReferenceData!$E$853),"",ReferenceData!$E$853),"")</f>
        <v>Dynamic</v>
      </c>
      <c r="F853" t="str">
        <f ca="1">IFERROR(IF(0=LEN(ReferenceData!$F$853),"",ReferenceData!$F$853),"")</f>
        <v/>
      </c>
      <c r="G853">
        <f ca="1">IFERROR(IF(0=LEN(ReferenceData!$G$853),"",ReferenceData!$G$853),"")</f>
        <v>4.5853100590000002</v>
      </c>
      <c r="H853">
        <f ca="1">IFERROR(IF(0=LEN(ReferenceData!$H$853),"",ReferenceData!$H$853),"")</f>
        <v>4.5323598629999999</v>
      </c>
      <c r="I853">
        <f ca="1">IFERROR(IF(0=LEN(ReferenceData!$I$853),"",ReferenceData!$I$853),"")</f>
        <v>4.3937597659999996</v>
      </c>
      <c r="J853">
        <f ca="1">IFERROR(IF(0=LEN(ReferenceData!$J$853),"",ReferenceData!$J$853),"")</f>
        <v>4.6880498050000003</v>
      </c>
    </row>
    <row r="854" spans="1:10" x14ac:dyDescent="0.25">
      <c r="A854" t="str">
        <f>IFERROR(IF(0=LEN(ReferenceData!$A$854),"",ReferenceData!$A$854),"")</f>
        <v xml:space="preserve">                    First Quantum Minerals Ltd</v>
      </c>
      <c r="B854" t="str">
        <f>IFERROR(IF(0=LEN(ReferenceData!$B$854),"",ReferenceData!$B$854),"")</f>
        <v>FM CN Equity</v>
      </c>
      <c r="C854" t="str">
        <f>IFERROR(IF(0=LEN(ReferenceData!$C$854),"",ReferenceData!$C$854),"")</f>
        <v>F0946</v>
      </c>
      <c r="D854" t="str">
        <f>IFERROR(IF(0=LEN(ReferenceData!$D$854),"",ReferenceData!$D$854),"")</f>
        <v>TOTAL_GHG_CO2_EMISSIONS</v>
      </c>
      <c r="E854" t="str">
        <f>IFERROR(IF(0=LEN(ReferenceData!$E$854),"",ReferenceData!$E$854),"")</f>
        <v>Dynamic</v>
      </c>
      <c r="F854">
        <f ca="1">IFERROR(IF(0=LEN(ReferenceData!$F$854),"",ReferenceData!$F$854),"")</f>
        <v>4.3760000000000003</v>
      </c>
      <c r="G854">
        <f ca="1">IFERROR(IF(0=LEN(ReferenceData!$G$854),"",ReferenceData!$G$854),"")</f>
        <v>4.4400000000000004</v>
      </c>
      <c r="H854">
        <f ca="1">IFERROR(IF(0=LEN(ReferenceData!$H$854),"",ReferenceData!$H$854),"")</f>
        <v>4.2590000000000003</v>
      </c>
      <c r="I854">
        <f ca="1">IFERROR(IF(0=LEN(ReferenceData!$I$854),"",ReferenceData!$I$854),"")</f>
        <v>3.6960000000000002</v>
      </c>
      <c r="J854">
        <f ca="1">IFERROR(IF(0=LEN(ReferenceData!$J$854),"",ReferenceData!$J$854),"")</f>
        <v>2.0750000000000002</v>
      </c>
    </row>
    <row r="855" spans="1:10" x14ac:dyDescent="0.25">
      <c r="A855" t="str">
        <f>IFERROR(IF(0=LEN(ReferenceData!$A$855),"",ReferenceData!$A$855),"")</f>
        <v xml:space="preserve">                    Freeport-McMoRan Inc</v>
      </c>
      <c r="B855" t="str">
        <f>IFERROR(IF(0=LEN(ReferenceData!$B$855),"",ReferenceData!$B$855),"")</f>
        <v>FCX US Equity</v>
      </c>
      <c r="C855" t="str">
        <f>IFERROR(IF(0=LEN(ReferenceData!$C$855),"",ReferenceData!$C$855),"")</f>
        <v>F0946</v>
      </c>
      <c r="D855" t="str">
        <f>IFERROR(IF(0=LEN(ReferenceData!$D$855),"",ReferenceData!$D$855),"")</f>
        <v>TOTAL_GHG_CO2_EMISSIONS</v>
      </c>
      <c r="E855" t="str">
        <f>IFERROR(IF(0=LEN(ReferenceData!$E$855),"",ReferenceData!$E$855),"")</f>
        <v>Dynamic</v>
      </c>
      <c r="F855">
        <f ca="1">IFERROR(IF(0=LEN(ReferenceData!$F$855),"",ReferenceData!$F$855),"")</f>
        <v>7.6852900389999999</v>
      </c>
      <c r="G855">
        <f ca="1">IFERROR(IF(0=LEN(ReferenceData!$G$855),"",ReferenceData!$G$855),"")</f>
        <v>7.4476201169999996</v>
      </c>
      <c r="H855" t="str">
        <f ca="1">IFERROR(IF(0=LEN(ReferenceData!$H$855),"",ReferenceData!$H$855),"")</f>
        <v/>
      </c>
      <c r="I855" t="str">
        <f ca="1">IFERROR(IF(0=LEN(ReferenceData!$I$855),"",ReferenceData!$I$855),"")</f>
        <v/>
      </c>
      <c r="J855" t="str">
        <f ca="1">IFERROR(IF(0=LEN(ReferenceData!$J$855),"",ReferenceData!$J$855),"")</f>
        <v/>
      </c>
    </row>
    <row r="856" spans="1:10" x14ac:dyDescent="0.25">
      <c r="A856" t="str">
        <f>IFERROR(IF(0=LEN(ReferenceData!$A$856),"",ReferenceData!$A$856),"")</f>
        <v xml:space="preserve">                    Glencore PLC</v>
      </c>
      <c r="B856" t="str">
        <f>IFERROR(IF(0=LEN(ReferenceData!$B$856),"",ReferenceData!$B$856),"")</f>
        <v>GLEN LN Equity</v>
      </c>
      <c r="C856" t="str">
        <f>IFERROR(IF(0=LEN(ReferenceData!$C$856),"",ReferenceData!$C$856),"")</f>
        <v>F0946</v>
      </c>
      <c r="D856" t="str">
        <f>IFERROR(IF(0=LEN(ReferenceData!$D$856),"",ReferenceData!$D$856),"")</f>
        <v>TOTAL_GHG_CO2_EMISSIONS</v>
      </c>
      <c r="E856" t="str">
        <f>IFERROR(IF(0=LEN(ReferenceData!$E$856),"",ReferenceData!$E$856),"")</f>
        <v>Dynamic</v>
      </c>
      <c r="F856">
        <f ca="1">IFERROR(IF(0=LEN(ReferenceData!$F$856),"",ReferenceData!$F$856),"")</f>
        <v>27.04</v>
      </c>
      <c r="G856">
        <f ca="1">IFERROR(IF(0=LEN(ReferenceData!$G$856),"",ReferenceData!$G$856),"")</f>
        <v>25.7</v>
      </c>
      <c r="H856">
        <f ca="1">IFERROR(IF(0=LEN(ReferenceData!$H$856),"",ReferenceData!$H$856),"")</f>
        <v>24.344000000000001</v>
      </c>
      <c r="I856">
        <f ca="1">IFERROR(IF(0=LEN(ReferenceData!$I$856),"",ReferenceData!$I$856),"")</f>
        <v>29.238</v>
      </c>
      <c r="J856">
        <f ca="1">IFERROR(IF(0=LEN(ReferenceData!$J$856),"",ReferenceData!$J$856),"")</f>
        <v>30.297999999999998</v>
      </c>
    </row>
    <row r="857" spans="1:10" x14ac:dyDescent="0.25">
      <c r="A857" t="str">
        <f>IFERROR(IF(0=LEN(ReferenceData!$A$857),"",ReferenceData!$A$857),"")</f>
        <v xml:space="preserve">                    Grupo Mexico SAB de CV</v>
      </c>
      <c r="B857" t="str">
        <f>IFERROR(IF(0=LEN(ReferenceData!$B$857),"",ReferenceData!$B$857),"")</f>
        <v>GMEXICOB MM Equity</v>
      </c>
      <c r="C857" t="str">
        <f>IFERROR(IF(0=LEN(ReferenceData!$C$857),"",ReferenceData!$C$857),"")</f>
        <v>F0946</v>
      </c>
      <c r="D857" t="str">
        <f>IFERROR(IF(0=LEN(ReferenceData!$D$857),"",ReferenceData!$D$857),"")</f>
        <v>TOTAL_GHG_CO2_EMISSIONS</v>
      </c>
      <c r="E857" t="str">
        <f>IFERROR(IF(0=LEN(ReferenceData!$E$857),"",ReferenceData!$E$857),"")</f>
        <v>Dynamic</v>
      </c>
      <c r="F857" t="str">
        <f ca="1">IFERROR(IF(0=LEN(ReferenceData!$F$857),"",ReferenceData!$F$857),"")</f>
        <v/>
      </c>
      <c r="G857">
        <f ca="1">IFERROR(IF(0=LEN(ReferenceData!$G$857),"",ReferenceData!$G$857),"")</f>
        <v>5.7629999999999999</v>
      </c>
      <c r="H857">
        <f ca="1">IFERROR(IF(0=LEN(ReferenceData!$H$857),"",ReferenceData!$H$857),"")</f>
        <v>5.81</v>
      </c>
      <c r="I857">
        <f ca="1">IFERROR(IF(0=LEN(ReferenceData!$I$857),"",ReferenceData!$I$857),"")</f>
        <v>6.37</v>
      </c>
      <c r="J857">
        <f ca="1">IFERROR(IF(0=LEN(ReferenceData!$J$857),"",ReferenceData!$J$857),"")</f>
        <v>7.8908999020000001</v>
      </c>
    </row>
    <row r="858" spans="1:10" x14ac:dyDescent="0.25">
      <c r="A858" t="str">
        <f>IFERROR(IF(0=LEN(ReferenceData!$A$858),"",ReferenceData!$A$858),"")</f>
        <v xml:space="preserve">                    Hindustan Copper Ltd</v>
      </c>
      <c r="B858" t="str">
        <f>IFERROR(IF(0=LEN(ReferenceData!$B$858),"",ReferenceData!$B$858),"")</f>
        <v>HCP IN Equity</v>
      </c>
      <c r="C858" t="str">
        <f>IFERROR(IF(0=LEN(ReferenceData!$C$858),"",ReferenceData!$C$858),"")</f>
        <v>F0946</v>
      </c>
      <c r="D858" t="str">
        <f>IFERROR(IF(0=LEN(ReferenceData!$D$858),"",ReferenceData!$D$858),"")</f>
        <v>TOTAL_GHG_CO2_EMISSIONS</v>
      </c>
      <c r="E858" t="str">
        <f>IFERROR(IF(0=LEN(ReferenceData!$E$858),"",ReferenceData!$E$858),"")</f>
        <v>Dynamic</v>
      </c>
      <c r="F858" t="str">
        <f ca="1">IFERROR(IF(0=LEN(ReferenceData!$F$858),"",ReferenceData!$F$858),"")</f>
        <v/>
      </c>
      <c r="G858" t="str">
        <f ca="1">IFERROR(IF(0=LEN(ReferenceData!$G$858),"",ReferenceData!$G$858),"")</f>
        <v/>
      </c>
      <c r="H858" t="str">
        <f ca="1">IFERROR(IF(0=LEN(ReferenceData!$H$858),"",ReferenceData!$H$858),"")</f>
        <v/>
      </c>
      <c r="I858" t="str">
        <f ca="1">IFERROR(IF(0=LEN(ReferenceData!$I$858),"",ReferenceData!$I$858),"")</f>
        <v/>
      </c>
      <c r="J858" t="str">
        <f ca="1">IFERROR(IF(0=LEN(ReferenceData!$J$858),"",ReferenceData!$J$858),"")</f>
        <v/>
      </c>
    </row>
    <row r="859" spans="1:10" x14ac:dyDescent="0.25">
      <c r="A859" t="str">
        <f>IFERROR(IF(0=LEN(ReferenceData!$A$859),"",ReferenceData!$A$859),"")</f>
        <v xml:space="preserve">                    Hudbay Minerals Inc</v>
      </c>
      <c r="B859" t="str">
        <f>IFERROR(IF(0=LEN(ReferenceData!$B$859),"",ReferenceData!$B$859),"")</f>
        <v>HBM CN Equity</v>
      </c>
      <c r="C859" t="str">
        <f>IFERROR(IF(0=LEN(ReferenceData!$C$859),"",ReferenceData!$C$859),"")</f>
        <v>F0946</v>
      </c>
      <c r="D859" t="str">
        <f>IFERROR(IF(0=LEN(ReferenceData!$D$859),"",ReferenceData!$D$859),"")</f>
        <v>TOTAL_GHG_CO2_EMISSIONS</v>
      </c>
      <c r="E859" t="str">
        <f>IFERROR(IF(0=LEN(ReferenceData!$E$859),"",ReferenceData!$E$859),"")</f>
        <v>Dynamic</v>
      </c>
      <c r="F859" t="str">
        <f ca="1">IFERROR(IF(0=LEN(ReferenceData!$F$859),"",ReferenceData!$F$859),"")</f>
        <v/>
      </c>
      <c r="G859">
        <f ca="1">IFERROR(IF(0=LEN(ReferenceData!$G$859),"",ReferenceData!$G$859),"")</f>
        <v>0.30435000600000001</v>
      </c>
      <c r="H859">
        <f ca="1">IFERROR(IF(0=LEN(ReferenceData!$H$859),"",ReferenceData!$H$859),"")</f>
        <v>0.51100000000000001</v>
      </c>
      <c r="I859">
        <f ca="1">IFERROR(IF(0=LEN(ReferenceData!$I$859),"",ReferenceData!$I$859),"")</f>
        <v>0.56278002900000001</v>
      </c>
      <c r="J859">
        <f ca="1">IFERROR(IF(0=LEN(ReferenceData!$J$859),"",ReferenceData!$J$859),"")</f>
        <v>0.57328997800000003</v>
      </c>
    </row>
    <row r="860" spans="1:10" x14ac:dyDescent="0.25">
      <c r="A860" t="str">
        <f>IFERROR(IF(0=LEN(ReferenceData!$A$860),"",ReferenceData!$A$860),"")</f>
        <v xml:space="preserve">                    Industrias Penoles SAB de CV</v>
      </c>
      <c r="B860" t="str">
        <f>IFERROR(IF(0=LEN(ReferenceData!$B$860),"",ReferenceData!$B$860),"")</f>
        <v>PE&amp;OLES* MM Equity</v>
      </c>
      <c r="C860" t="str">
        <f>IFERROR(IF(0=LEN(ReferenceData!$C$860),"",ReferenceData!$C$860),"")</f>
        <v>F0946</v>
      </c>
      <c r="D860" t="str">
        <f>IFERROR(IF(0=LEN(ReferenceData!$D$860),"",ReferenceData!$D$860),"")</f>
        <v>TOTAL_GHG_CO2_EMISSIONS</v>
      </c>
      <c r="E860" t="str">
        <f>IFERROR(IF(0=LEN(ReferenceData!$E$860),"",ReferenceData!$E$860),"")</f>
        <v>Dynamic</v>
      </c>
      <c r="F860" t="str">
        <f ca="1">IFERROR(IF(0=LEN(ReferenceData!$F$860),"",ReferenceData!$F$860),"")</f>
        <v/>
      </c>
      <c r="G860">
        <f ca="1">IFERROR(IF(0=LEN(ReferenceData!$G$860),"",ReferenceData!$G$860),"")</f>
        <v>2.1336799320000002</v>
      </c>
      <c r="H860">
        <f ca="1">IFERROR(IF(0=LEN(ReferenceData!$H$860),"",ReferenceData!$H$860),"")</f>
        <v>2.2286101070000002</v>
      </c>
      <c r="I860">
        <f ca="1">IFERROR(IF(0=LEN(ReferenceData!$I$860),"",ReferenceData!$I$860),"")</f>
        <v>2.46473999</v>
      </c>
      <c r="J860">
        <f ca="1">IFERROR(IF(0=LEN(ReferenceData!$J$860),"",ReferenceData!$J$860),"")</f>
        <v>2.889639893</v>
      </c>
    </row>
    <row r="861" spans="1:10" x14ac:dyDescent="0.25">
      <c r="A861" t="str">
        <f>IFERROR(IF(0=LEN(ReferenceData!$A$861),"",ReferenceData!$A$861),"")</f>
        <v xml:space="preserve">                    Jiangxi Copper Co Ltd</v>
      </c>
      <c r="B861" t="str">
        <f>IFERROR(IF(0=LEN(ReferenceData!$B$861),"",ReferenceData!$B$861),"")</f>
        <v>358 HK Equity</v>
      </c>
      <c r="C861" t="str">
        <f>IFERROR(IF(0=LEN(ReferenceData!$C$861),"",ReferenceData!$C$861),"")</f>
        <v>F0946</v>
      </c>
      <c r="D861" t="str">
        <f>IFERROR(IF(0=LEN(ReferenceData!$D$861),"",ReferenceData!$D$861),"")</f>
        <v>TOTAL_GHG_CO2_EMISSIONS</v>
      </c>
      <c r="E861" t="str">
        <f>IFERROR(IF(0=LEN(ReferenceData!$E$861),"",ReferenceData!$E$861),"")</f>
        <v>Dynamic</v>
      </c>
      <c r="F861">
        <f ca="1">IFERROR(IF(0=LEN(ReferenceData!$F$861),"",ReferenceData!$F$861),"")</f>
        <v>2.1226000979999999</v>
      </c>
      <c r="G861">
        <f ca="1">IFERROR(IF(0=LEN(ReferenceData!$G$861),"",ReferenceData!$G$861),"")</f>
        <v>2.1696999510000001</v>
      </c>
      <c r="H861">
        <f ca="1">IFERROR(IF(0=LEN(ReferenceData!$H$861),"",ReferenceData!$H$861),"")</f>
        <v>2.20425</v>
      </c>
      <c r="I861">
        <f ca="1">IFERROR(IF(0=LEN(ReferenceData!$I$861),"",ReferenceData!$I$861),"")</f>
        <v>2.9758999020000001</v>
      </c>
      <c r="J861">
        <f ca="1">IFERROR(IF(0=LEN(ReferenceData!$J$861),"",ReferenceData!$J$861),"")</f>
        <v>2.0494699710000002</v>
      </c>
    </row>
    <row r="862" spans="1:10" x14ac:dyDescent="0.25">
      <c r="A862" t="str">
        <f>IFERROR(IF(0=LEN(ReferenceData!$A$862),"",ReferenceData!$A$862),"")</f>
        <v xml:space="preserve">                    KGHM Polska Miedz SA</v>
      </c>
      <c r="B862" t="str">
        <f>IFERROR(IF(0=LEN(ReferenceData!$B$862),"",ReferenceData!$B$862),"")</f>
        <v>KGH PW Equity</v>
      </c>
      <c r="C862" t="str">
        <f>IFERROR(IF(0=LEN(ReferenceData!$C$862),"",ReferenceData!$C$862),"")</f>
        <v>F0946</v>
      </c>
      <c r="D862" t="str">
        <f>IFERROR(IF(0=LEN(ReferenceData!$D$862),"",ReferenceData!$D$862),"")</f>
        <v>TOTAL_GHG_CO2_EMISSIONS</v>
      </c>
      <c r="E862" t="str">
        <f>IFERROR(IF(0=LEN(ReferenceData!$E$862),"",ReferenceData!$E$862),"")</f>
        <v>Dynamic</v>
      </c>
      <c r="F862" t="str">
        <f ca="1">IFERROR(IF(0=LEN(ReferenceData!$F$862),"",ReferenceData!$F$862),"")</f>
        <v/>
      </c>
      <c r="G862">
        <f ca="1">IFERROR(IF(0=LEN(ReferenceData!$G$862),"",ReferenceData!$G$862),"")</f>
        <v>3.109620117</v>
      </c>
      <c r="H862">
        <f ca="1">IFERROR(IF(0=LEN(ReferenceData!$H$862),"",ReferenceData!$H$862),"")</f>
        <v>3.5923500979999998</v>
      </c>
      <c r="I862">
        <f ca="1">IFERROR(IF(0=LEN(ReferenceData!$I$862),"",ReferenceData!$I$862),"")</f>
        <v>3.6386799320000001</v>
      </c>
      <c r="J862">
        <f ca="1">IFERROR(IF(0=LEN(ReferenceData!$J$862),"",ReferenceData!$J$862),"")</f>
        <v>3.524050049</v>
      </c>
    </row>
    <row r="863" spans="1:10" x14ac:dyDescent="0.25">
      <c r="A863" t="str">
        <f>IFERROR(IF(0=LEN(ReferenceData!$A$863),"",ReferenceData!$A$863),"")</f>
        <v xml:space="preserve">                    Lundin Mining Corp</v>
      </c>
      <c r="B863" t="str">
        <f>IFERROR(IF(0=LEN(ReferenceData!$B$863),"",ReferenceData!$B$863),"")</f>
        <v>LUN CN Equity</v>
      </c>
      <c r="C863" t="str">
        <f>IFERROR(IF(0=LEN(ReferenceData!$C$863),"",ReferenceData!$C$863),"")</f>
        <v>F0946</v>
      </c>
      <c r="D863" t="str">
        <f>IFERROR(IF(0=LEN(ReferenceData!$D$863),"",ReferenceData!$D$863),"")</f>
        <v>TOTAL_GHG_CO2_EMISSIONS</v>
      </c>
      <c r="E863" t="str">
        <f>IFERROR(IF(0=LEN(ReferenceData!$E$863),"",ReferenceData!$E$863),"")</f>
        <v>Dynamic</v>
      </c>
      <c r="F863" t="str">
        <f ca="1">IFERROR(IF(0=LEN(ReferenceData!$F$863),"",ReferenceData!$F$863),"")</f>
        <v/>
      </c>
      <c r="G863">
        <f ca="1">IFERROR(IF(0=LEN(ReferenceData!$G$863),"",ReferenceData!$G$863),"")</f>
        <v>0.95900701899999996</v>
      </c>
      <c r="H863">
        <f ca="1">IFERROR(IF(0=LEN(ReferenceData!$H$863),"",ReferenceData!$H$863),"")</f>
        <v>0.88566198699999998</v>
      </c>
      <c r="I863">
        <f ca="1">IFERROR(IF(0=LEN(ReferenceData!$I$863),"",ReferenceData!$I$863),"")</f>
        <v>0.94620300300000004</v>
      </c>
      <c r="J863">
        <f ca="1">IFERROR(IF(0=LEN(ReferenceData!$J$863),"",ReferenceData!$J$863),"")</f>
        <v>0.83992901600000003</v>
      </c>
    </row>
    <row r="864" spans="1:10" x14ac:dyDescent="0.25">
      <c r="A864" t="str">
        <f>IFERROR(IF(0=LEN(ReferenceData!$A$864),"",ReferenceData!$A$864),"")</f>
        <v xml:space="preserve">                    MMC Norilsk Nickel PJSC</v>
      </c>
      <c r="B864" t="str">
        <f>IFERROR(IF(0=LEN(ReferenceData!$B$864),"",ReferenceData!$B$864),"")</f>
        <v>GMKN RM Equity</v>
      </c>
      <c r="C864" t="str">
        <f>IFERROR(IF(0=LEN(ReferenceData!$C$864),"",ReferenceData!$C$864),"")</f>
        <v>F0946</v>
      </c>
      <c r="D864" t="str">
        <f>IFERROR(IF(0=LEN(ReferenceData!$D$864),"",ReferenceData!$D$864),"")</f>
        <v>TOTAL_GHG_CO2_EMISSIONS</v>
      </c>
      <c r="E864" t="str">
        <f>IFERROR(IF(0=LEN(ReferenceData!$E$864),"",ReferenceData!$E$864),"")</f>
        <v>Dynamic</v>
      </c>
      <c r="F864" t="str">
        <f ca="1">IFERROR(IF(0=LEN(ReferenceData!$F$864),"",ReferenceData!$F$864),"")</f>
        <v/>
      </c>
      <c r="G864">
        <f ca="1">IFERROR(IF(0=LEN(ReferenceData!$G$864),"",ReferenceData!$G$864),"")</f>
        <v>10.31</v>
      </c>
      <c r="H864">
        <f ca="1">IFERROR(IF(0=LEN(ReferenceData!$H$864),"",ReferenceData!$H$864),"")</f>
        <v>9.6985996090000004</v>
      </c>
      <c r="I864">
        <f ca="1">IFERROR(IF(0=LEN(ReferenceData!$I$864),"",ReferenceData!$I$864),"")</f>
        <v>9.9</v>
      </c>
      <c r="J864">
        <f ca="1">IFERROR(IF(0=LEN(ReferenceData!$J$864),"",ReferenceData!$J$864),"")</f>
        <v>10</v>
      </c>
    </row>
    <row r="865" spans="1:10" x14ac:dyDescent="0.25">
      <c r="A865" t="str">
        <f>IFERROR(IF(0=LEN(ReferenceData!$A$865),"",ReferenceData!$A$865),"")</f>
        <v xml:space="preserve">                    Newcrest Mining Ltd</v>
      </c>
      <c r="B865" t="str">
        <f>IFERROR(IF(0=LEN(ReferenceData!$B$865),"",ReferenceData!$B$865),"")</f>
        <v>NCM AU Equity</v>
      </c>
      <c r="C865" t="str">
        <f>IFERROR(IF(0=LEN(ReferenceData!$C$865),"",ReferenceData!$C$865),"")</f>
        <v>F0946</v>
      </c>
      <c r="D865" t="str">
        <f>IFERROR(IF(0=LEN(ReferenceData!$D$865),"",ReferenceData!$D$865),"")</f>
        <v>TOTAL_GHG_CO2_EMISSIONS</v>
      </c>
      <c r="E865" t="str">
        <f>IFERROR(IF(0=LEN(ReferenceData!$E$865),"",ReferenceData!$E$865),"")</f>
        <v>Dynamic</v>
      </c>
      <c r="F865" t="str">
        <f ca="1">IFERROR(IF(0=LEN(ReferenceData!$F$865),"",ReferenceData!$F$865),"")</f>
        <v/>
      </c>
      <c r="G865">
        <f ca="1">IFERROR(IF(0=LEN(ReferenceData!$G$865),"",ReferenceData!$G$865),"")</f>
        <v>2.24127002</v>
      </c>
      <c r="H865">
        <f ca="1">IFERROR(IF(0=LEN(ReferenceData!$H$865),"",ReferenceData!$H$865),"")</f>
        <v>2.3384599609999999</v>
      </c>
      <c r="I865">
        <f ca="1">IFERROR(IF(0=LEN(ReferenceData!$I$865),"",ReferenceData!$I$865),"")</f>
        <v>2.2735500489999998</v>
      </c>
      <c r="J865">
        <f ca="1">IFERROR(IF(0=LEN(ReferenceData!$J$865),"",ReferenceData!$J$865),"")</f>
        <v>2.2787600100000001</v>
      </c>
    </row>
    <row r="866" spans="1:10" x14ac:dyDescent="0.25">
      <c r="A866" t="str">
        <f>IFERROR(IF(0=LEN(ReferenceData!$A$866),"",ReferenceData!$A$866),"")</f>
        <v xml:space="preserve">                    OZ Minerals Ltd</v>
      </c>
      <c r="B866" t="str">
        <f>IFERROR(IF(0=LEN(ReferenceData!$B$866),"",ReferenceData!$B$866),"")</f>
        <v>OZL AU Equity</v>
      </c>
      <c r="C866" t="str">
        <f>IFERROR(IF(0=LEN(ReferenceData!$C$866),"",ReferenceData!$C$866),"")</f>
        <v>F0946</v>
      </c>
      <c r="D866" t="str">
        <f>IFERROR(IF(0=LEN(ReferenceData!$D$866),"",ReferenceData!$D$866),"")</f>
        <v>TOTAL_GHG_CO2_EMISSIONS</v>
      </c>
      <c r="E866" t="str">
        <f>IFERROR(IF(0=LEN(ReferenceData!$E$866),"",ReferenceData!$E$866),"")</f>
        <v>Dynamic</v>
      </c>
      <c r="F866">
        <f ca="1">IFERROR(IF(0=LEN(ReferenceData!$F$866),"",ReferenceData!$F$866),"")</f>
        <v>0.326037994</v>
      </c>
      <c r="G866">
        <f ca="1">IFERROR(IF(0=LEN(ReferenceData!$G$866),"",ReferenceData!$G$866),"")</f>
        <v>0.34462200900000001</v>
      </c>
      <c r="H866">
        <f ca="1">IFERROR(IF(0=LEN(ReferenceData!$H$866),"",ReferenceData!$H$866),"")</f>
        <v>0.27788900799999999</v>
      </c>
      <c r="I866">
        <f ca="1">IFERROR(IF(0=LEN(ReferenceData!$I$866),"",ReferenceData!$I$866),"")</f>
        <v>0.25389799499999999</v>
      </c>
      <c r="J866">
        <f ca="1">IFERROR(IF(0=LEN(ReferenceData!$J$866),"",ReferenceData!$J$866),"")</f>
        <v>0.25323800699999999</v>
      </c>
    </row>
    <row r="867" spans="1:10" x14ac:dyDescent="0.25">
      <c r="A867" t="str">
        <f>IFERROR(IF(0=LEN(ReferenceData!$A$867),"",ReferenceData!$A$867),"")</f>
        <v xml:space="preserve">                    Philex Mining Corp</v>
      </c>
      <c r="B867" t="str">
        <f>IFERROR(IF(0=LEN(ReferenceData!$B$867),"",ReferenceData!$B$867),"")</f>
        <v>PX PM Equity</v>
      </c>
      <c r="C867" t="str">
        <f>IFERROR(IF(0=LEN(ReferenceData!$C$867),"",ReferenceData!$C$867),"")</f>
        <v>F0946</v>
      </c>
      <c r="D867" t="str">
        <f>IFERROR(IF(0=LEN(ReferenceData!$D$867),"",ReferenceData!$D$867),"")</f>
        <v>TOTAL_GHG_CO2_EMISSIONS</v>
      </c>
      <c r="E867" t="str">
        <f>IFERROR(IF(0=LEN(ReferenceData!$E$867),"",ReferenceData!$E$867),"")</f>
        <v>Dynamic</v>
      </c>
      <c r="F867" t="str">
        <f ca="1">IFERROR(IF(0=LEN(ReferenceData!$F$867),"",ReferenceData!$F$867),"")</f>
        <v/>
      </c>
      <c r="G867" t="str">
        <f ca="1">IFERROR(IF(0=LEN(ReferenceData!$G$867),"",ReferenceData!$G$867),"")</f>
        <v/>
      </c>
      <c r="H867" t="str">
        <f ca="1">IFERROR(IF(0=LEN(ReferenceData!$H$867),"",ReferenceData!$H$867),"")</f>
        <v/>
      </c>
      <c r="I867" t="str">
        <f ca="1">IFERROR(IF(0=LEN(ReferenceData!$I$867),"",ReferenceData!$I$867),"")</f>
        <v/>
      </c>
      <c r="J867" t="str">
        <f ca="1">IFERROR(IF(0=LEN(ReferenceData!$J$867),"",ReferenceData!$J$867),"")</f>
        <v/>
      </c>
    </row>
    <row r="868" spans="1:10" x14ac:dyDescent="0.25">
      <c r="A868" t="str">
        <f>IFERROR(IF(0=LEN(ReferenceData!$A$868),"",ReferenceData!$A$868),"")</f>
        <v xml:space="preserve">                    Rio Tinto PLC</v>
      </c>
      <c r="B868" t="str">
        <f>IFERROR(IF(0=LEN(ReferenceData!$B$868),"",ReferenceData!$B$868),"")</f>
        <v>RIO LN Equity</v>
      </c>
      <c r="C868" t="str">
        <f>IFERROR(IF(0=LEN(ReferenceData!$C$868),"",ReferenceData!$C$868),"")</f>
        <v>F0946</v>
      </c>
      <c r="D868" t="str">
        <f>IFERROR(IF(0=LEN(ReferenceData!$D$868),"",ReferenceData!$D$868),"")</f>
        <v>TOTAL_GHG_CO2_EMISSIONS</v>
      </c>
      <c r="E868" t="str">
        <f>IFERROR(IF(0=LEN(ReferenceData!$E$868),"",ReferenceData!$E$868),"")</f>
        <v>Dynamic</v>
      </c>
      <c r="F868">
        <f ca="1">IFERROR(IF(0=LEN(ReferenceData!$F$868),"",ReferenceData!$F$868),"")</f>
        <v>30.3</v>
      </c>
      <c r="G868">
        <f ca="1">IFERROR(IF(0=LEN(ReferenceData!$G$868),"",ReferenceData!$G$868),"")</f>
        <v>30</v>
      </c>
      <c r="H868">
        <f ca="1">IFERROR(IF(0=LEN(ReferenceData!$H$868),"",ReferenceData!$H$868),"")</f>
        <v>24.911999999999999</v>
      </c>
      <c r="I868">
        <f ca="1">IFERROR(IF(0=LEN(ReferenceData!$I$868),"",ReferenceData!$I$868),"")</f>
        <v>24.8</v>
      </c>
      <c r="J868">
        <f ca="1">IFERROR(IF(0=LEN(ReferenceData!$J$868),"",ReferenceData!$J$868),"")</f>
        <v>25.5</v>
      </c>
    </row>
    <row r="869" spans="1:10" x14ac:dyDescent="0.25">
      <c r="A869" t="str">
        <f>IFERROR(IF(0=LEN(ReferenceData!$A$869),"",ReferenceData!$A$869),"")</f>
        <v xml:space="preserve">                    Southern Copper Corp</v>
      </c>
      <c r="B869" t="str">
        <f>IFERROR(IF(0=LEN(ReferenceData!$B$869),"",ReferenceData!$B$869),"")</f>
        <v>SCCO US Equity</v>
      </c>
      <c r="C869" t="str">
        <f>IFERROR(IF(0=LEN(ReferenceData!$C$869),"",ReferenceData!$C$869),"")</f>
        <v>F0946</v>
      </c>
      <c r="D869" t="str">
        <f>IFERROR(IF(0=LEN(ReferenceData!$D$869),"",ReferenceData!$D$869),"")</f>
        <v>TOTAL_GHG_CO2_EMISSIONS</v>
      </c>
      <c r="E869" t="str">
        <f>IFERROR(IF(0=LEN(ReferenceData!$E$869),"",ReferenceData!$E$869),"")</f>
        <v>Dynamic</v>
      </c>
      <c r="F869" t="str">
        <f ca="1">IFERROR(IF(0=LEN(ReferenceData!$F$869),"",ReferenceData!$F$869),"")</f>
        <v/>
      </c>
      <c r="G869" t="str">
        <f ca="1">IFERROR(IF(0=LEN(ReferenceData!$G$869),"",ReferenceData!$G$869),"")</f>
        <v/>
      </c>
      <c r="H869" t="str">
        <f ca="1">IFERROR(IF(0=LEN(ReferenceData!$H$869),"",ReferenceData!$H$869),"")</f>
        <v/>
      </c>
      <c r="I869" t="str">
        <f ca="1">IFERROR(IF(0=LEN(ReferenceData!$I$869),"",ReferenceData!$I$869),"")</f>
        <v/>
      </c>
      <c r="J869" t="str">
        <f ca="1">IFERROR(IF(0=LEN(ReferenceData!$J$869),"",ReferenceData!$J$869),"")</f>
        <v/>
      </c>
    </row>
    <row r="870" spans="1:10" x14ac:dyDescent="0.25">
      <c r="A870" t="str">
        <f>IFERROR(IF(0=LEN(ReferenceData!$A$870),"",ReferenceData!$A$870),"")</f>
        <v xml:space="preserve">                    Teck Resources Ltd</v>
      </c>
      <c r="B870" t="str">
        <f>IFERROR(IF(0=LEN(ReferenceData!$B$870),"",ReferenceData!$B$870),"")</f>
        <v>TECK/B CN Equity</v>
      </c>
      <c r="C870" t="str">
        <f>IFERROR(IF(0=LEN(ReferenceData!$C$870),"",ReferenceData!$C$870),"")</f>
        <v>F0946</v>
      </c>
      <c r="D870" t="str">
        <f>IFERROR(IF(0=LEN(ReferenceData!$D$870),"",ReferenceData!$D$870),"")</f>
        <v>TOTAL_GHG_CO2_EMISSIONS</v>
      </c>
      <c r="E870" t="str">
        <f>IFERROR(IF(0=LEN(ReferenceData!$E$870),"",ReferenceData!$E$870),"")</f>
        <v>Dynamic</v>
      </c>
      <c r="F870">
        <f ca="1">IFERROR(IF(0=LEN(ReferenceData!$F$870),"",ReferenceData!$F$870),"")</f>
        <v>2.85</v>
      </c>
      <c r="G870">
        <f ca="1">IFERROR(IF(0=LEN(ReferenceData!$G$870),"",ReferenceData!$G$870),"")</f>
        <v>2.9380000000000002</v>
      </c>
      <c r="H870">
        <f ca="1">IFERROR(IF(0=LEN(ReferenceData!$H$870),"",ReferenceData!$H$870),"")</f>
        <v>2.7949999999999999</v>
      </c>
      <c r="I870">
        <f ca="1">IFERROR(IF(0=LEN(ReferenceData!$I$870),"",ReferenceData!$I$870),"")</f>
        <v>3.226</v>
      </c>
      <c r="J870">
        <f ca="1">IFERROR(IF(0=LEN(ReferenceData!$J$870),"",ReferenceData!$J$870),"")</f>
        <v>3.21</v>
      </c>
    </row>
    <row r="871" spans="1:10" x14ac:dyDescent="0.25">
      <c r="A871" t="str">
        <f>IFERROR(IF(0=LEN(ReferenceData!$A$871),"",ReferenceData!$A$871),"")</f>
        <v xml:space="preserve">                    Taseko Mines Ltd</v>
      </c>
      <c r="B871" t="str">
        <f>IFERROR(IF(0=LEN(ReferenceData!$B$871),"",ReferenceData!$B$871),"")</f>
        <v>TKO CN Equity</v>
      </c>
      <c r="C871" t="str">
        <f>IFERROR(IF(0=LEN(ReferenceData!$C$871),"",ReferenceData!$C$871),"")</f>
        <v>F0946</v>
      </c>
      <c r="D871" t="str">
        <f>IFERROR(IF(0=LEN(ReferenceData!$D$871),"",ReferenceData!$D$871),"")</f>
        <v>TOTAL_GHG_CO2_EMISSIONS</v>
      </c>
      <c r="E871" t="str">
        <f>IFERROR(IF(0=LEN(ReferenceData!$E$871),"",ReferenceData!$E$871),"")</f>
        <v>Dynamic</v>
      </c>
      <c r="F871">
        <f ca="1">IFERROR(IF(0=LEN(ReferenceData!$F$871),"",ReferenceData!$F$871),"")</f>
        <v>0.13033700600000001</v>
      </c>
      <c r="G871">
        <f ca="1">IFERROR(IF(0=LEN(ReferenceData!$G$871),"",ReferenceData!$G$871),"")</f>
        <v>0.113061996</v>
      </c>
      <c r="H871">
        <f ca="1">IFERROR(IF(0=LEN(ReferenceData!$H$871),"",ReferenceData!$H$871),"")</f>
        <v>9.6635001999999998E-2</v>
      </c>
      <c r="I871">
        <f ca="1">IFERROR(IF(0=LEN(ReferenceData!$I$871),"",ReferenceData!$I$871),"")</f>
        <v>0.10917500300000001</v>
      </c>
      <c r="J871">
        <f ca="1">IFERROR(IF(0=LEN(ReferenceData!$J$871),"",ReferenceData!$J$871),"")</f>
        <v>0.10741200300000001</v>
      </c>
    </row>
    <row r="872" spans="1:10" x14ac:dyDescent="0.25">
      <c r="A872" t="str">
        <f>IFERROR(IF(0=LEN(ReferenceData!$A$872),"",ReferenceData!$A$872),"")</f>
        <v xml:space="preserve">                    Vale SA</v>
      </c>
      <c r="B872" t="str">
        <f>IFERROR(IF(0=LEN(ReferenceData!$B$872),"",ReferenceData!$B$872),"")</f>
        <v>VALE3 BZ Equity</v>
      </c>
      <c r="C872" t="str">
        <f>IFERROR(IF(0=LEN(ReferenceData!$C$872),"",ReferenceData!$C$872),"")</f>
        <v>F0946</v>
      </c>
      <c r="D872" t="str">
        <f>IFERROR(IF(0=LEN(ReferenceData!$D$872),"",ReferenceData!$D$872),"")</f>
        <v>TOTAL_GHG_CO2_EMISSIONS</v>
      </c>
      <c r="E872" t="str">
        <f>IFERROR(IF(0=LEN(ReferenceData!$E$872),"",ReferenceData!$E$872),"")</f>
        <v>Dynamic</v>
      </c>
      <c r="F872">
        <f ca="1">IFERROR(IF(0=LEN(ReferenceData!$F$872),"",ReferenceData!$F$872),"")</f>
        <v>9.1999999999999993</v>
      </c>
      <c r="G872">
        <f ca="1">IFERROR(IF(0=LEN(ReferenceData!$G$872),"",ReferenceData!$G$872),"")</f>
        <v>11</v>
      </c>
      <c r="H872">
        <f ca="1">IFERROR(IF(0=LEN(ReferenceData!$H$872),"",ReferenceData!$H$872),"")</f>
        <v>10.640700199999999</v>
      </c>
      <c r="I872">
        <f ca="1">IFERROR(IF(0=LEN(ReferenceData!$I$872),"",ReferenceData!$I$872),"")</f>
        <v>12.570499999999999</v>
      </c>
      <c r="J872">
        <f ca="1">IFERROR(IF(0=LEN(ReferenceData!$J$872),"",ReferenceData!$J$872),"")</f>
        <v>14.2</v>
      </c>
    </row>
    <row r="873" spans="1:10" x14ac:dyDescent="0.25">
      <c r="A873" t="str">
        <f>IFERROR(IF(0=LEN(ReferenceData!$A$873),"",ReferenceData!$A$873),"")</f>
        <v xml:space="preserve">                    Zijin Mining Group Co Ltd</v>
      </c>
      <c r="B873" t="str">
        <f>IFERROR(IF(0=LEN(ReferenceData!$B$873),"",ReferenceData!$B$873),"")</f>
        <v>2899 HK Equity</v>
      </c>
      <c r="C873" t="str">
        <f>IFERROR(IF(0=LEN(ReferenceData!$C$873),"",ReferenceData!$C$873),"")</f>
        <v>F0946</v>
      </c>
      <c r="D873" t="str">
        <f>IFERROR(IF(0=LEN(ReferenceData!$D$873),"",ReferenceData!$D$873),"")</f>
        <v>TOTAL_GHG_CO2_EMISSIONS</v>
      </c>
      <c r="E873" t="str">
        <f>IFERROR(IF(0=LEN(ReferenceData!$E$873),"",ReferenceData!$E$873),"")</f>
        <v>Dynamic</v>
      </c>
      <c r="F873">
        <f ca="1">IFERROR(IF(0=LEN(ReferenceData!$F$873),"",ReferenceData!$F$873),"")</f>
        <v>7.78</v>
      </c>
      <c r="G873">
        <f ca="1">IFERROR(IF(0=LEN(ReferenceData!$G$873),"",ReferenceData!$G$873),"")</f>
        <v>7.26</v>
      </c>
      <c r="H873">
        <f ca="1">IFERROR(IF(0=LEN(ReferenceData!$H$873),"",ReferenceData!$H$873),"")</f>
        <v>6.11</v>
      </c>
      <c r="I873">
        <f ca="1">IFERROR(IF(0=LEN(ReferenceData!$I$873),"",ReferenceData!$I$873),"")</f>
        <v>5.35</v>
      </c>
      <c r="J873">
        <f ca="1">IFERROR(IF(0=LEN(ReferenceData!$J$873),"",ReferenceData!$J$873),"")</f>
        <v>2.4175400389999999</v>
      </c>
    </row>
    <row r="874" spans="1:10" x14ac:dyDescent="0.25">
      <c r="A874" t="str">
        <f>IFERROR(IF(0=LEN(ReferenceData!$A$874),"",ReferenceData!$A$874),"")</f>
        <v xml:space="preserve">                Gold</v>
      </c>
      <c r="B874" t="str">
        <f>IFERROR(IF(0=LEN(ReferenceData!$B$874),"",ReferenceData!$B$874),"")</f>
        <v/>
      </c>
      <c r="C874" t="str">
        <f>IFERROR(IF(0=LEN(ReferenceData!$C$874),"",ReferenceData!$C$874),"")</f>
        <v/>
      </c>
      <c r="D874" t="str">
        <f>IFERROR(IF(0=LEN(ReferenceData!$D$874),"",ReferenceData!$D$874),"")</f>
        <v/>
      </c>
      <c r="E874" t="str">
        <f>IFERROR(IF(0=LEN(ReferenceData!$E$874),"",ReferenceData!$E$874),"")</f>
        <v>Sum</v>
      </c>
      <c r="F874">
        <f ca="1">IFERROR(IF(0=LEN(ReferenceData!$F$874),"",ReferenceData!$F$874),"")</f>
        <v>28.910209839000004</v>
      </c>
      <c r="G874">
        <f ca="1">IFERROR(IF(0=LEN(ReferenceData!$G$874),"",ReferenceData!$G$874),"")</f>
        <v>37.471089233999997</v>
      </c>
      <c r="H874">
        <f ca="1">IFERROR(IF(0=LEN(ReferenceData!$H$874),"",ReferenceData!$H$874),"")</f>
        <v>35.788777099999997</v>
      </c>
      <c r="I874">
        <f ca="1">IFERROR(IF(0=LEN(ReferenceData!$I$874),"",ReferenceData!$I$874),"")</f>
        <v>36.833661071999998</v>
      </c>
      <c r="J874">
        <f ca="1">IFERROR(IF(0=LEN(ReferenceData!$J$874),"",ReferenceData!$J$874),"")</f>
        <v>31.801486143999998</v>
      </c>
    </row>
    <row r="875" spans="1:10" x14ac:dyDescent="0.25">
      <c r="A875" t="str">
        <f>IFERROR(IF(0=LEN(ReferenceData!$A$875),"",ReferenceData!$A$875),"")</f>
        <v xml:space="preserve">                    Agnico Eagle Mines Ltd</v>
      </c>
      <c r="B875" t="str">
        <f>IFERROR(IF(0=LEN(ReferenceData!$B$875),"",ReferenceData!$B$875),"")</f>
        <v>AEM CN Equity</v>
      </c>
      <c r="C875" t="str">
        <f>IFERROR(IF(0=LEN(ReferenceData!$C$875),"",ReferenceData!$C$875),"")</f>
        <v>F0946</v>
      </c>
      <c r="D875" t="str">
        <f>IFERROR(IF(0=LEN(ReferenceData!$D$875),"",ReferenceData!$D$875),"")</f>
        <v>TOTAL_GHG_CO2_EMISSIONS</v>
      </c>
      <c r="E875" t="str">
        <f>IFERROR(IF(0=LEN(ReferenceData!$E$875),"",ReferenceData!$E$875),"")</f>
        <v>Dynamic</v>
      </c>
      <c r="F875" t="str">
        <f ca="1">IFERROR(IF(0=LEN(ReferenceData!$F$875),"",ReferenceData!$F$875),"")</f>
        <v/>
      </c>
      <c r="G875">
        <f ca="1">IFERROR(IF(0=LEN(ReferenceData!$G$875),"",ReferenceData!$G$875),"")</f>
        <v>0.691609009</v>
      </c>
      <c r="H875">
        <f ca="1">IFERROR(IF(0=LEN(ReferenceData!$H$875),"",ReferenceData!$H$875),"")</f>
        <v>0.57815698199999999</v>
      </c>
      <c r="I875">
        <f ca="1">IFERROR(IF(0=LEN(ReferenceData!$I$875),"",ReferenceData!$I$875),"")</f>
        <v>0.52083099399999999</v>
      </c>
      <c r="J875">
        <f ca="1">IFERROR(IF(0=LEN(ReferenceData!$J$875),"",ReferenceData!$J$875),"")</f>
        <v>0.41134600799999999</v>
      </c>
    </row>
    <row r="876" spans="1:10" x14ac:dyDescent="0.25">
      <c r="A876" t="str">
        <f>IFERROR(IF(0=LEN(ReferenceData!$A$876),"",ReferenceData!$A$876),"")</f>
        <v xml:space="preserve">                    AngloGold Ashanti Ltd</v>
      </c>
      <c r="B876" t="str">
        <f>IFERROR(IF(0=LEN(ReferenceData!$B$876),"",ReferenceData!$B$876),"")</f>
        <v>ANG SJ Equity</v>
      </c>
      <c r="C876" t="str">
        <f>IFERROR(IF(0=LEN(ReferenceData!$C$876),"",ReferenceData!$C$876),"")</f>
        <v>F0946</v>
      </c>
      <c r="D876" t="str">
        <f>IFERROR(IF(0=LEN(ReferenceData!$D$876),"",ReferenceData!$D$876),"")</f>
        <v>TOTAL_GHG_CO2_EMISSIONS</v>
      </c>
      <c r="E876" t="str">
        <f>IFERROR(IF(0=LEN(ReferenceData!$E$876),"",ReferenceData!$E$876),"")</f>
        <v>Dynamic</v>
      </c>
      <c r="F876">
        <f ca="1">IFERROR(IF(0=LEN(ReferenceData!$F$876),"",ReferenceData!$F$876),"")</f>
        <v>1.474</v>
      </c>
      <c r="G876">
        <f ca="1">IFERROR(IF(0=LEN(ReferenceData!$G$876),"",ReferenceData!$G$876),"")</f>
        <v>1.381</v>
      </c>
      <c r="H876">
        <f ca="1">IFERROR(IF(0=LEN(ReferenceData!$H$876),"",ReferenceData!$H$876),"")</f>
        <v>1.304</v>
      </c>
      <c r="I876">
        <f ca="1">IFERROR(IF(0=LEN(ReferenceData!$I$876),"",ReferenceData!$I$876),"")</f>
        <v>1.268</v>
      </c>
      <c r="J876">
        <f ca="1">IFERROR(IF(0=LEN(ReferenceData!$J$876),"",ReferenceData!$J$876),"")</f>
        <v>2.2999999999999998</v>
      </c>
    </row>
    <row r="877" spans="1:10" x14ac:dyDescent="0.25">
      <c r="A877" t="str">
        <f>IFERROR(IF(0=LEN(ReferenceData!$A$877),"",ReferenceData!$A$877),"")</f>
        <v xml:space="preserve">                    Barrick Gold Corp</v>
      </c>
      <c r="B877" t="str">
        <f>IFERROR(IF(0=LEN(ReferenceData!$B$877),"",ReferenceData!$B$877),"")</f>
        <v>GOLD US Equity</v>
      </c>
      <c r="C877" t="str">
        <f>IFERROR(IF(0=LEN(ReferenceData!$C$877),"",ReferenceData!$C$877),"")</f>
        <v>F0946</v>
      </c>
      <c r="D877" t="str">
        <f>IFERROR(IF(0=LEN(ReferenceData!$D$877),"",ReferenceData!$D$877),"")</f>
        <v>TOTAL_GHG_CO2_EMISSIONS</v>
      </c>
      <c r="E877" t="str">
        <f>IFERROR(IF(0=LEN(ReferenceData!$E$877),"",ReferenceData!$E$877),"")</f>
        <v>Dynamic</v>
      </c>
      <c r="F877">
        <f ca="1">IFERROR(IF(0=LEN(ReferenceData!$F$877),"",ReferenceData!$F$877),"")</f>
        <v>6.7050000000000001</v>
      </c>
      <c r="G877">
        <f ca="1">IFERROR(IF(0=LEN(ReferenceData!$G$877),"",ReferenceData!$G$877),"")</f>
        <v>7.4</v>
      </c>
      <c r="H877">
        <f ca="1">IFERROR(IF(0=LEN(ReferenceData!$H$877),"",ReferenceData!$H$877),"")</f>
        <v>7.3514599609999998</v>
      </c>
      <c r="I877">
        <f ca="1">IFERROR(IF(0=LEN(ReferenceData!$I$877),"",ReferenceData!$I$877),"")</f>
        <v>6.7480000000000002</v>
      </c>
      <c r="J877">
        <f ca="1">IFERROR(IF(0=LEN(ReferenceData!$J$877),"",ReferenceData!$J$877),"")</f>
        <v>4.5430000000000001</v>
      </c>
    </row>
    <row r="878" spans="1:10" x14ac:dyDescent="0.25">
      <c r="A878" t="str">
        <f>IFERROR(IF(0=LEN(ReferenceData!$A$878),"",ReferenceData!$A$878),"")</f>
        <v xml:space="preserve">                    Cia de Minas Buenaventura SAA</v>
      </c>
      <c r="B878" t="str">
        <f>IFERROR(IF(0=LEN(ReferenceData!$B$878),"",ReferenceData!$B$878),"")</f>
        <v>BUENAVI1 PE Equity</v>
      </c>
      <c r="C878" t="str">
        <f>IFERROR(IF(0=LEN(ReferenceData!$C$878),"",ReferenceData!$C$878),"")</f>
        <v>F0946</v>
      </c>
      <c r="D878" t="str">
        <f>IFERROR(IF(0=LEN(ReferenceData!$D$878),"",ReferenceData!$D$878),"")</f>
        <v>TOTAL_GHG_CO2_EMISSIONS</v>
      </c>
      <c r="E878" t="str">
        <f>IFERROR(IF(0=LEN(ReferenceData!$E$878),"",ReferenceData!$E$878),"")</f>
        <v>Dynamic</v>
      </c>
      <c r="F878" t="str">
        <f ca="1">IFERROR(IF(0=LEN(ReferenceData!$F$878),"",ReferenceData!$F$878),"")</f>
        <v/>
      </c>
      <c r="G878" t="str">
        <f ca="1">IFERROR(IF(0=LEN(ReferenceData!$G$878),"",ReferenceData!$G$878),"")</f>
        <v/>
      </c>
      <c r="H878" t="str">
        <f ca="1">IFERROR(IF(0=LEN(ReferenceData!$H$878),"",ReferenceData!$H$878),"")</f>
        <v/>
      </c>
      <c r="I878" t="str">
        <f ca="1">IFERROR(IF(0=LEN(ReferenceData!$I$878),"",ReferenceData!$I$878),"")</f>
        <v/>
      </c>
      <c r="J878" t="str">
        <f ca="1">IFERROR(IF(0=LEN(ReferenceData!$J$878),"",ReferenceData!$J$878),"")</f>
        <v/>
      </c>
    </row>
    <row r="879" spans="1:10" x14ac:dyDescent="0.25">
      <c r="A879" t="str">
        <f>IFERROR(IF(0=LEN(ReferenceData!$A$879),"",ReferenceData!$A$879),"")</f>
        <v xml:space="preserve">                    Gold Fields Ltd</v>
      </c>
      <c r="B879" t="str">
        <f>IFERROR(IF(0=LEN(ReferenceData!$B$879),"",ReferenceData!$B$879),"")</f>
        <v>GFI SJ Equity</v>
      </c>
      <c r="C879" t="str">
        <f>IFERROR(IF(0=LEN(ReferenceData!$C$879),"",ReferenceData!$C$879),"")</f>
        <v>F0946</v>
      </c>
      <c r="D879" t="str">
        <f>IFERROR(IF(0=LEN(ReferenceData!$D$879),"",ReferenceData!$D$879),"")</f>
        <v>TOTAL_GHG_CO2_EMISSIONS</v>
      </c>
      <c r="E879" t="str">
        <f>IFERROR(IF(0=LEN(ReferenceData!$E$879),"",ReferenceData!$E$879),"")</f>
        <v>Dynamic</v>
      </c>
      <c r="F879">
        <f ca="1">IFERROR(IF(0=LEN(ReferenceData!$F$879),"",ReferenceData!$F$879),"")</f>
        <v>1.72</v>
      </c>
      <c r="G879">
        <f ca="1">IFERROR(IF(0=LEN(ReferenceData!$G$879),"",ReferenceData!$G$879),"")</f>
        <v>1.7150000000000001</v>
      </c>
      <c r="H879">
        <f ca="1">IFERROR(IF(0=LEN(ReferenceData!$H$879),"",ReferenceData!$H$879),"")</f>
        <v>1.452</v>
      </c>
      <c r="I879">
        <f ca="1">IFERROR(IF(0=LEN(ReferenceData!$I$879),"",ReferenceData!$I$879),"")</f>
        <v>1.4570000000000001</v>
      </c>
      <c r="J879">
        <f ca="1">IFERROR(IF(0=LEN(ReferenceData!$J$879),"",ReferenceData!$J$879),"")</f>
        <v>1.3679799800000001</v>
      </c>
    </row>
    <row r="880" spans="1:10" x14ac:dyDescent="0.25">
      <c r="A880" t="str">
        <f>IFERROR(IF(0=LEN(ReferenceData!$A$880),"",ReferenceData!$A$880),"")</f>
        <v xml:space="preserve">                    Harmony Gold Mining Co Ltd</v>
      </c>
      <c r="B880" t="str">
        <f>IFERROR(IF(0=LEN(ReferenceData!$B$880),"",ReferenceData!$B$880),"")</f>
        <v>HAR SJ Equity</v>
      </c>
      <c r="C880" t="str">
        <f>IFERROR(IF(0=LEN(ReferenceData!$C$880),"",ReferenceData!$C$880),"")</f>
        <v>F0946</v>
      </c>
      <c r="D880" t="str">
        <f>IFERROR(IF(0=LEN(ReferenceData!$D$880),"",ReferenceData!$D$880),"")</f>
        <v>TOTAL_GHG_CO2_EMISSIONS</v>
      </c>
      <c r="E880" t="str">
        <f>IFERROR(IF(0=LEN(ReferenceData!$E$880),"",ReferenceData!$E$880),"")</f>
        <v>Dynamic</v>
      </c>
      <c r="F880" t="str">
        <f ca="1">IFERROR(IF(0=LEN(ReferenceData!$F$880),"",ReferenceData!$F$880),"")</f>
        <v/>
      </c>
      <c r="G880">
        <f ca="1">IFERROR(IF(0=LEN(ReferenceData!$G$880),"",ReferenceData!$G$880),"")</f>
        <v>4.7482700199999996</v>
      </c>
      <c r="H880">
        <f ca="1">IFERROR(IF(0=LEN(ReferenceData!$H$880),"",ReferenceData!$H$880),"")</f>
        <v>4.3871801760000002</v>
      </c>
      <c r="I880">
        <f ca="1">IFERROR(IF(0=LEN(ReferenceData!$I$880),"",ReferenceData!$I$880),"")</f>
        <v>3.4420000000000002</v>
      </c>
      <c r="J880">
        <f ca="1">IFERROR(IF(0=LEN(ReferenceData!$J$880),"",ReferenceData!$J$880),"")</f>
        <v>3.325860107</v>
      </c>
    </row>
    <row r="881" spans="1:10" x14ac:dyDescent="0.25">
      <c r="A881" t="str">
        <f>IFERROR(IF(0=LEN(ReferenceData!$A$881),"",ReferenceData!$A$881),"")</f>
        <v xml:space="preserve">                    Kinross Gold Corp</v>
      </c>
      <c r="B881" t="str">
        <f>IFERROR(IF(0=LEN(ReferenceData!$B$881),"",ReferenceData!$B$881),"")</f>
        <v>K CN Equity</v>
      </c>
      <c r="C881" t="str">
        <f>IFERROR(IF(0=LEN(ReferenceData!$C$881),"",ReferenceData!$C$881),"")</f>
        <v>F0946</v>
      </c>
      <c r="D881" t="str">
        <f>IFERROR(IF(0=LEN(ReferenceData!$D$881),"",ReferenceData!$D$881),"")</f>
        <v>TOTAL_GHG_CO2_EMISSIONS</v>
      </c>
      <c r="E881" t="str">
        <f>IFERROR(IF(0=LEN(ReferenceData!$E$881),"",ReferenceData!$E$881),"")</f>
        <v>Dynamic</v>
      </c>
      <c r="F881">
        <f ca="1">IFERROR(IF(0=LEN(ReferenceData!$F$881),"",ReferenceData!$F$881),"")</f>
        <v>1.448829956</v>
      </c>
      <c r="G881" t="str">
        <f ca="1">IFERROR(IF(0=LEN(ReferenceData!$G$881),"",ReferenceData!$G$881),"")</f>
        <v/>
      </c>
      <c r="H881" t="str">
        <f ca="1">IFERROR(IF(0=LEN(ReferenceData!$H$881),"",ReferenceData!$H$881),"")</f>
        <v/>
      </c>
      <c r="I881">
        <f ca="1">IFERROR(IF(0=LEN(ReferenceData!$I$881),"",ReferenceData!$I$881),"")</f>
        <v>1.6122800289999999</v>
      </c>
      <c r="J881">
        <f ca="1">IFERROR(IF(0=LEN(ReferenceData!$J$881),"",ReferenceData!$J$881),"")</f>
        <v>1.641</v>
      </c>
    </row>
    <row r="882" spans="1:10" x14ac:dyDescent="0.25">
      <c r="A882" t="str">
        <f>IFERROR(IF(0=LEN(ReferenceData!$A$882),"",ReferenceData!$A$882),"")</f>
        <v xml:space="preserve">                    Newmont Corp</v>
      </c>
      <c r="B882" t="str">
        <f>IFERROR(IF(0=LEN(ReferenceData!$B$882),"",ReferenceData!$B$882),"")</f>
        <v>NEM US Equity</v>
      </c>
      <c r="C882" t="str">
        <f>IFERROR(IF(0=LEN(ReferenceData!$C$882),"",ReferenceData!$C$882),"")</f>
        <v>F0946</v>
      </c>
      <c r="D882" t="str">
        <f>IFERROR(IF(0=LEN(ReferenceData!$D$882),"",ReferenceData!$D$882),"")</f>
        <v>TOTAL_GHG_CO2_EMISSIONS</v>
      </c>
      <c r="E882" t="str">
        <f>IFERROR(IF(0=LEN(ReferenceData!$E$882),"",ReferenceData!$E$882),"")</f>
        <v>Dynamic</v>
      </c>
      <c r="F882">
        <f ca="1">IFERROR(IF(0=LEN(ReferenceData!$F$882),"",ReferenceData!$F$882),"")</f>
        <v>3.1303798829999998</v>
      </c>
      <c r="G882">
        <f ca="1">IFERROR(IF(0=LEN(ReferenceData!$G$882),"",ReferenceData!$G$882),"")</f>
        <v>3.3921101070000002</v>
      </c>
      <c r="H882">
        <f ca="1">IFERROR(IF(0=LEN(ReferenceData!$H$882),"",ReferenceData!$H$882),"")</f>
        <v>3.2305200200000002</v>
      </c>
      <c r="I882">
        <f ca="1">IFERROR(IF(0=LEN(ReferenceData!$I$882),"",ReferenceData!$I$882),"")</f>
        <v>3.5539999999999998</v>
      </c>
      <c r="J882">
        <f ca="1">IFERROR(IF(0=LEN(ReferenceData!$J$882),"",ReferenceData!$J$882),"")</f>
        <v>4.6900000000000004</v>
      </c>
    </row>
    <row r="883" spans="1:10" x14ac:dyDescent="0.25">
      <c r="A883" t="str">
        <f>IFERROR(IF(0=LEN(ReferenceData!$A$883),"",ReferenceData!$A$883),"")</f>
        <v xml:space="preserve">                    Newcrest Mining Ltd</v>
      </c>
      <c r="B883" t="str">
        <f>IFERROR(IF(0=LEN(ReferenceData!$B$883),"",ReferenceData!$B$883),"")</f>
        <v>NCM AU Equity</v>
      </c>
      <c r="C883" t="str">
        <f>IFERROR(IF(0=LEN(ReferenceData!$C$883),"",ReferenceData!$C$883),"")</f>
        <v>F0946</v>
      </c>
      <c r="D883" t="str">
        <f>IFERROR(IF(0=LEN(ReferenceData!$D$883),"",ReferenceData!$D$883),"")</f>
        <v>TOTAL_GHG_CO2_EMISSIONS</v>
      </c>
      <c r="E883" t="str">
        <f>IFERROR(IF(0=LEN(ReferenceData!$E$883),"",ReferenceData!$E$883),"")</f>
        <v>Dynamic</v>
      </c>
      <c r="F883" t="str">
        <f ca="1">IFERROR(IF(0=LEN(ReferenceData!$F$883),"",ReferenceData!$F$883),"")</f>
        <v/>
      </c>
      <c r="G883">
        <f ca="1">IFERROR(IF(0=LEN(ReferenceData!$G$883),"",ReferenceData!$G$883),"")</f>
        <v>2.24127002</v>
      </c>
      <c r="H883">
        <f ca="1">IFERROR(IF(0=LEN(ReferenceData!$H$883),"",ReferenceData!$H$883),"")</f>
        <v>2.3384599609999999</v>
      </c>
      <c r="I883">
        <f ca="1">IFERROR(IF(0=LEN(ReferenceData!$I$883),"",ReferenceData!$I$883),"")</f>
        <v>2.2735500489999998</v>
      </c>
      <c r="J883">
        <f ca="1">IFERROR(IF(0=LEN(ReferenceData!$J$883),"",ReferenceData!$J$883),"")</f>
        <v>2.2787600100000001</v>
      </c>
    </row>
    <row r="884" spans="1:10" x14ac:dyDescent="0.25">
      <c r="A884" t="str">
        <f>IFERROR(IF(0=LEN(ReferenceData!$A$884),"",ReferenceData!$A$884),"")</f>
        <v xml:space="preserve">                    Polyus PJSC</v>
      </c>
      <c r="B884" t="str">
        <f>IFERROR(IF(0=LEN(ReferenceData!$B$884),"",ReferenceData!$B$884),"")</f>
        <v>PLZL RM Equity</v>
      </c>
      <c r="C884" t="str">
        <f>IFERROR(IF(0=LEN(ReferenceData!$C$884),"",ReferenceData!$C$884),"")</f>
        <v>F0946</v>
      </c>
      <c r="D884" t="str">
        <f>IFERROR(IF(0=LEN(ReferenceData!$D$884),"",ReferenceData!$D$884),"")</f>
        <v>TOTAL_GHG_CO2_EMISSIONS</v>
      </c>
      <c r="E884" t="str">
        <f>IFERROR(IF(0=LEN(ReferenceData!$E$884),"",ReferenceData!$E$884),"")</f>
        <v>Dynamic</v>
      </c>
      <c r="F884" t="str">
        <f ca="1">IFERROR(IF(0=LEN(ReferenceData!$F$884),"",ReferenceData!$F$884),"")</f>
        <v/>
      </c>
      <c r="G884">
        <f ca="1">IFERROR(IF(0=LEN(ReferenceData!$G$884),"",ReferenceData!$G$884),"")</f>
        <v>1.34</v>
      </c>
      <c r="H884">
        <f ca="1">IFERROR(IF(0=LEN(ReferenceData!$H$884),"",ReferenceData!$H$884),"")</f>
        <v>2.02</v>
      </c>
      <c r="I884">
        <f ca="1">IFERROR(IF(0=LEN(ReferenceData!$I$884),"",ReferenceData!$I$884),"")</f>
        <v>3.2</v>
      </c>
      <c r="J884">
        <f ca="1">IFERROR(IF(0=LEN(ReferenceData!$J$884),"",ReferenceData!$J$884),"")</f>
        <v>3.16</v>
      </c>
    </row>
    <row r="885" spans="1:10" x14ac:dyDescent="0.25">
      <c r="A885" t="str">
        <f>IFERROR(IF(0=LEN(ReferenceData!$A$885),"",ReferenceData!$A$885),"")</f>
        <v xml:space="preserve">                    Sibanye Stillwater Ltd</v>
      </c>
      <c r="B885" t="str">
        <f>IFERROR(IF(0=LEN(ReferenceData!$B$885),"",ReferenceData!$B$885),"")</f>
        <v>SSW SJ Equity</v>
      </c>
      <c r="C885" t="str">
        <f>IFERROR(IF(0=LEN(ReferenceData!$C$885),"",ReferenceData!$C$885),"")</f>
        <v>F0946</v>
      </c>
      <c r="D885" t="str">
        <f>IFERROR(IF(0=LEN(ReferenceData!$D$885),"",ReferenceData!$D$885),"")</f>
        <v>TOTAL_GHG_CO2_EMISSIONS</v>
      </c>
      <c r="E885" t="str">
        <f>IFERROR(IF(0=LEN(ReferenceData!$E$885),"",ReferenceData!$E$885),"")</f>
        <v>Dynamic</v>
      </c>
      <c r="F885">
        <f ca="1">IFERROR(IF(0=LEN(ReferenceData!$F$885),"",ReferenceData!$F$885),"")</f>
        <v>6.6520000000000001</v>
      </c>
      <c r="G885">
        <f ca="1">IFERROR(IF(0=LEN(ReferenceData!$G$885),"",ReferenceData!$G$885),"")</f>
        <v>7.3018300780000001</v>
      </c>
      <c r="H885">
        <f ca="1">IFERROR(IF(0=LEN(ReferenceData!$H$885),"",ReferenceData!$H$885),"")</f>
        <v>7.0170000000000003</v>
      </c>
      <c r="I885">
        <f ca="1">IFERROR(IF(0=LEN(ReferenceData!$I$885),"",ReferenceData!$I$885),"")</f>
        <v>7.4080000000000004</v>
      </c>
      <c r="J885">
        <f ca="1">IFERROR(IF(0=LEN(ReferenceData!$J$885),"",ReferenceData!$J$885),"")</f>
        <v>5.6660000000000004</v>
      </c>
    </row>
    <row r="886" spans="1:10" x14ac:dyDescent="0.25">
      <c r="A886" t="str">
        <f>IFERROR(IF(0=LEN(ReferenceData!$A$886),"",ReferenceData!$A$886),"")</f>
        <v xml:space="preserve">                    Zijin Mining Group Co Ltd</v>
      </c>
      <c r="B886" t="str">
        <f>IFERROR(IF(0=LEN(ReferenceData!$B$886),"",ReferenceData!$B$886),"")</f>
        <v>2899 HK Equity</v>
      </c>
      <c r="C886" t="str">
        <f>IFERROR(IF(0=LEN(ReferenceData!$C$886),"",ReferenceData!$C$886),"")</f>
        <v>F0946</v>
      </c>
      <c r="D886" t="str">
        <f>IFERROR(IF(0=LEN(ReferenceData!$D$886),"",ReferenceData!$D$886),"")</f>
        <v>TOTAL_GHG_CO2_EMISSIONS</v>
      </c>
      <c r="E886" t="str">
        <f>IFERROR(IF(0=LEN(ReferenceData!$E$886),"",ReferenceData!$E$886),"")</f>
        <v>Dynamic</v>
      </c>
      <c r="F886">
        <f ca="1">IFERROR(IF(0=LEN(ReferenceData!$F$886),"",ReferenceData!$F$886),"")</f>
        <v>7.78</v>
      </c>
      <c r="G886">
        <f ca="1">IFERROR(IF(0=LEN(ReferenceData!$G$886),"",ReferenceData!$G$886),"")</f>
        <v>7.26</v>
      </c>
      <c r="H886">
        <f ca="1">IFERROR(IF(0=LEN(ReferenceData!$H$886),"",ReferenceData!$H$886),"")</f>
        <v>6.11</v>
      </c>
      <c r="I886">
        <f ca="1">IFERROR(IF(0=LEN(ReferenceData!$I$886),"",ReferenceData!$I$886),"")</f>
        <v>5.35</v>
      </c>
      <c r="J886">
        <f ca="1">IFERROR(IF(0=LEN(ReferenceData!$J$886),"",ReferenceData!$J$886),"")</f>
        <v>2.4175400389999999</v>
      </c>
    </row>
    <row r="887" spans="1:10" x14ac:dyDescent="0.25">
      <c r="A887" t="str">
        <f>IFERROR(IF(0=LEN(ReferenceData!$A$887),"",ReferenceData!$A$887),"")</f>
        <v xml:space="preserve">                Silver</v>
      </c>
      <c r="B887" t="str">
        <f>IFERROR(IF(0=LEN(ReferenceData!$B$887),"",ReferenceData!$B$887),"")</f>
        <v/>
      </c>
      <c r="C887" t="str">
        <f>IFERROR(IF(0=LEN(ReferenceData!$C$887),"",ReferenceData!$C$887),"")</f>
        <v/>
      </c>
      <c r="D887" t="str">
        <f>IFERROR(IF(0=LEN(ReferenceData!$D$887),"",ReferenceData!$D$887),"")</f>
        <v/>
      </c>
      <c r="E887" t="str">
        <f>IFERROR(IF(0=LEN(ReferenceData!$E$887),"",ReferenceData!$E$887),"")</f>
        <v>Sum</v>
      </c>
      <c r="F887">
        <f ca="1">IFERROR(IF(0=LEN(ReferenceData!$F$887),"",ReferenceData!$F$887),"")</f>
        <v>1.8285120160000001</v>
      </c>
      <c r="G887">
        <f ca="1">IFERROR(IF(0=LEN(ReferenceData!$G$887),"",ReferenceData!$G$887),"")</f>
        <v>2.6355250809999999</v>
      </c>
      <c r="H887">
        <f ca="1">IFERROR(IF(0=LEN(ReferenceData!$H$887),"",ReferenceData!$H$887),"")</f>
        <v>2.4136175519999998</v>
      </c>
      <c r="I887">
        <f ca="1">IFERROR(IF(0=LEN(ReferenceData!$I$887),"",ReferenceData!$I$887),"")</f>
        <v>2.3876038180000001</v>
      </c>
      <c r="J887">
        <f ca="1">IFERROR(IF(0=LEN(ReferenceData!$J$887),"",ReferenceData!$J$887),"")</f>
        <v>1.939475904</v>
      </c>
    </row>
    <row r="888" spans="1:10" x14ac:dyDescent="0.25">
      <c r="A888" t="str">
        <f>IFERROR(IF(0=LEN(ReferenceData!$A$888),"",ReferenceData!$A$888),"")</f>
        <v xml:space="preserve">                    Alien Metals Ltd</v>
      </c>
      <c r="B888" t="str">
        <f>IFERROR(IF(0=LEN(ReferenceData!$B$888),"",ReferenceData!$B$888),"")</f>
        <v>UFO LN Equity</v>
      </c>
      <c r="C888" t="str">
        <f>IFERROR(IF(0=LEN(ReferenceData!$C$888),"",ReferenceData!$C$888),"")</f>
        <v>F0946</v>
      </c>
      <c r="D888" t="str">
        <f>IFERROR(IF(0=LEN(ReferenceData!$D$888),"",ReferenceData!$D$888),"")</f>
        <v>TOTAL_GHG_CO2_EMISSIONS</v>
      </c>
      <c r="E888" t="str">
        <f>IFERROR(IF(0=LEN(ReferenceData!$E$888),"",ReferenceData!$E$888),"")</f>
        <v>Dynamic</v>
      </c>
      <c r="F888" t="str">
        <f ca="1">IFERROR(IF(0=LEN(ReferenceData!$F$888),"",ReferenceData!$F$888),"")</f>
        <v/>
      </c>
      <c r="G888" t="str">
        <f ca="1">IFERROR(IF(0=LEN(ReferenceData!$G$888),"",ReferenceData!$G$888),"")</f>
        <v/>
      </c>
      <c r="H888" t="str">
        <f ca="1">IFERROR(IF(0=LEN(ReferenceData!$H$888),"",ReferenceData!$H$888),"")</f>
        <v/>
      </c>
      <c r="I888" t="str">
        <f ca="1">IFERROR(IF(0=LEN(ReferenceData!$I$888),"",ReferenceData!$I$888),"")</f>
        <v/>
      </c>
      <c r="J888" t="str">
        <f ca="1">IFERROR(IF(0=LEN(ReferenceData!$J$888),"",ReferenceData!$J$888),"")</f>
        <v/>
      </c>
    </row>
    <row r="889" spans="1:10" x14ac:dyDescent="0.25">
      <c r="A889" t="str">
        <f>IFERROR(IF(0=LEN(ReferenceData!$A$889),"",ReferenceData!$A$889),"")</f>
        <v xml:space="preserve">                    Americas Gold &amp; Silver Corp</v>
      </c>
      <c r="B889" t="str">
        <f>IFERROR(IF(0=LEN(ReferenceData!$B$889),"",ReferenceData!$B$889),"")</f>
        <v>USA CN Equity</v>
      </c>
      <c r="C889" t="str">
        <f>IFERROR(IF(0=LEN(ReferenceData!$C$889),"",ReferenceData!$C$889),"")</f>
        <v>F0946</v>
      </c>
      <c r="D889" t="str">
        <f>IFERROR(IF(0=LEN(ReferenceData!$D$889),"",ReferenceData!$D$889),"")</f>
        <v>TOTAL_GHG_CO2_EMISSIONS</v>
      </c>
      <c r="E889" t="str">
        <f>IFERROR(IF(0=LEN(ReferenceData!$E$889),"",ReferenceData!$E$889),"")</f>
        <v>Dynamic</v>
      </c>
      <c r="F889" t="str">
        <f ca="1">IFERROR(IF(0=LEN(ReferenceData!$F$889),"",ReferenceData!$F$889),"")</f>
        <v/>
      </c>
      <c r="G889" t="str">
        <f ca="1">IFERROR(IF(0=LEN(ReferenceData!$G$889),"",ReferenceData!$G$889),"")</f>
        <v/>
      </c>
      <c r="H889" t="str">
        <f ca="1">IFERROR(IF(0=LEN(ReferenceData!$H$889),"",ReferenceData!$H$889),"")</f>
        <v/>
      </c>
      <c r="I889" t="str">
        <f ca="1">IFERROR(IF(0=LEN(ReferenceData!$I$889),"",ReferenceData!$I$889),"")</f>
        <v/>
      </c>
      <c r="J889" t="str">
        <f ca="1">IFERROR(IF(0=LEN(ReferenceData!$J$889),"",ReferenceData!$J$889),"")</f>
        <v/>
      </c>
    </row>
    <row r="890" spans="1:10" x14ac:dyDescent="0.25">
      <c r="A890" t="str">
        <f>IFERROR(IF(0=LEN(ReferenceData!$A$890),"",ReferenceData!$A$890),"")</f>
        <v xml:space="preserve">                    Aurcana Silver Corp</v>
      </c>
      <c r="B890" t="str">
        <f>IFERROR(IF(0=LEN(ReferenceData!$B$890),"",ReferenceData!$B$890),"")</f>
        <v>AUN CN Equity</v>
      </c>
      <c r="C890" t="str">
        <f>IFERROR(IF(0=LEN(ReferenceData!$C$890),"",ReferenceData!$C$890),"")</f>
        <v>F0946</v>
      </c>
      <c r="D890" t="str">
        <f>IFERROR(IF(0=LEN(ReferenceData!$D$890),"",ReferenceData!$D$890),"")</f>
        <v>TOTAL_GHG_CO2_EMISSIONS</v>
      </c>
      <c r="E890" t="str">
        <f>IFERROR(IF(0=LEN(ReferenceData!$E$890),"",ReferenceData!$E$890),"")</f>
        <v>Dynamic</v>
      </c>
      <c r="F890" t="str">
        <f ca="1">IFERROR(IF(0=LEN(ReferenceData!$F$890),"",ReferenceData!$F$890),"")</f>
        <v/>
      </c>
      <c r="G890" t="str">
        <f ca="1">IFERROR(IF(0=LEN(ReferenceData!$G$890),"",ReferenceData!$G$890),"")</f>
        <v/>
      </c>
      <c r="H890" t="str">
        <f ca="1">IFERROR(IF(0=LEN(ReferenceData!$H$890),"",ReferenceData!$H$890),"")</f>
        <v/>
      </c>
      <c r="I890" t="str">
        <f ca="1">IFERROR(IF(0=LEN(ReferenceData!$I$890),"",ReferenceData!$I$890),"")</f>
        <v/>
      </c>
      <c r="J890" t="str">
        <f ca="1">IFERROR(IF(0=LEN(ReferenceData!$J$890),"",ReferenceData!$J$890),"")</f>
        <v/>
      </c>
    </row>
    <row r="891" spans="1:10" x14ac:dyDescent="0.25">
      <c r="A891" t="str">
        <f>IFERROR(IF(0=LEN(ReferenceData!$A$891),"",ReferenceData!$A$891),"")</f>
        <v xml:space="preserve">                    Bear Creek Mining Corp</v>
      </c>
      <c r="B891" t="str">
        <f>IFERROR(IF(0=LEN(ReferenceData!$B$891),"",ReferenceData!$B$891),"")</f>
        <v>BCM CN Equity</v>
      </c>
      <c r="C891" t="str">
        <f>IFERROR(IF(0=LEN(ReferenceData!$C$891),"",ReferenceData!$C$891),"")</f>
        <v>F0946</v>
      </c>
      <c r="D891" t="str">
        <f>IFERROR(IF(0=LEN(ReferenceData!$D$891),"",ReferenceData!$D$891),"")</f>
        <v>TOTAL_GHG_CO2_EMISSIONS</v>
      </c>
      <c r="E891" t="str">
        <f>IFERROR(IF(0=LEN(ReferenceData!$E$891),"",ReferenceData!$E$891),"")</f>
        <v>Dynamic</v>
      </c>
      <c r="F891" t="str">
        <f ca="1">IFERROR(IF(0=LEN(ReferenceData!$F$891),"",ReferenceData!$F$891),"")</f>
        <v/>
      </c>
      <c r="G891" t="str">
        <f ca="1">IFERROR(IF(0=LEN(ReferenceData!$G$891),"",ReferenceData!$G$891),"")</f>
        <v/>
      </c>
      <c r="H891" t="str">
        <f ca="1">IFERROR(IF(0=LEN(ReferenceData!$H$891),"",ReferenceData!$H$891),"")</f>
        <v/>
      </c>
      <c r="I891" t="str">
        <f ca="1">IFERROR(IF(0=LEN(ReferenceData!$I$891),"",ReferenceData!$I$891),"")</f>
        <v/>
      </c>
      <c r="J891" t="str">
        <f ca="1">IFERROR(IF(0=LEN(ReferenceData!$J$891),"",ReferenceData!$J$891),"")</f>
        <v/>
      </c>
    </row>
    <row r="892" spans="1:10" x14ac:dyDescent="0.25">
      <c r="A892" t="str">
        <f>IFERROR(IF(0=LEN(ReferenceData!$A$892),"",ReferenceData!$A$892),"")</f>
        <v xml:space="preserve">                    Coeur Mining Inc</v>
      </c>
      <c r="B892" t="str">
        <f>IFERROR(IF(0=LEN(ReferenceData!$B$892),"",ReferenceData!$B$892),"")</f>
        <v>CDE US Equity</v>
      </c>
      <c r="C892" t="str">
        <f>IFERROR(IF(0=LEN(ReferenceData!$C$892),"",ReferenceData!$C$892),"")</f>
        <v>F0946</v>
      </c>
      <c r="D892" t="str">
        <f>IFERROR(IF(0=LEN(ReferenceData!$D$892),"",ReferenceData!$D$892),"")</f>
        <v>TOTAL_GHG_CO2_EMISSIONS</v>
      </c>
      <c r="E892" t="str">
        <f>IFERROR(IF(0=LEN(ReferenceData!$E$892),"",ReferenceData!$E$892),"")</f>
        <v>Dynamic</v>
      </c>
      <c r="F892">
        <f ca="1">IFERROR(IF(0=LEN(ReferenceData!$F$892),"",ReferenceData!$F$892),"")</f>
        <v>0.30018200699999997</v>
      </c>
      <c r="G892">
        <f ca="1">IFERROR(IF(0=LEN(ReferenceData!$G$892),"",ReferenceData!$G$892),"")</f>
        <v>0.29927999900000002</v>
      </c>
      <c r="H892">
        <f ca="1">IFERROR(IF(0=LEN(ReferenceData!$H$892),"",ReferenceData!$H$892),"")</f>
        <v>0.288834015</v>
      </c>
      <c r="I892">
        <f ca="1">IFERROR(IF(0=LEN(ReferenceData!$I$892),"",ReferenceData!$I$892),"")</f>
        <v>0.28326501500000001</v>
      </c>
      <c r="J892">
        <f ca="1">IFERROR(IF(0=LEN(ReferenceData!$J$892),"",ReferenceData!$J$892),"")</f>
        <v>0.24094099399999999</v>
      </c>
    </row>
    <row r="893" spans="1:10" x14ac:dyDescent="0.25">
      <c r="A893" t="str">
        <f>IFERROR(IF(0=LEN(ReferenceData!$A$893),"",ReferenceData!$A$893),"")</f>
        <v xml:space="preserve">                    Endeavour Silver Corp</v>
      </c>
      <c r="B893" t="str">
        <f>IFERROR(IF(0=LEN(ReferenceData!$B$893),"",ReferenceData!$B$893),"")</f>
        <v>EDR CN Equity</v>
      </c>
      <c r="C893" t="str">
        <f>IFERROR(IF(0=LEN(ReferenceData!$C$893),"",ReferenceData!$C$893),"")</f>
        <v>F0946</v>
      </c>
      <c r="D893" t="str">
        <f>IFERROR(IF(0=LEN(ReferenceData!$D$893),"",ReferenceData!$D$893),"")</f>
        <v>TOTAL_GHG_CO2_EMISSIONS</v>
      </c>
      <c r="E893" t="str">
        <f>IFERROR(IF(0=LEN(ReferenceData!$E$893),"",ReferenceData!$E$893),"")</f>
        <v>Dynamic</v>
      </c>
      <c r="F893">
        <f ca="1">IFERROR(IF(0=LEN(ReferenceData!$F$893),"",ReferenceData!$F$893),"")</f>
        <v>5.4601002000000003E-2</v>
      </c>
      <c r="G893">
        <f ca="1">IFERROR(IF(0=LEN(ReferenceData!$G$893),"",ReferenceData!$G$893),"")</f>
        <v>5.0313998999999998E-2</v>
      </c>
      <c r="H893">
        <f ca="1">IFERROR(IF(0=LEN(ReferenceData!$H$893),"",ReferenceData!$H$893),"")</f>
        <v>4.8542000000000002E-2</v>
      </c>
      <c r="I893">
        <f ca="1">IFERROR(IF(0=LEN(ReferenceData!$I$893),"",ReferenceData!$I$893),"")</f>
        <v>7.3887000999999994E-2</v>
      </c>
      <c r="J893">
        <f ca="1">IFERROR(IF(0=LEN(ReferenceData!$J$893),"",ReferenceData!$J$893),"")</f>
        <v>8.6106003E-2</v>
      </c>
    </row>
    <row r="894" spans="1:10" x14ac:dyDescent="0.25">
      <c r="A894" t="str">
        <f>IFERROR(IF(0=LEN(ReferenceData!$A$894),"",ReferenceData!$A$894),"")</f>
        <v xml:space="preserve">                    Excellon Resources Inc</v>
      </c>
      <c r="B894" t="str">
        <f>IFERROR(IF(0=LEN(ReferenceData!$B$894),"",ReferenceData!$B$894),"")</f>
        <v>EXN CN Equity</v>
      </c>
      <c r="C894" t="str">
        <f>IFERROR(IF(0=LEN(ReferenceData!$C$894),"",ReferenceData!$C$894),"")</f>
        <v>F0946</v>
      </c>
      <c r="D894" t="str">
        <f>IFERROR(IF(0=LEN(ReferenceData!$D$894),"",ReferenceData!$D$894),"")</f>
        <v>TOTAL_GHG_CO2_EMISSIONS</v>
      </c>
      <c r="E894" t="str">
        <f>IFERROR(IF(0=LEN(ReferenceData!$E$894),"",ReferenceData!$E$894),"")</f>
        <v>Dynamic</v>
      </c>
      <c r="F894" t="str">
        <f ca="1">IFERROR(IF(0=LEN(ReferenceData!$F$894),"",ReferenceData!$F$894),"")</f>
        <v/>
      </c>
      <c r="G894" t="str">
        <f ca="1">IFERROR(IF(0=LEN(ReferenceData!$G$894),"",ReferenceData!$G$894),"")</f>
        <v/>
      </c>
      <c r="H894" t="str">
        <f ca="1">IFERROR(IF(0=LEN(ReferenceData!$H$894),"",ReferenceData!$H$894),"")</f>
        <v/>
      </c>
      <c r="I894" t="str">
        <f ca="1">IFERROR(IF(0=LEN(ReferenceData!$I$894),"",ReferenceData!$I$894),"")</f>
        <v/>
      </c>
      <c r="J894" t="str">
        <f ca="1">IFERROR(IF(0=LEN(ReferenceData!$J$894),"",ReferenceData!$J$894),"")</f>
        <v/>
      </c>
    </row>
    <row r="895" spans="1:10" x14ac:dyDescent="0.25">
      <c r="A895" t="str">
        <f>IFERROR(IF(0=LEN(ReferenceData!$A$895),"",ReferenceData!$A$895),"")</f>
        <v xml:space="preserve">                    First Majestic Silver Corp</v>
      </c>
      <c r="B895" t="str">
        <f>IFERROR(IF(0=LEN(ReferenceData!$B$895),"",ReferenceData!$B$895),"")</f>
        <v>FR CN Equity</v>
      </c>
      <c r="C895" t="str">
        <f>IFERROR(IF(0=LEN(ReferenceData!$C$895),"",ReferenceData!$C$895),"")</f>
        <v>F0946</v>
      </c>
      <c r="D895" t="str">
        <f>IFERROR(IF(0=LEN(ReferenceData!$D$895),"",ReferenceData!$D$895),"")</f>
        <v>TOTAL_GHG_CO2_EMISSIONS</v>
      </c>
      <c r="E895" t="str">
        <f>IFERROR(IF(0=LEN(ReferenceData!$E$895),"",ReferenceData!$E$895),"")</f>
        <v>Dynamic</v>
      </c>
      <c r="F895" t="str">
        <f ca="1">IFERROR(IF(0=LEN(ReferenceData!$F$895),"",ReferenceData!$F$895),"")</f>
        <v/>
      </c>
      <c r="G895">
        <f ca="1">IFERROR(IF(0=LEN(ReferenceData!$G$895),"",ReferenceData!$G$895),"")</f>
        <v>8.4217002999999999E-2</v>
      </c>
      <c r="H895">
        <f ca="1">IFERROR(IF(0=LEN(ReferenceData!$H$895),"",ReferenceData!$H$895),"")</f>
        <v>8.0656997999999994E-2</v>
      </c>
      <c r="I895">
        <f ca="1">IFERROR(IF(0=LEN(ReferenceData!$I$895),"",ReferenceData!$I$895),"")</f>
        <v>0.12074600200000001</v>
      </c>
      <c r="J895" t="str">
        <f ca="1">IFERROR(IF(0=LEN(ReferenceData!$J$895),"",ReferenceData!$J$895),"")</f>
        <v/>
      </c>
    </row>
    <row r="896" spans="1:10" x14ac:dyDescent="0.25">
      <c r="A896" t="str">
        <f>IFERROR(IF(0=LEN(ReferenceData!$A$896),"",ReferenceData!$A$896),"")</f>
        <v xml:space="preserve">                    Fortuna Silver Mines Inc</v>
      </c>
      <c r="B896" t="str">
        <f>IFERROR(IF(0=LEN(ReferenceData!$B$896),"",ReferenceData!$B$896),"")</f>
        <v>FVI CN Equity</v>
      </c>
      <c r="C896" t="str">
        <f>IFERROR(IF(0=LEN(ReferenceData!$C$896),"",ReferenceData!$C$896),"")</f>
        <v>F0946</v>
      </c>
      <c r="D896" t="str">
        <f>IFERROR(IF(0=LEN(ReferenceData!$D$896),"",ReferenceData!$D$896),"")</f>
        <v>TOTAL_GHG_CO2_EMISSIONS</v>
      </c>
      <c r="E896" t="str">
        <f>IFERROR(IF(0=LEN(ReferenceData!$E$896),"",ReferenceData!$E$896),"")</f>
        <v>Dynamic</v>
      </c>
      <c r="F896" t="str">
        <f ca="1">IFERROR(IF(0=LEN(ReferenceData!$F$896),"",ReferenceData!$F$896),"")</f>
        <v/>
      </c>
      <c r="G896">
        <f ca="1">IFERROR(IF(0=LEN(ReferenceData!$G$896),"",ReferenceData!$G$896),"")</f>
        <v>0.15223199500000001</v>
      </c>
      <c r="H896">
        <f ca="1">IFERROR(IF(0=LEN(ReferenceData!$H$896),"",ReferenceData!$H$896),"")</f>
        <v>7.0982002000000002E-2</v>
      </c>
      <c r="I896">
        <f ca="1">IFERROR(IF(0=LEN(ReferenceData!$I$896),"",ReferenceData!$I$896),"")</f>
        <v>7.5641998000000002E-2</v>
      </c>
      <c r="J896">
        <f ca="1">IFERROR(IF(0=LEN(ReferenceData!$J$896),"",ReferenceData!$J$896),"")</f>
        <v>8.0288001999999997E-2</v>
      </c>
    </row>
    <row r="897" spans="1:10" x14ac:dyDescent="0.25">
      <c r="A897" t="str">
        <f>IFERROR(IF(0=LEN(ReferenceData!$A$897),"",ReferenceData!$A$897),"")</f>
        <v xml:space="preserve">                    Fresnillo PLC</v>
      </c>
      <c r="B897" t="str">
        <f>IFERROR(IF(0=LEN(ReferenceData!$B$897),"",ReferenceData!$B$897),"")</f>
        <v>FRES LN Equity</v>
      </c>
      <c r="C897" t="str">
        <f>IFERROR(IF(0=LEN(ReferenceData!$C$897),"",ReferenceData!$C$897),"")</f>
        <v>F0946</v>
      </c>
      <c r="D897" t="str">
        <f>IFERROR(IF(0=LEN(ReferenceData!$D$897),"",ReferenceData!$D$897),"")</f>
        <v>TOTAL_GHG_CO2_EMISSIONS</v>
      </c>
      <c r="E897" t="str">
        <f>IFERROR(IF(0=LEN(ReferenceData!$E$897),"",ReferenceData!$E$897),"")</f>
        <v>Dynamic</v>
      </c>
      <c r="F897">
        <f ca="1">IFERROR(IF(0=LEN(ReferenceData!$F$897),"",ReferenceData!$F$897),"")</f>
        <v>0.96110498099999997</v>
      </c>
      <c r="G897">
        <f ca="1">IFERROR(IF(0=LEN(ReferenceData!$G$897),"",ReferenceData!$G$897),"")</f>
        <v>0.89888800099999999</v>
      </c>
      <c r="H897">
        <f ca="1">IFERROR(IF(0=LEN(ReferenceData!$H$897),"",ReferenceData!$H$897),"")</f>
        <v>0.84151898199999997</v>
      </c>
      <c r="I897">
        <f ca="1">IFERROR(IF(0=LEN(ReferenceData!$I$897),"",ReferenceData!$I$897),"")</f>
        <v>0.84848400899999998</v>
      </c>
      <c r="J897">
        <f ca="1">IFERROR(IF(0=LEN(ReferenceData!$J$897),"",ReferenceData!$J$897),"")</f>
        <v>0.81707397500000001</v>
      </c>
    </row>
    <row r="898" spans="1:10" x14ac:dyDescent="0.25">
      <c r="A898" t="str">
        <f>IFERROR(IF(0=LEN(ReferenceData!$A$898),"",ReferenceData!$A$898),"")</f>
        <v xml:space="preserve">                    Golden Minerals Co</v>
      </c>
      <c r="B898" t="str">
        <f>IFERROR(IF(0=LEN(ReferenceData!$B$898),"",ReferenceData!$B$898),"")</f>
        <v>AUMN US Equity</v>
      </c>
      <c r="C898" t="str">
        <f>IFERROR(IF(0=LEN(ReferenceData!$C$898),"",ReferenceData!$C$898),"")</f>
        <v>F0946</v>
      </c>
      <c r="D898" t="str">
        <f>IFERROR(IF(0=LEN(ReferenceData!$D$898),"",ReferenceData!$D$898),"")</f>
        <v>TOTAL_GHG_CO2_EMISSIONS</v>
      </c>
      <c r="E898" t="str">
        <f>IFERROR(IF(0=LEN(ReferenceData!$E$898),"",ReferenceData!$E$898),"")</f>
        <v>Dynamic</v>
      </c>
      <c r="F898" t="str">
        <f ca="1">IFERROR(IF(0=LEN(ReferenceData!$F$898),"",ReferenceData!$F$898),"")</f>
        <v/>
      </c>
      <c r="G898" t="str">
        <f ca="1">IFERROR(IF(0=LEN(ReferenceData!$G$898),"",ReferenceData!$G$898),"")</f>
        <v/>
      </c>
      <c r="H898" t="str">
        <f ca="1">IFERROR(IF(0=LEN(ReferenceData!$H$898),"",ReferenceData!$H$898),"")</f>
        <v/>
      </c>
      <c r="I898" t="str">
        <f ca="1">IFERROR(IF(0=LEN(ReferenceData!$I$898),"",ReferenceData!$I$898),"")</f>
        <v/>
      </c>
      <c r="J898" t="str">
        <f ca="1">IFERROR(IF(0=LEN(ReferenceData!$J$898),"",ReferenceData!$J$898),"")</f>
        <v/>
      </c>
    </row>
    <row r="899" spans="1:10" x14ac:dyDescent="0.25">
      <c r="A899" t="str">
        <f>IFERROR(IF(0=LEN(ReferenceData!$A$899),"",ReferenceData!$A$899),"")</f>
        <v xml:space="preserve">                    Hochschild Mining PLC</v>
      </c>
      <c r="B899" t="str">
        <f>IFERROR(IF(0=LEN(ReferenceData!$B$899),"",ReferenceData!$B$899),"")</f>
        <v>HOC LN Equity</v>
      </c>
      <c r="C899" t="str">
        <f>IFERROR(IF(0=LEN(ReferenceData!$C$899),"",ReferenceData!$C$899),"")</f>
        <v>F0946</v>
      </c>
      <c r="D899" t="str">
        <f>IFERROR(IF(0=LEN(ReferenceData!$D$899),"",ReferenceData!$D$899),"")</f>
        <v>TOTAL_GHG_CO2_EMISSIONS</v>
      </c>
      <c r="E899" t="str">
        <f>IFERROR(IF(0=LEN(ReferenceData!$E$899),"",ReferenceData!$E$899),"")</f>
        <v>Dynamic</v>
      </c>
      <c r="F899">
        <f ca="1">IFERROR(IF(0=LEN(ReferenceData!$F$899),"",ReferenceData!$F$899),"")</f>
        <v>0.111311997</v>
      </c>
      <c r="G899">
        <f ca="1">IFERROR(IF(0=LEN(ReferenceData!$G$899),"",ReferenceData!$G$899),"")</f>
        <v>0.104583</v>
      </c>
      <c r="H899">
        <f ca="1">IFERROR(IF(0=LEN(ReferenceData!$H$899),"",ReferenceData!$H$899),"")</f>
        <v>9.8973998999999993E-2</v>
      </c>
      <c r="I899">
        <f ca="1">IFERROR(IF(0=LEN(ReferenceData!$I$899),"",ReferenceData!$I$899),"")</f>
        <v>0.122209999</v>
      </c>
      <c r="J899">
        <f ca="1">IFERROR(IF(0=LEN(ReferenceData!$J$899),"",ReferenceData!$J$899),"")</f>
        <v>0.12954299899999999</v>
      </c>
    </row>
    <row r="900" spans="1:10" x14ac:dyDescent="0.25">
      <c r="A900" t="str">
        <f>IFERROR(IF(0=LEN(ReferenceData!$A$900),"",ReferenceData!$A$900),"")</f>
        <v xml:space="preserve">                    Hecla Mining Co</v>
      </c>
      <c r="B900" t="str">
        <f>IFERROR(IF(0=LEN(ReferenceData!$B$900),"",ReferenceData!$B$900),"")</f>
        <v>HL US Equity</v>
      </c>
      <c r="C900" t="str">
        <f>IFERROR(IF(0=LEN(ReferenceData!$C$900),"",ReferenceData!$C$900),"")</f>
        <v>F0946</v>
      </c>
      <c r="D900" t="str">
        <f>IFERROR(IF(0=LEN(ReferenceData!$D$900),"",ReferenceData!$D$900),"")</f>
        <v>TOTAL_GHG_CO2_EMISSIONS</v>
      </c>
      <c r="E900" t="str">
        <f>IFERROR(IF(0=LEN(ReferenceData!$E$900),"",ReferenceData!$E$900),"")</f>
        <v>Dynamic</v>
      </c>
      <c r="F900" t="str">
        <f ca="1">IFERROR(IF(0=LEN(ReferenceData!$F$900),"",ReferenceData!$F$900),"")</f>
        <v/>
      </c>
      <c r="G900">
        <f ca="1">IFERROR(IF(0=LEN(ReferenceData!$G$900),"",ReferenceData!$G$900),"")</f>
        <v>7.5007004000000002E-2</v>
      </c>
      <c r="H900">
        <f ca="1">IFERROR(IF(0=LEN(ReferenceData!$H$900),"",ReferenceData!$H$900),"")</f>
        <v>7.5582000999999996E-2</v>
      </c>
      <c r="I900">
        <f ca="1">IFERROR(IF(0=LEN(ReferenceData!$I$900),"",ReferenceData!$I$900),"")</f>
        <v>0.13434399399999999</v>
      </c>
      <c r="J900" t="str">
        <f ca="1">IFERROR(IF(0=LEN(ReferenceData!$J$900),"",ReferenceData!$J$900),"")</f>
        <v/>
      </c>
    </row>
    <row r="901" spans="1:10" x14ac:dyDescent="0.25">
      <c r="A901" t="str">
        <f>IFERROR(IF(0=LEN(ReferenceData!$A$901),"",ReferenceData!$A$901),"")</f>
        <v xml:space="preserve">                    MAG Silver Corp</v>
      </c>
      <c r="B901" t="str">
        <f>IFERROR(IF(0=LEN(ReferenceData!$B$901),"",ReferenceData!$B$901),"")</f>
        <v>MAG CN Equity</v>
      </c>
      <c r="C901" t="str">
        <f>IFERROR(IF(0=LEN(ReferenceData!$C$901),"",ReferenceData!$C$901),"")</f>
        <v>F0946</v>
      </c>
      <c r="D901" t="str">
        <f>IFERROR(IF(0=LEN(ReferenceData!$D$901),"",ReferenceData!$D$901),"")</f>
        <v>TOTAL_GHG_CO2_EMISSIONS</v>
      </c>
      <c r="E901" t="str">
        <f>IFERROR(IF(0=LEN(ReferenceData!$E$901),"",ReferenceData!$E$901),"")</f>
        <v>Dynamic</v>
      </c>
      <c r="F901" t="str">
        <f ca="1">IFERROR(IF(0=LEN(ReferenceData!$F$901),"",ReferenceData!$F$901),"")</f>
        <v/>
      </c>
      <c r="G901" t="str">
        <f ca="1">IFERROR(IF(0=LEN(ReferenceData!$G$901),"",ReferenceData!$G$901),"")</f>
        <v/>
      </c>
      <c r="H901" t="str">
        <f ca="1">IFERROR(IF(0=LEN(ReferenceData!$H$901),"",ReferenceData!$H$901),"")</f>
        <v/>
      </c>
      <c r="I901" t="str">
        <f ca="1">IFERROR(IF(0=LEN(ReferenceData!$I$901),"",ReferenceData!$I$901),"")</f>
        <v/>
      </c>
      <c r="J901" t="str">
        <f ca="1">IFERROR(IF(0=LEN(ReferenceData!$J$901),"",ReferenceData!$J$901),"")</f>
        <v/>
      </c>
    </row>
    <row r="902" spans="1:10" x14ac:dyDescent="0.25">
      <c r="A902" t="str">
        <f>IFERROR(IF(0=LEN(ReferenceData!$A$902),"",ReferenceData!$A$902),"")</f>
        <v xml:space="preserve">                    McEwen Mining Inc</v>
      </c>
      <c r="B902" t="str">
        <f>IFERROR(IF(0=LEN(ReferenceData!$B$902),"",ReferenceData!$B$902),"")</f>
        <v>MUX US Equity</v>
      </c>
      <c r="C902" t="str">
        <f>IFERROR(IF(0=LEN(ReferenceData!$C$902),"",ReferenceData!$C$902),"")</f>
        <v>F0946</v>
      </c>
      <c r="D902" t="str">
        <f>IFERROR(IF(0=LEN(ReferenceData!$D$902),"",ReferenceData!$D$902),"")</f>
        <v>TOTAL_GHG_CO2_EMISSIONS</v>
      </c>
      <c r="E902" t="str">
        <f>IFERROR(IF(0=LEN(ReferenceData!$E$902),"",ReferenceData!$E$902),"")</f>
        <v>Dynamic</v>
      </c>
      <c r="F902" t="str">
        <f ca="1">IFERROR(IF(0=LEN(ReferenceData!$F$902),"",ReferenceData!$F$902),"")</f>
        <v/>
      </c>
      <c r="G902" t="str">
        <f ca="1">IFERROR(IF(0=LEN(ReferenceData!$G$902),"",ReferenceData!$G$902),"")</f>
        <v/>
      </c>
      <c r="H902" t="str">
        <f ca="1">IFERROR(IF(0=LEN(ReferenceData!$H$902),"",ReferenceData!$H$902),"")</f>
        <v/>
      </c>
      <c r="I902" t="str">
        <f ca="1">IFERROR(IF(0=LEN(ReferenceData!$I$902),"",ReferenceData!$I$902),"")</f>
        <v/>
      </c>
      <c r="J902" t="str">
        <f ca="1">IFERROR(IF(0=LEN(ReferenceData!$J$902),"",ReferenceData!$J$902),"")</f>
        <v/>
      </c>
    </row>
    <row r="903" spans="1:10" x14ac:dyDescent="0.25">
      <c r="A903" t="str">
        <f>IFERROR(IF(0=LEN(ReferenceData!$A$903),"",ReferenceData!$A$903),"")</f>
        <v xml:space="preserve">                    Minco Silver Corp</v>
      </c>
      <c r="B903" t="str">
        <f>IFERROR(IF(0=LEN(ReferenceData!$B$903),"",ReferenceData!$B$903),"")</f>
        <v>MSV CN Equity</v>
      </c>
      <c r="C903" t="str">
        <f>IFERROR(IF(0=LEN(ReferenceData!$C$903),"",ReferenceData!$C$903),"")</f>
        <v>F0946</v>
      </c>
      <c r="D903" t="str">
        <f>IFERROR(IF(0=LEN(ReferenceData!$D$903),"",ReferenceData!$D$903),"")</f>
        <v>TOTAL_GHG_CO2_EMISSIONS</v>
      </c>
      <c r="E903" t="str">
        <f>IFERROR(IF(0=LEN(ReferenceData!$E$903),"",ReferenceData!$E$903),"")</f>
        <v>Dynamic</v>
      </c>
      <c r="F903" t="str">
        <f ca="1">IFERROR(IF(0=LEN(ReferenceData!$F$903),"",ReferenceData!$F$903),"")</f>
        <v/>
      </c>
      <c r="G903" t="str">
        <f ca="1">IFERROR(IF(0=LEN(ReferenceData!$G$903),"",ReferenceData!$G$903),"")</f>
        <v/>
      </c>
      <c r="H903" t="str">
        <f ca="1">IFERROR(IF(0=LEN(ReferenceData!$H$903),"",ReferenceData!$H$903),"")</f>
        <v/>
      </c>
      <c r="I903" t="str">
        <f ca="1">IFERROR(IF(0=LEN(ReferenceData!$I$903),"",ReferenceData!$I$903),"")</f>
        <v/>
      </c>
      <c r="J903" t="str">
        <f ca="1">IFERROR(IF(0=LEN(ReferenceData!$J$903),"",ReferenceData!$J$903),"")</f>
        <v/>
      </c>
    </row>
    <row r="904" spans="1:10" x14ac:dyDescent="0.25">
      <c r="A904" t="str">
        <f>IFERROR(IF(0=LEN(ReferenceData!$A$904),"",ReferenceData!$A$904),"")</f>
        <v xml:space="preserve">                    Pan American Silver Corp</v>
      </c>
      <c r="B904" t="str">
        <f>IFERROR(IF(0=LEN(ReferenceData!$B$904),"",ReferenceData!$B$904),"")</f>
        <v>PAAS CN Equity</v>
      </c>
      <c r="C904" t="str">
        <f>IFERROR(IF(0=LEN(ReferenceData!$C$904),"",ReferenceData!$C$904),"")</f>
        <v>F0946</v>
      </c>
      <c r="D904" t="str">
        <f>IFERROR(IF(0=LEN(ReferenceData!$D$904),"",ReferenceData!$D$904),"")</f>
        <v>TOTAL_GHG_CO2_EMISSIONS</v>
      </c>
      <c r="E904" t="str">
        <f>IFERROR(IF(0=LEN(ReferenceData!$E$904),"",ReferenceData!$E$904),"")</f>
        <v>Dynamic</v>
      </c>
      <c r="F904" t="str">
        <f ca="1">IFERROR(IF(0=LEN(ReferenceData!$F$904),"",ReferenceData!$F$904),"")</f>
        <v/>
      </c>
      <c r="G904">
        <f ca="1">IFERROR(IF(0=LEN(ReferenceData!$G$904),"",ReferenceData!$G$904),"")</f>
        <v>0.40205398599999997</v>
      </c>
      <c r="H904">
        <f ca="1">IFERROR(IF(0=LEN(ReferenceData!$H$904),"",ReferenceData!$H$904),"")</f>
        <v>0.38252999900000001</v>
      </c>
      <c r="I904">
        <f ca="1">IFERROR(IF(0=LEN(ReferenceData!$I$904),"",ReferenceData!$I$904),"")</f>
        <v>0.45060299700000001</v>
      </c>
      <c r="J904">
        <f ca="1">IFERROR(IF(0=LEN(ReferenceData!$J$904),"",ReferenceData!$J$904),"")</f>
        <v>0.28852600099999998</v>
      </c>
    </row>
    <row r="905" spans="1:10" x14ac:dyDescent="0.25">
      <c r="A905" t="str">
        <f>IFERROR(IF(0=LEN(ReferenceData!$A$905),"",ReferenceData!$A$905),"")</f>
        <v xml:space="preserve">                    Silvercorp Metals Inc</v>
      </c>
      <c r="B905" t="str">
        <f>IFERROR(IF(0=LEN(ReferenceData!$B$905),"",ReferenceData!$B$905),"")</f>
        <v>SVM CN Equity</v>
      </c>
      <c r="C905" t="str">
        <f>IFERROR(IF(0=LEN(ReferenceData!$C$905),"",ReferenceData!$C$905),"")</f>
        <v>F0946</v>
      </c>
      <c r="D905" t="str">
        <f>IFERROR(IF(0=LEN(ReferenceData!$D$905),"",ReferenceData!$D$905),"")</f>
        <v>TOTAL_GHG_CO2_EMISSIONS</v>
      </c>
      <c r="E905" t="str">
        <f>IFERROR(IF(0=LEN(ReferenceData!$E$905),"",ReferenceData!$E$905),"")</f>
        <v>Dynamic</v>
      </c>
      <c r="F905" t="str">
        <f ca="1">IFERROR(IF(0=LEN(ReferenceData!$F$905),"",ReferenceData!$F$905),"")</f>
        <v/>
      </c>
      <c r="G905">
        <f ca="1">IFERROR(IF(0=LEN(ReferenceData!$G$905),"",ReferenceData!$G$905),"")</f>
        <v>6.5386001999999999E-2</v>
      </c>
      <c r="H905">
        <f ca="1">IFERROR(IF(0=LEN(ReferenceData!$H$905),"",ReferenceData!$H$905),"")</f>
        <v>6.4922996999999996E-2</v>
      </c>
      <c r="I905">
        <f ca="1">IFERROR(IF(0=LEN(ReferenceData!$I$905),"",ReferenceData!$I$905),"")</f>
        <v>8.4653998999999994E-2</v>
      </c>
      <c r="J905">
        <f ca="1">IFERROR(IF(0=LEN(ReferenceData!$J$905),"",ReferenceData!$J$905),"")</f>
        <v>8.2671996999999997E-2</v>
      </c>
    </row>
    <row r="906" spans="1:10" x14ac:dyDescent="0.25">
      <c r="A906" t="str">
        <f>IFERROR(IF(0=LEN(ReferenceData!$A$906),"",ReferenceData!$A$906),"")</f>
        <v xml:space="preserve">                    Societe Metallurgique D'imiter</v>
      </c>
      <c r="B906" t="str">
        <f>IFERROR(IF(0=LEN(ReferenceData!$B$906),"",ReferenceData!$B$906),"")</f>
        <v>SMI MC Equity</v>
      </c>
      <c r="C906" t="str">
        <f>IFERROR(IF(0=LEN(ReferenceData!$C$906),"",ReferenceData!$C$906),"")</f>
        <v>F0946</v>
      </c>
      <c r="D906" t="str">
        <f>IFERROR(IF(0=LEN(ReferenceData!$D$906),"",ReferenceData!$D$906),"")</f>
        <v>TOTAL_GHG_CO2_EMISSIONS</v>
      </c>
      <c r="E906" t="str">
        <f>IFERROR(IF(0=LEN(ReferenceData!$E$906),"",ReferenceData!$E$906),"")</f>
        <v>Dynamic</v>
      </c>
      <c r="F906" t="str">
        <f ca="1">IFERROR(IF(0=LEN(ReferenceData!$F$906),"",ReferenceData!$F$906),"")</f>
        <v/>
      </c>
      <c r="G906" t="str">
        <f ca="1">IFERROR(IF(0=LEN(ReferenceData!$G$906),"",ReferenceData!$G$906),"")</f>
        <v/>
      </c>
      <c r="H906" t="str">
        <f ca="1">IFERROR(IF(0=LEN(ReferenceData!$H$906),"",ReferenceData!$H$906),"")</f>
        <v/>
      </c>
      <c r="I906" t="str">
        <f ca="1">IFERROR(IF(0=LEN(ReferenceData!$I$906),"",ReferenceData!$I$906),"")</f>
        <v/>
      </c>
      <c r="J906" t="str">
        <f ca="1">IFERROR(IF(0=LEN(ReferenceData!$J$906),"",ReferenceData!$J$906),"")</f>
        <v/>
      </c>
    </row>
    <row r="907" spans="1:10" x14ac:dyDescent="0.25">
      <c r="A907" t="str">
        <f>IFERROR(IF(0=LEN(ReferenceData!$A$907),"",ReferenceData!$A$907),"")</f>
        <v xml:space="preserve">                    SSR Mining Inc</v>
      </c>
      <c r="B907" t="str">
        <f>IFERROR(IF(0=LEN(ReferenceData!$B$907),"",ReferenceData!$B$907),"")</f>
        <v>SSRM CN Equity</v>
      </c>
      <c r="C907" t="str">
        <f>IFERROR(IF(0=LEN(ReferenceData!$C$907),"",ReferenceData!$C$907),"")</f>
        <v>F0946</v>
      </c>
      <c r="D907" t="str">
        <f>IFERROR(IF(0=LEN(ReferenceData!$D$907),"",ReferenceData!$D$907),"")</f>
        <v>TOTAL_GHG_CO2_EMISSIONS</v>
      </c>
      <c r="E907" t="str">
        <f>IFERROR(IF(0=LEN(ReferenceData!$E$907),"",ReferenceData!$E$907),"")</f>
        <v>Dynamic</v>
      </c>
      <c r="F907">
        <f ca="1">IFERROR(IF(0=LEN(ReferenceData!$F$907),"",ReferenceData!$F$907),"")</f>
        <v>0.401279999</v>
      </c>
      <c r="G907">
        <f ca="1">IFERROR(IF(0=LEN(ReferenceData!$G$907),"",ReferenceData!$G$907),"")</f>
        <v>0.50352899200000001</v>
      </c>
      <c r="H907">
        <f ca="1">IFERROR(IF(0=LEN(ReferenceData!$H$907),"",ReferenceData!$H$907),"")</f>
        <v>0.46105300900000001</v>
      </c>
      <c r="I907">
        <f ca="1">IFERROR(IF(0=LEN(ReferenceData!$I$907),"",ReferenceData!$I$907),"")</f>
        <v>0.193742004</v>
      </c>
      <c r="J907">
        <f ca="1">IFERROR(IF(0=LEN(ReferenceData!$J$907),"",ReferenceData!$J$907),"")</f>
        <v>0.21430000299999999</v>
      </c>
    </row>
    <row r="908" spans="1:10" x14ac:dyDescent="0.25">
      <c r="A908" t="str">
        <f>IFERROR(IF(0=LEN(ReferenceData!$A$908),"",ReferenceData!$A$908),"")</f>
        <v xml:space="preserve">                    Troilus Gold Corp</v>
      </c>
      <c r="B908" t="str">
        <f>IFERROR(IF(0=LEN(ReferenceData!$B$908),"",ReferenceData!$B$908),"")</f>
        <v>TLG CN Equity</v>
      </c>
      <c r="C908" t="str">
        <f>IFERROR(IF(0=LEN(ReferenceData!$C$908),"",ReferenceData!$C$908),"")</f>
        <v>F0946</v>
      </c>
      <c r="D908" t="str">
        <f>IFERROR(IF(0=LEN(ReferenceData!$D$908),"",ReferenceData!$D$908),"")</f>
        <v>TOTAL_GHG_CO2_EMISSIONS</v>
      </c>
      <c r="E908" t="str">
        <f>IFERROR(IF(0=LEN(ReferenceData!$E$908),"",ReferenceData!$E$908),"")</f>
        <v>Dynamic</v>
      </c>
      <c r="F908" t="str">
        <f ca="1">IFERROR(IF(0=LEN(ReferenceData!$F$908),"",ReferenceData!$F$908),"")</f>
        <v/>
      </c>
      <c r="G908" t="str">
        <f ca="1">IFERROR(IF(0=LEN(ReferenceData!$G$908),"",ReferenceData!$G$908),"")</f>
        <v/>
      </c>
      <c r="H908" t="str">
        <f ca="1">IFERROR(IF(0=LEN(ReferenceData!$H$908),"",ReferenceData!$H$908),"")</f>
        <v/>
      </c>
      <c r="I908" t="str">
        <f ca="1">IFERROR(IF(0=LEN(ReferenceData!$I$908),"",ReferenceData!$I$908),"")</f>
        <v/>
      </c>
      <c r="J908" t="str">
        <f ca="1">IFERROR(IF(0=LEN(ReferenceData!$J$908),"",ReferenceData!$J$908),"")</f>
        <v/>
      </c>
    </row>
    <row r="909" spans="1:10" x14ac:dyDescent="0.25">
      <c r="A909" t="str">
        <f>IFERROR(IF(0=LEN(ReferenceData!$A$909),"",ReferenceData!$A$909),"")</f>
        <v xml:space="preserve">                    Wheaton Precious Metals Corp</v>
      </c>
      <c r="B909" t="str">
        <f>IFERROR(IF(0=LEN(ReferenceData!$B$909),"",ReferenceData!$B$909),"")</f>
        <v>WPM CN Equity</v>
      </c>
      <c r="C909" t="str">
        <f>IFERROR(IF(0=LEN(ReferenceData!$C$909),"",ReferenceData!$C$909),"")</f>
        <v>F0946</v>
      </c>
      <c r="D909" t="str">
        <f>IFERROR(IF(0=LEN(ReferenceData!$D$909),"",ReferenceData!$D$909),"")</f>
        <v>TOTAL_GHG_CO2_EMISSIONS</v>
      </c>
      <c r="E909" t="str">
        <f>IFERROR(IF(0=LEN(ReferenceData!$E$909),"",ReferenceData!$E$909),"")</f>
        <v>Dynamic</v>
      </c>
      <c r="F909">
        <f ca="1">IFERROR(IF(0=LEN(ReferenceData!$F$909),"",ReferenceData!$F$909),"")</f>
        <v>3.2030000000000003E-5</v>
      </c>
      <c r="G909">
        <f ca="1">IFERROR(IF(0=LEN(ReferenceData!$G$909),"",ReferenceData!$G$909),"")</f>
        <v>3.5099999999999999E-5</v>
      </c>
      <c r="H909">
        <f ca="1">IFERROR(IF(0=LEN(ReferenceData!$H$909),"",ReferenceData!$H$909),"")</f>
        <v>2.1549999999999999E-5</v>
      </c>
      <c r="I909">
        <f ca="1">IFERROR(IF(0=LEN(ReferenceData!$I$909),"",ReferenceData!$I$909),"")</f>
        <v>2.6800000000000001E-5</v>
      </c>
      <c r="J909">
        <f ca="1">IFERROR(IF(0=LEN(ReferenceData!$J$909),"",ReferenceData!$J$909),"")</f>
        <v>2.5930000000000001E-5</v>
      </c>
    </row>
    <row r="910" spans="1:10" x14ac:dyDescent="0.25">
      <c r="A910" t="str">
        <f>IFERROR(IF(0=LEN(ReferenceData!$A$910),"",ReferenceData!$A$910),"")</f>
        <v xml:space="preserve">                Platinum</v>
      </c>
      <c r="B910" t="str">
        <f>IFERROR(IF(0=LEN(ReferenceData!$B$910),"",ReferenceData!$B$910),"")</f>
        <v/>
      </c>
      <c r="C910" t="str">
        <f>IFERROR(IF(0=LEN(ReferenceData!$C$910),"",ReferenceData!$C$910),"")</f>
        <v/>
      </c>
      <c r="D910" t="str">
        <f>IFERROR(IF(0=LEN(ReferenceData!$D$910),"",ReferenceData!$D$910),"")</f>
        <v/>
      </c>
      <c r="E910" t="str">
        <f>IFERROR(IF(0=LEN(ReferenceData!$E$910),"",ReferenceData!$E$910),"")</f>
        <v>Sum</v>
      </c>
      <c r="F910">
        <f ca="1">IFERROR(IF(0=LEN(ReferenceData!$F$910),"",ReferenceData!$F$910),"")</f>
        <v>24.645167374000003</v>
      </c>
      <c r="G910">
        <f ca="1">IFERROR(IF(0=LEN(ReferenceData!$G$910),"",ReferenceData!$G$910),"")</f>
        <v>43.404270076999993</v>
      </c>
      <c r="H910">
        <f ca="1">IFERROR(IF(0=LEN(ReferenceData!$H$910),"",ReferenceData!$H$910),"")</f>
        <v>42.323128815000004</v>
      </c>
      <c r="I910">
        <f ca="1">IFERROR(IF(0=LEN(ReferenceData!$I$910),"",ReferenceData!$I$910),"")</f>
        <v>44.842033952000008</v>
      </c>
      <c r="J910">
        <f ca="1">IFERROR(IF(0=LEN(ReferenceData!$J$910),"",ReferenceData!$J$910),"")</f>
        <v>41.290639006999989</v>
      </c>
    </row>
    <row r="911" spans="1:10" x14ac:dyDescent="0.25">
      <c r="A911" t="str">
        <f>IFERROR(IF(0=LEN(ReferenceData!$A$911),"",ReferenceData!$A$911),"")</f>
        <v xml:space="preserve">                    African Rainbow Minerals Ltd</v>
      </c>
      <c r="B911" t="str">
        <f>IFERROR(IF(0=LEN(ReferenceData!$B$911),"",ReferenceData!$B$911),"")</f>
        <v>ARI SJ Equity</v>
      </c>
      <c r="C911" t="str">
        <f>IFERROR(IF(0=LEN(ReferenceData!$C$911),"",ReferenceData!$C$911),"")</f>
        <v>F0946</v>
      </c>
      <c r="D911" t="str">
        <f>IFERROR(IF(0=LEN(ReferenceData!$D$911),"",ReferenceData!$D$911),"")</f>
        <v>TOTAL_GHG_CO2_EMISSIONS</v>
      </c>
      <c r="E911" t="str">
        <f>IFERROR(IF(0=LEN(ReferenceData!$E$911),"",ReferenceData!$E$911),"")</f>
        <v>Dynamic</v>
      </c>
      <c r="F911" t="str">
        <f ca="1">IFERROR(IF(0=LEN(ReferenceData!$F$911),"",ReferenceData!$F$911),"")</f>
        <v/>
      </c>
      <c r="G911">
        <f ca="1">IFERROR(IF(0=LEN(ReferenceData!$G$911),"",ReferenceData!$G$911),"")</f>
        <v>1.8794999999999999</v>
      </c>
      <c r="H911">
        <f ca="1">IFERROR(IF(0=LEN(ReferenceData!$H$911),"",ReferenceData!$H$911),"")</f>
        <v>0.99578802499999997</v>
      </c>
      <c r="I911">
        <f ca="1">IFERROR(IF(0=LEN(ReferenceData!$I$911),"",ReferenceData!$I$911),"")</f>
        <v>1.0162999880000001</v>
      </c>
      <c r="J911">
        <f ca="1">IFERROR(IF(0=LEN(ReferenceData!$J$911),"",ReferenceData!$J$911),"")</f>
        <v>1.1014999999999999</v>
      </c>
    </row>
    <row r="912" spans="1:10" x14ac:dyDescent="0.25">
      <c r="A912" t="str">
        <f>IFERROR(IF(0=LEN(ReferenceData!$A$912),"",ReferenceData!$A$912),"")</f>
        <v xml:space="preserve">                    Anglo American PLC</v>
      </c>
      <c r="B912" t="str">
        <f>IFERROR(IF(0=LEN(ReferenceData!$B$912),"",ReferenceData!$B$912),"")</f>
        <v>AAL LN Equity</v>
      </c>
      <c r="C912" t="str">
        <f>IFERROR(IF(0=LEN(ReferenceData!$C$912),"",ReferenceData!$C$912),"")</f>
        <v>F0946</v>
      </c>
      <c r="D912" t="str">
        <f>IFERROR(IF(0=LEN(ReferenceData!$D$912),"",ReferenceData!$D$912),"")</f>
        <v>TOTAL_GHG_CO2_EMISSIONS</v>
      </c>
      <c r="E912" t="str">
        <f>IFERROR(IF(0=LEN(ReferenceData!$E$912),"",ReferenceData!$E$912),"")</f>
        <v>Dynamic</v>
      </c>
      <c r="F912">
        <f ca="1">IFERROR(IF(0=LEN(ReferenceData!$F$912),"",ReferenceData!$F$912),"")</f>
        <v>13.3</v>
      </c>
      <c r="G912">
        <f ca="1">IFERROR(IF(0=LEN(ReferenceData!$G$912),"",ReferenceData!$G$912),"")</f>
        <v>14.76</v>
      </c>
      <c r="H912">
        <f ca="1">IFERROR(IF(0=LEN(ReferenceData!$H$912),"",ReferenceData!$H$912),"")</f>
        <v>16.079999999999998</v>
      </c>
      <c r="I912">
        <f ca="1">IFERROR(IF(0=LEN(ReferenceData!$I$912),"",ReferenceData!$I$912),"")</f>
        <v>17.8</v>
      </c>
      <c r="J912">
        <f ca="1">IFERROR(IF(0=LEN(ReferenceData!$J$912),"",ReferenceData!$J$912),"")</f>
        <v>16.2</v>
      </c>
    </row>
    <row r="913" spans="1:10" x14ac:dyDescent="0.25">
      <c r="A913" t="str">
        <f>IFERROR(IF(0=LEN(ReferenceData!$A$913),"",ReferenceData!$A$913),"")</f>
        <v xml:space="preserve">                    Anglo American Platinum Ltd</v>
      </c>
      <c r="B913" t="str">
        <f>IFERROR(IF(0=LEN(ReferenceData!$B$913),"",ReferenceData!$B$913),"")</f>
        <v>AMS SJ Equity</v>
      </c>
      <c r="C913" t="str">
        <f>IFERROR(IF(0=LEN(ReferenceData!$C$913),"",ReferenceData!$C$913),"")</f>
        <v>F0946</v>
      </c>
      <c r="D913" t="str">
        <f>IFERROR(IF(0=LEN(ReferenceData!$D$913),"",ReferenceData!$D$913),"")</f>
        <v>TOTAL_GHG_CO2_EMISSIONS</v>
      </c>
      <c r="E913" t="str">
        <f>IFERROR(IF(0=LEN(ReferenceData!$E$913),"",ReferenceData!$E$913),"")</f>
        <v>Dynamic</v>
      </c>
      <c r="F913">
        <f ca="1">IFERROR(IF(0=LEN(ReferenceData!$F$913),"",ReferenceData!$F$913),"")</f>
        <v>4.0860000000000003</v>
      </c>
      <c r="G913">
        <f ca="1">IFERROR(IF(0=LEN(ReferenceData!$G$913),"",ReferenceData!$G$913),"")</f>
        <v>4.5220000000000002</v>
      </c>
      <c r="H913">
        <f ca="1">IFERROR(IF(0=LEN(ReferenceData!$H$913),"",ReferenceData!$H$913),"")</f>
        <v>3.9420000000000002</v>
      </c>
      <c r="I913">
        <f ca="1">IFERROR(IF(0=LEN(ReferenceData!$I$913),"",ReferenceData!$I$913),"")</f>
        <v>4.4355200200000002</v>
      </c>
      <c r="J913">
        <f ca="1">IFERROR(IF(0=LEN(ReferenceData!$J$913),"",ReferenceData!$J$913),"")</f>
        <v>4.1180000000000003</v>
      </c>
    </row>
    <row r="914" spans="1:10" x14ac:dyDescent="0.25">
      <c r="A914" t="str">
        <f>IFERROR(IF(0=LEN(ReferenceData!$A$914),"",ReferenceData!$A$914),"")</f>
        <v xml:space="preserve">                    Eastern Platinum Ltd</v>
      </c>
      <c r="B914" t="str">
        <f>IFERROR(IF(0=LEN(ReferenceData!$B$914),"",ReferenceData!$B$914),"")</f>
        <v>ELR CN Equity</v>
      </c>
      <c r="C914" t="str">
        <f>IFERROR(IF(0=LEN(ReferenceData!$C$914),"",ReferenceData!$C$914),"")</f>
        <v>F0946</v>
      </c>
      <c r="D914" t="str">
        <f>IFERROR(IF(0=LEN(ReferenceData!$D$914),"",ReferenceData!$D$914),"")</f>
        <v>TOTAL_GHG_CO2_EMISSIONS</v>
      </c>
      <c r="E914" t="str">
        <f>IFERROR(IF(0=LEN(ReferenceData!$E$914),"",ReferenceData!$E$914),"")</f>
        <v>Dynamic</v>
      </c>
      <c r="F914" t="str">
        <f ca="1">IFERROR(IF(0=LEN(ReferenceData!$F$914),"",ReferenceData!$F$914),"")</f>
        <v/>
      </c>
      <c r="G914" t="str">
        <f ca="1">IFERROR(IF(0=LEN(ReferenceData!$G$914),"",ReferenceData!$G$914),"")</f>
        <v/>
      </c>
      <c r="H914" t="str">
        <f ca="1">IFERROR(IF(0=LEN(ReferenceData!$H$914),"",ReferenceData!$H$914),"")</f>
        <v/>
      </c>
      <c r="I914" t="str">
        <f ca="1">IFERROR(IF(0=LEN(ReferenceData!$I$914),"",ReferenceData!$I$914),"")</f>
        <v/>
      </c>
      <c r="J914" t="str">
        <f ca="1">IFERROR(IF(0=LEN(ReferenceData!$J$914),"",ReferenceData!$J$914),"")</f>
        <v/>
      </c>
    </row>
    <row r="915" spans="1:10" x14ac:dyDescent="0.25">
      <c r="A915" t="str">
        <f>IFERROR(IF(0=LEN(ReferenceData!$A$915),"",ReferenceData!$A$915),"")</f>
        <v xml:space="preserve">                    Impala Platinum Holdings Ltd</v>
      </c>
      <c r="B915" t="str">
        <f>IFERROR(IF(0=LEN(ReferenceData!$B$915),"",ReferenceData!$B$915),"")</f>
        <v>IMP SJ Equity</v>
      </c>
      <c r="C915" t="str">
        <f>IFERROR(IF(0=LEN(ReferenceData!$C$915),"",ReferenceData!$C$915),"")</f>
        <v>F0946</v>
      </c>
      <c r="D915" t="str">
        <f>IFERROR(IF(0=LEN(ReferenceData!$D$915),"",ReferenceData!$D$915),"")</f>
        <v>TOTAL_GHG_CO2_EMISSIONS</v>
      </c>
      <c r="E915" t="str">
        <f>IFERROR(IF(0=LEN(ReferenceData!$E$915),"",ReferenceData!$E$915),"")</f>
        <v>Dynamic</v>
      </c>
      <c r="F915" t="str">
        <f ca="1">IFERROR(IF(0=LEN(ReferenceData!$F$915),"",ReferenceData!$F$915),"")</f>
        <v/>
      </c>
      <c r="G915">
        <f ca="1">IFERROR(IF(0=LEN(ReferenceData!$G$915),"",ReferenceData!$G$915),"")</f>
        <v>4.0709999999999997</v>
      </c>
      <c r="H915">
        <f ca="1">IFERROR(IF(0=LEN(ReferenceData!$H$915),"",ReferenceData!$H$915),"")</f>
        <v>4.1394301760000003</v>
      </c>
      <c r="I915">
        <f ca="1">IFERROR(IF(0=LEN(ReferenceData!$I$915),"",ReferenceData!$I$915),"")</f>
        <v>3.6449399410000001</v>
      </c>
      <c r="J915">
        <f ca="1">IFERROR(IF(0=LEN(ReferenceData!$J$915),"",ReferenceData!$J$915),"")</f>
        <v>3.8296599119999999</v>
      </c>
    </row>
    <row r="916" spans="1:10" x14ac:dyDescent="0.25">
      <c r="A916" t="str">
        <f>IFERROR(IF(0=LEN(ReferenceData!$A$916),"",ReferenceData!$A$916),"")</f>
        <v xml:space="preserve">                    Jubilee Metals Group PLC</v>
      </c>
      <c r="B916" t="str">
        <f>IFERROR(IF(0=LEN(ReferenceData!$B$916),"",ReferenceData!$B$916),"")</f>
        <v>JLP LN Equity</v>
      </c>
      <c r="C916" t="str">
        <f>IFERROR(IF(0=LEN(ReferenceData!$C$916),"",ReferenceData!$C$916),"")</f>
        <v>F0946</v>
      </c>
      <c r="D916" t="str">
        <f>IFERROR(IF(0=LEN(ReferenceData!$D$916),"",ReferenceData!$D$916),"")</f>
        <v>TOTAL_GHG_CO2_EMISSIONS</v>
      </c>
      <c r="E916" t="str">
        <f>IFERROR(IF(0=LEN(ReferenceData!$E$916),"",ReferenceData!$E$916),"")</f>
        <v>Dynamic</v>
      </c>
      <c r="F916" t="str">
        <f ca="1">IFERROR(IF(0=LEN(ReferenceData!$F$916),"",ReferenceData!$F$916),"")</f>
        <v/>
      </c>
      <c r="G916" t="str">
        <f ca="1">IFERROR(IF(0=LEN(ReferenceData!$G$916),"",ReferenceData!$G$916),"")</f>
        <v/>
      </c>
      <c r="H916" t="str">
        <f ca="1">IFERROR(IF(0=LEN(ReferenceData!$H$916),"",ReferenceData!$H$916),"")</f>
        <v/>
      </c>
      <c r="I916" t="str">
        <f ca="1">IFERROR(IF(0=LEN(ReferenceData!$I$916),"",ReferenceData!$I$916),"")</f>
        <v/>
      </c>
      <c r="J916" t="str">
        <f ca="1">IFERROR(IF(0=LEN(ReferenceData!$J$916),"",ReferenceData!$J$916),"")</f>
        <v/>
      </c>
    </row>
    <row r="917" spans="1:10" x14ac:dyDescent="0.25">
      <c r="A917" t="str">
        <f>IFERROR(IF(0=LEN(ReferenceData!$A$917),"",ReferenceData!$A$917),"")</f>
        <v xml:space="preserve">                    MMC Norilsk Nickel PJSC</v>
      </c>
      <c r="B917" t="str">
        <f>IFERROR(IF(0=LEN(ReferenceData!$B$917),"",ReferenceData!$B$917),"")</f>
        <v>GMKN RM Equity</v>
      </c>
      <c r="C917" t="str">
        <f>IFERROR(IF(0=LEN(ReferenceData!$C$917),"",ReferenceData!$C$917),"")</f>
        <v>F0946</v>
      </c>
      <c r="D917" t="str">
        <f>IFERROR(IF(0=LEN(ReferenceData!$D$917),"",ReferenceData!$D$917),"")</f>
        <v>TOTAL_GHG_CO2_EMISSIONS</v>
      </c>
      <c r="E917" t="str">
        <f>IFERROR(IF(0=LEN(ReferenceData!$E$917),"",ReferenceData!$E$917),"")</f>
        <v>Dynamic</v>
      </c>
      <c r="F917" t="str">
        <f ca="1">IFERROR(IF(0=LEN(ReferenceData!$F$917),"",ReferenceData!$F$917),"")</f>
        <v/>
      </c>
      <c r="G917">
        <f ca="1">IFERROR(IF(0=LEN(ReferenceData!$G$917),"",ReferenceData!$G$917),"")</f>
        <v>10.31</v>
      </c>
      <c r="H917">
        <f ca="1">IFERROR(IF(0=LEN(ReferenceData!$H$917),"",ReferenceData!$H$917),"")</f>
        <v>9.6985996090000004</v>
      </c>
      <c r="I917">
        <f ca="1">IFERROR(IF(0=LEN(ReferenceData!$I$917),"",ReferenceData!$I$917),"")</f>
        <v>9.9</v>
      </c>
      <c r="J917">
        <f ca="1">IFERROR(IF(0=LEN(ReferenceData!$J$917),"",ReferenceData!$J$917),"")</f>
        <v>10</v>
      </c>
    </row>
    <row r="918" spans="1:10" x14ac:dyDescent="0.25">
      <c r="A918" t="str">
        <f>IFERROR(IF(0=LEN(ReferenceData!$A$918),"",ReferenceData!$A$918),"")</f>
        <v xml:space="preserve">                    PolyMet Mining Corp</v>
      </c>
      <c r="B918" t="str">
        <f>IFERROR(IF(0=LEN(ReferenceData!$B$918),"",ReferenceData!$B$918),"")</f>
        <v>POM CN Equity</v>
      </c>
      <c r="C918" t="str">
        <f>IFERROR(IF(0=LEN(ReferenceData!$C$918),"",ReferenceData!$C$918),"")</f>
        <v>F0946</v>
      </c>
      <c r="D918" t="str">
        <f>IFERROR(IF(0=LEN(ReferenceData!$D$918),"",ReferenceData!$D$918),"")</f>
        <v>TOTAL_GHG_CO2_EMISSIONS</v>
      </c>
      <c r="E918" t="str">
        <f>IFERROR(IF(0=LEN(ReferenceData!$E$918),"",ReferenceData!$E$918),"")</f>
        <v>Dynamic</v>
      </c>
      <c r="F918" t="str">
        <f ca="1">IFERROR(IF(0=LEN(ReferenceData!$F$918),"",ReferenceData!$F$918),"")</f>
        <v/>
      </c>
      <c r="G918" t="str">
        <f ca="1">IFERROR(IF(0=LEN(ReferenceData!$G$918),"",ReferenceData!$G$918),"")</f>
        <v/>
      </c>
      <c r="H918" t="str">
        <f ca="1">IFERROR(IF(0=LEN(ReferenceData!$H$918),"",ReferenceData!$H$918),"")</f>
        <v/>
      </c>
      <c r="I918" t="str">
        <f ca="1">IFERROR(IF(0=LEN(ReferenceData!$I$918),"",ReferenceData!$I$918),"")</f>
        <v/>
      </c>
      <c r="J918" t="str">
        <f ca="1">IFERROR(IF(0=LEN(ReferenceData!$J$918),"",ReferenceData!$J$918),"")</f>
        <v/>
      </c>
    </row>
    <row r="919" spans="1:10" x14ac:dyDescent="0.25">
      <c r="A919" t="str">
        <f>IFERROR(IF(0=LEN(ReferenceData!$A$919),"",ReferenceData!$A$919),"")</f>
        <v xml:space="preserve">                    Royal Bafokeng Platinum Ltd</v>
      </c>
      <c r="B919" t="str">
        <f>IFERROR(IF(0=LEN(ReferenceData!$B$919),"",ReferenceData!$B$919),"")</f>
        <v>RBP SJ Equity</v>
      </c>
      <c r="C919" t="str">
        <f>IFERROR(IF(0=LEN(ReferenceData!$C$919),"",ReferenceData!$C$919),"")</f>
        <v>F0946</v>
      </c>
      <c r="D919" t="str">
        <f>IFERROR(IF(0=LEN(ReferenceData!$D$919),"",ReferenceData!$D$919),"")</f>
        <v>TOTAL_GHG_CO2_EMISSIONS</v>
      </c>
      <c r="E919" t="str">
        <f>IFERROR(IF(0=LEN(ReferenceData!$E$919),"",ReferenceData!$E$919),"")</f>
        <v>Dynamic</v>
      </c>
      <c r="F919">
        <f ca="1">IFERROR(IF(0=LEN(ReferenceData!$F$919),"",ReferenceData!$F$919),"")</f>
        <v>0.557547974</v>
      </c>
      <c r="G919">
        <f ca="1">IFERROR(IF(0=LEN(ReferenceData!$G$919),"",ReferenceData!$G$919),"")</f>
        <v>0.51392199699999996</v>
      </c>
      <c r="H919">
        <f ca="1">IFERROR(IF(0=LEN(ReferenceData!$H$919),"",ReferenceData!$H$919),"")</f>
        <v>0.45031100499999999</v>
      </c>
      <c r="I919">
        <f ca="1">IFERROR(IF(0=LEN(ReferenceData!$I$919),"",ReferenceData!$I$919),"")</f>
        <v>0.42763299599999999</v>
      </c>
      <c r="J919">
        <f ca="1">IFERROR(IF(0=LEN(ReferenceData!$J$919),"",ReferenceData!$J$919),"")</f>
        <v>0.341744995</v>
      </c>
    </row>
    <row r="920" spans="1:10" x14ac:dyDescent="0.25">
      <c r="A920" t="str">
        <f>IFERROR(IF(0=LEN(ReferenceData!$A$920),"",ReferenceData!$A$920),"")</f>
        <v xml:space="preserve">                    Sibanye Stillwater Ltd</v>
      </c>
      <c r="B920" t="str">
        <f>IFERROR(IF(0=LEN(ReferenceData!$B$920),"",ReferenceData!$B$920),"")</f>
        <v>SSW SJ Equity</v>
      </c>
      <c r="C920" t="str">
        <f>IFERROR(IF(0=LEN(ReferenceData!$C$920),"",ReferenceData!$C$920),"")</f>
        <v>F0946</v>
      </c>
      <c r="D920" t="str">
        <f>IFERROR(IF(0=LEN(ReferenceData!$D$920),"",ReferenceData!$D$920),"")</f>
        <v>TOTAL_GHG_CO2_EMISSIONS</v>
      </c>
      <c r="E920" t="str">
        <f>IFERROR(IF(0=LEN(ReferenceData!$E$920),"",ReferenceData!$E$920),"")</f>
        <v>Dynamic</v>
      </c>
      <c r="F920">
        <f ca="1">IFERROR(IF(0=LEN(ReferenceData!$F$920),"",ReferenceData!$F$920),"")</f>
        <v>6.6520000000000001</v>
      </c>
      <c r="G920">
        <f ca="1">IFERROR(IF(0=LEN(ReferenceData!$G$920),"",ReferenceData!$G$920),"")</f>
        <v>7.3018300780000001</v>
      </c>
      <c r="H920">
        <f ca="1">IFERROR(IF(0=LEN(ReferenceData!$H$920),"",ReferenceData!$H$920),"")</f>
        <v>7.0170000000000003</v>
      </c>
      <c r="I920">
        <f ca="1">IFERROR(IF(0=LEN(ReferenceData!$I$920),"",ReferenceData!$I$920),"")</f>
        <v>7.4080000000000004</v>
      </c>
      <c r="J920">
        <f ca="1">IFERROR(IF(0=LEN(ReferenceData!$J$920),"",ReferenceData!$J$920),"")</f>
        <v>5.6660000000000004</v>
      </c>
    </row>
    <row r="921" spans="1:10" x14ac:dyDescent="0.25">
      <c r="A921" t="str">
        <f>IFERROR(IF(0=LEN(ReferenceData!$A$921),"",ReferenceData!$A$921),"")</f>
        <v xml:space="preserve">                    Wesizwe Platinum Ltd</v>
      </c>
      <c r="B921" t="str">
        <f>IFERROR(IF(0=LEN(ReferenceData!$B$921),"",ReferenceData!$B$921),"")</f>
        <v>WEZ SJ Equity</v>
      </c>
      <c r="C921" t="str">
        <f>IFERROR(IF(0=LEN(ReferenceData!$C$921),"",ReferenceData!$C$921),"")</f>
        <v>F0946</v>
      </c>
      <c r="D921" t="str">
        <f>IFERROR(IF(0=LEN(ReferenceData!$D$921),"",ReferenceData!$D$921),"")</f>
        <v>TOTAL_GHG_CO2_EMISSIONS</v>
      </c>
      <c r="E921" t="str">
        <f>IFERROR(IF(0=LEN(ReferenceData!$E$921),"",ReferenceData!$E$921),"")</f>
        <v>Dynamic</v>
      </c>
      <c r="F921">
        <f ca="1">IFERROR(IF(0=LEN(ReferenceData!$F$921),"",ReferenceData!$F$921),"")</f>
        <v>4.9619400000000001E-2</v>
      </c>
      <c r="G921">
        <f ca="1">IFERROR(IF(0=LEN(ReferenceData!$G$921),"",ReferenceData!$G$921),"")</f>
        <v>4.6018002000000002E-2</v>
      </c>
      <c r="H921" t="str">
        <f ca="1">IFERROR(IF(0=LEN(ReferenceData!$H$921),"",ReferenceData!$H$921),"")</f>
        <v/>
      </c>
      <c r="I921">
        <f ca="1">IFERROR(IF(0=LEN(ReferenceData!$I$921),"",ReferenceData!$I$921),"")</f>
        <v>0.20964100699999999</v>
      </c>
      <c r="J921">
        <f ca="1">IFERROR(IF(0=LEN(ReferenceData!$J$921),"",ReferenceData!$J$921),"")</f>
        <v>3.3734100000000003E-2</v>
      </c>
    </row>
    <row r="922" spans="1:10" x14ac:dyDescent="0.25">
      <c r="A922" t="str">
        <f>IFERROR(IF(0=LEN(ReferenceData!$A$922),"",ReferenceData!$A$922),"")</f>
        <v xml:space="preserve">                    Zimplats Holdings Ltd</v>
      </c>
      <c r="B922" t="str">
        <f>IFERROR(IF(0=LEN(ReferenceData!$B$922),"",ReferenceData!$B$922),"")</f>
        <v>ZIM AU Equity</v>
      </c>
      <c r="C922" t="str">
        <f>IFERROR(IF(0=LEN(ReferenceData!$C$922),"",ReferenceData!$C$922),"")</f>
        <v>F0946</v>
      </c>
      <c r="D922" t="str">
        <f>IFERROR(IF(0=LEN(ReferenceData!$D$922),"",ReferenceData!$D$922),"")</f>
        <v>TOTAL_GHG_CO2_EMISSIONS</v>
      </c>
      <c r="E922" t="str">
        <f>IFERROR(IF(0=LEN(ReferenceData!$E$922),"",ReferenceData!$E$922),"")</f>
        <v>Dynamic</v>
      </c>
      <c r="F922" t="str">
        <f ca="1">IFERROR(IF(0=LEN(ReferenceData!$F$922),"",ReferenceData!$F$922),"")</f>
        <v/>
      </c>
      <c r="G922" t="str">
        <f ca="1">IFERROR(IF(0=LEN(ReferenceData!$G$922),"",ReferenceData!$G$922),"")</f>
        <v/>
      </c>
      <c r="H922" t="str">
        <f ca="1">IFERROR(IF(0=LEN(ReferenceData!$H$922),"",ReferenceData!$H$922),"")</f>
        <v/>
      </c>
      <c r="I922" t="str">
        <f ca="1">IFERROR(IF(0=LEN(ReferenceData!$I$922),"",ReferenceData!$I$922),"")</f>
        <v/>
      </c>
      <c r="J922" t="str">
        <f ca="1">IFERROR(IF(0=LEN(ReferenceData!$J$922),"",ReferenceData!$J$922),"")</f>
        <v/>
      </c>
    </row>
    <row r="923" spans="1:10" x14ac:dyDescent="0.25">
      <c r="A923" t="str">
        <f>IFERROR(IF(0=LEN(ReferenceData!$A$923),"",ReferenceData!$A$923),"")</f>
        <v xml:space="preserve">                Iron</v>
      </c>
      <c r="B923" t="str">
        <f>IFERROR(IF(0=LEN(ReferenceData!$B$923),"",ReferenceData!$B$923),"")</f>
        <v/>
      </c>
      <c r="C923" t="str">
        <f>IFERROR(IF(0=LEN(ReferenceData!$C$923),"",ReferenceData!$C$923),"")</f>
        <v/>
      </c>
      <c r="D923" t="str">
        <f>IFERROR(IF(0=LEN(ReferenceData!$D$923),"",ReferenceData!$D$923),"")</f>
        <v/>
      </c>
      <c r="E923" t="str">
        <f>IFERROR(IF(0=LEN(ReferenceData!$E$923),"",ReferenceData!$E$923),"")</f>
        <v>Sum</v>
      </c>
      <c r="F923">
        <f ca="1">IFERROR(IF(0=LEN(ReferenceData!$F$923),"",ReferenceData!$F$923),"")</f>
        <v>31.858000000000001</v>
      </c>
      <c r="G923">
        <f ca="1">IFERROR(IF(0=LEN(ReferenceData!$G$923),"",ReferenceData!$G$923),"")</f>
        <v>50.472689940999999</v>
      </c>
      <c r="H923">
        <f ca="1">IFERROR(IF(0=LEN(ReferenceData!$H$923),"",ReferenceData!$H$923),"")</f>
        <v>45.300318054000002</v>
      </c>
      <c r="I923">
        <f ca="1">IFERROR(IF(0=LEN(ReferenceData!$I$923),"",ReferenceData!$I$923),"")</f>
        <v>46.026269959000004</v>
      </c>
      <c r="J923">
        <f ca="1">IFERROR(IF(0=LEN(ReferenceData!$J$923),"",ReferenceData!$J$923),"")</f>
        <v>46.718050048999999</v>
      </c>
    </row>
    <row r="924" spans="1:10" x14ac:dyDescent="0.25">
      <c r="A924" t="str">
        <f>IFERROR(IF(0=LEN(ReferenceData!$A$924),"",ReferenceData!$A$924),"")</f>
        <v xml:space="preserve">                    African Rainbow Minerals Ltd</v>
      </c>
      <c r="B924" t="str">
        <f>IFERROR(IF(0=LEN(ReferenceData!$B$924),"",ReferenceData!$B$924),"")</f>
        <v>ARI SJ Equity</v>
      </c>
      <c r="C924" t="str">
        <f>IFERROR(IF(0=LEN(ReferenceData!$C$924),"",ReferenceData!$C$924),"")</f>
        <v>F0946</v>
      </c>
      <c r="D924" t="str">
        <f>IFERROR(IF(0=LEN(ReferenceData!$D$924),"",ReferenceData!$D$924),"")</f>
        <v>TOTAL_GHG_CO2_EMISSIONS</v>
      </c>
      <c r="E924" t="str">
        <f>IFERROR(IF(0=LEN(ReferenceData!$E$924),"",ReferenceData!$E$924),"")</f>
        <v>Dynamic</v>
      </c>
      <c r="F924" t="str">
        <f ca="1">IFERROR(IF(0=LEN(ReferenceData!$F$924),"",ReferenceData!$F$924),"")</f>
        <v/>
      </c>
      <c r="G924">
        <f ca="1">IFERROR(IF(0=LEN(ReferenceData!$G$924),"",ReferenceData!$G$924),"")</f>
        <v>1.8794999999999999</v>
      </c>
      <c r="H924">
        <f ca="1">IFERROR(IF(0=LEN(ReferenceData!$H$924),"",ReferenceData!$H$924),"")</f>
        <v>0.99578802499999997</v>
      </c>
      <c r="I924">
        <f ca="1">IFERROR(IF(0=LEN(ReferenceData!$I$924),"",ReferenceData!$I$924),"")</f>
        <v>1.0162999880000001</v>
      </c>
      <c r="J924">
        <f ca="1">IFERROR(IF(0=LEN(ReferenceData!$J$924),"",ReferenceData!$J$924),"")</f>
        <v>1.1014999999999999</v>
      </c>
    </row>
    <row r="925" spans="1:10" x14ac:dyDescent="0.25">
      <c r="A925" t="str">
        <f>IFERROR(IF(0=LEN(ReferenceData!$A$925),"",ReferenceData!$A$925),"")</f>
        <v xml:space="preserve">                    BHP Group Ltd</v>
      </c>
      <c r="B925" t="str">
        <f>IFERROR(IF(0=LEN(ReferenceData!$B$925),"",ReferenceData!$B$925),"")</f>
        <v>BHP AU Equity</v>
      </c>
      <c r="C925" t="str">
        <f>IFERROR(IF(0=LEN(ReferenceData!$C$925),"",ReferenceData!$C$925),"")</f>
        <v>F0946</v>
      </c>
      <c r="D925" t="str">
        <f>IFERROR(IF(0=LEN(ReferenceData!$D$925),"",ReferenceData!$D$925),"")</f>
        <v>TOTAL_GHG_CO2_EMISSIONS</v>
      </c>
      <c r="E925" t="str">
        <f>IFERROR(IF(0=LEN(ReferenceData!$E$925),"",ReferenceData!$E$925),"")</f>
        <v>Dynamic</v>
      </c>
      <c r="F925" t="str">
        <f ca="1">IFERROR(IF(0=LEN(ReferenceData!$F$925),"",ReferenceData!$F$925),"")</f>
        <v/>
      </c>
      <c r="G925">
        <f ca="1">IFERROR(IF(0=LEN(ReferenceData!$G$925),"",ReferenceData!$G$925),"")</f>
        <v>14</v>
      </c>
      <c r="H925">
        <f ca="1">IFERROR(IF(0=LEN(ReferenceData!$H$925),"",ReferenceData!$H$925),"")</f>
        <v>15</v>
      </c>
      <c r="I925">
        <f ca="1">IFERROR(IF(0=LEN(ReferenceData!$I$925),"",ReferenceData!$I$925),"")</f>
        <v>14.6</v>
      </c>
      <c r="J925">
        <f ca="1">IFERROR(IF(0=LEN(ReferenceData!$J$925),"",ReferenceData!$J$925),"")</f>
        <v>14.824</v>
      </c>
    </row>
    <row r="926" spans="1:10" x14ac:dyDescent="0.25">
      <c r="A926" t="str">
        <f>IFERROR(IF(0=LEN(ReferenceData!$A$926),"",ReferenceData!$A$926),"")</f>
        <v xml:space="preserve">                    Ferrexpo PLC</v>
      </c>
      <c r="B926" t="str">
        <f>IFERROR(IF(0=LEN(ReferenceData!$B$926),"",ReferenceData!$B$926),"")</f>
        <v>FXPO LN Equity</v>
      </c>
      <c r="C926" t="str">
        <f>IFERROR(IF(0=LEN(ReferenceData!$C$926),"",ReferenceData!$C$926),"")</f>
        <v>F0946</v>
      </c>
      <c r="D926" t="str">
        <f>IFERROR(IF(0=LEN(ReferenceData!$D$926),"",ReferenceData!$D$926),"")</f>
        <v>TOTAL_GHG_CO2_EMISSIONS</v>
      </c>
      <c r="E926" t="str">
        <f>IFERROR(IF(0=LEN(ReferenceData!$E$926),"",ReferenceData!$E$926),"")</f>
        <v>Dynamic</v>
      </c>
      <c r="F926">
        <f ca="1">IFERROR(IF(0=LEN(ReferenceData!$F$926),"",ReferenceData!$F$926),"")</f>
        <v>0.56399999999999995</v>
      </c>
      <c r="G926">
        <f ca="1">IFERROR(IF(0=LEN(ReferenceData!$G$926),"",ReferenceData!$G$926),"")</f>
        <v>1.0531899410000001</v>
      </c>
      <c r="H926">
        <f ca="1">IFERROR(IF(0=LEN(ReferenceData!$H$926),"",ReferenceData!$H$926),"")</f>
        <v>1.2625300290000001</v>
      </c>
      <c r="I926">
        <f ca="1">IFERROR(IF(0=LEN(ReferenceData!$I$926),"",ReferenceData!$I$926),"")</f>
        <v>2.5199699710000001</v>
      </c>
      <c r="J926">
        <f ca="1">IFERROR(IF(0=LEN(ReferenceData!$J$926),"",ReferenceData!$J$926),"")</f>
        <v>2.4925500490000001</v>
      </c>
    </row>
    <row r="927" spans="1:10" x14ac:dyDescent="0.25">
      <c r="A927" t="str">
        <f>IFERROR(IF(0=LEN(ReferenceData!$A$927),"",ReferenceData!$A$927),"")</f>
        <v xml:space="preserve">                    Fortescue Metals Group Ltd</v>
      </c>
      <c r="B927" t="str">
        <f>IFERROR(IF(0=LEN(ReferenceData!$B$927),"",ReferenceData!$B$927),"")</f>
        <v>FMG AU Equity</v>
      </c>
      <c r="C927" t="str">
        <f>IFERROR(IF(0=LEN(ReferenceData!$C$927),"",ReferenceData!$C$927),"")</f>
        <v>F0946</v>
      </c>
      <c r="D927" t="str">
        <f>IFERROR(IF(0=LEN(ReferenceData!$D$927),"",ReferenceData!$D$927),"")</f>
        <v>TOTAL_GHG_CO2_EMISSIONS</v>
      </c>
      <c r="E927" t="str">
        <f>IFERROR(IF(0=LEN(ReferenceData!$E$927),"",ReferenceData!$E$927),"")</f>
        <v>Dynamic</v>
      </c>
      <c r="F927" t="str">
        <f ca="1">IFERROR(IF(0=LEN(ReferenceData!$F$927),"",ReferenceData!$F$927),"")</f>
        <v/>
      </c>
      <c r="G927">
        <f ca="1">IFERROR(IF(0=LEN(ReferenceData!$G$927),"",ReferenceData!$G$927),"")</f>
        <v>2.5499999999999998</v>
      </c>
      <c r="H927">
        <f ca="1">IFERROR(IF(0=LEN(ReferenceData!$H$927),"",ReferenceData!$H$927),"")</f>
        <v>2.2200000000000002</v>
      </c>
      <c r="I927">
        <f ca="1">IFERROR(IF(0=LEN(ReferenceData!$I$927),"",ReferenceData!$I$927),"")</f>
        <v>2.09</v>
      </c>
      <c r="J927">
        <f ca="1">IFERROR(IF(0=LEN(ReferenceData!$J$927),"",ReferenceData!$J$927),"")</f>
        <v>1.84</v>
      </c>
    </row>
    <row r="928" spans="1:10" x14ac:dyDescent="0.25">
      <c r="A928" t="str">
        <f>IFERROR(IF(0=LEN(ReferenceData!$A$928),"",ReferenceData!$A$928),"")</f>
        <v xml:space="preserve">                    Kumba Iron Ore Ltd</v>
      </c>
      <c r="B928" t="str">
        <f>IFERROR(IF(0=LEN(ReferenceData!$B$928),"",ReferenceData!$B$928),"")</f>
        <v>KIO SJ Equity</v>
      </c>
      <c r="C928" t="str">
        <f>IFERROR(IF(0=LEN(ReferenceData!$C$928),"",ReferenceData!$C$928),"")</f>
        <v>F0946</v>
      </c>
      <c r="D928" t="str">
        <f>IFERROR(IF(0=LEN(ReferenceData!$D$928),"",ReferenceData!$D$928),"")</f>
        <v>TOTAL_GHG_CO2_EMISSIONS</v>
      </c>
      <c r="E928" t="str">
        <f>IFERROR(IF(0=LEN(ReferenceData!$E$928),"",ReferenceData!$E$928),"")</f>
        <v>Dynamic</v>
      </c>
      <c r="F928">
        <f ca="1">IFERROR(IF(0=LEN(ReferenceData!$F$928),"",ReferenceData!$F$928),"")</f>
        <v>0.99399999999999999</v>
      </c>
      <c r="G928">
        <f ca="1">IFERROR(IF(0=LEN(ReferenceData!$G$928),"",ReferenceData!$G$928),"")</f>
        <v>0.99</v>
      </c>
      <c r="H928">
        <f ca="1">IFERROR(IF(0=LEN(ReferenceData!$H$928),"",ReferenceData!$H$928),"")</f>
        <v>0.91</v>
      </c>
      <c r="I928">
        <f ca="1">IFERROR(IF(0=LEN(ReferenceData!$I$928),"",ReferenceData!$I$928),"")</f>
        <v>1</v>
      </c>
      <c r="J928">
        <f ca="1">IFERROR(IF(0=LEN(ReferenceData!$J$928),"",ReferenceData!$J$928),"")</f>
        <v>0.96</v>
      </c>
    </row>
    <row r="929" spans="1:10" x14ac:dyDescent="0.25">
      <c r="A929" t="str">
        <f>IFERROR(IF(0=LEN(ReferenceData!$A$929),"",ReferenceData!$A$929),"")</f>
        <v xml:space="preserve">                    Rio Tinto PLC</v>
      </c>
      <c r="B929" t="str">
        <f>IFERROR(IF(0=LEN(ReferenceData!$B$929),"",ReferenceData!$B$929),"")</f>
        <v>RIO LN Equity</v>
      </c>
      <c r="C929" t="str">
        <f>IFERROR(IF(0=LEN(ReferenceData!$C$929),"",ReferenceData!$C$929),"")</f>
        <v>F0946</v>
      </c>
      <c r="D929" t="str">
        <f>IFERROR(IF(0=LEN(ReferenceData!$D$929),"",ReferenceData!$D$929),"")</f>
        <v>TOTAL_GHG_CO2_EMISSIONS</v>
      </c>
      <c r="E929" t="str">
        <f>IFERROR(IF(0=LEN(ReferenceData!$E$929),"",ReferenceData!$E$929),"")</f>
        <v>Dynamic</v>
      </c>
      <c r="F929">
        <f ca="1">IFERROR(IF(0=LEN(ReferenceData!$F$929),"",ReferenceData!$F$929),"")</f>
        <v>30.3</v>
      </c>
      <c r="G929">
        <f ca="1">IFERROR(IF(0=LEN(ReferenceData!$G$929),"",ReferenceData!$G$929),"")</f>
        <v>30</v>
      </c>
      <c r="H929">
        <f ca="1">IFERROR(IF(0=LEN(ReferenceData!$H$929),"",ReferenceData!$H$929),"")</f>
        <v>24.911999999999999</v>
      </c>
      <c r="I929">
        <f ca="1">IFERROR(IF(0=LEN(ReferenceData!$I$929),"",ReferenceData!$I$929),"")</f>
        <v>24.8</v>
      </c>
      <c r="J929">
        <f ca="1">IFERROR(IF(0=LEN(ReferenceData!$J$929),"",ReferenceData!$J$929),"")</f>
        <v>25.5</v>
      </c>
    </row>
    <row r="930" spans="1:10" x14ac:dyDescent="0.25">
      <c r="A930" t="str">
        <f>IFERROR(IF(0=LEN(ReferenceData!$A$930),"",ReferenceData!$A$930),"")</f>
        <v xml:space="preserve">            Construction Materials</v>
      </c>
      <c r="B930" t="str">
        <f>IFERROR(IF(0=LEN(ReferenceData!$B$930),"",ReferenceData!$B$930),"")</f>
        <v/>
      </c>
      <c r="C930" t="str">
        <f>IFERROR(IF(0=LEN(ReferenceData!$C$930),"",ReferenceData!$C$930),"")</f>
        <v/>
      </c>
      <c r="D930" t="str">
        <f>IFERROR(IF(0=LEN(ReferenceData!$D$930),"",ReferenceData!$D$930),"")</f>
        <v/>
      </c>
      <c r="E930" t="str">
        <f>IFERROR(IF(0=LEN(ReferenceData!$E$930),"",ReferenceData!$E$930),"")</f>
        <v>Sum</v>
      </c>
      <c r="F930">
        <f ca="1">IFERROR(IF(0=LEN(ReferenceData!$F$930),"",ReferenceData!$F$930),"")</f>
        <v>218.80118994099999</v>
      </c>
      <c r="G930">
        <f ca="1">IFERROR(IF(0=LEN(ReferenceData!$G$930),"",ReferenceData!$G$930),"")</f>
        <v>363.77601366600004</v>
      </c>
      <c r="H930">
        <f ca="1">IFERROR(IF(0=LEN(ReferenceData!$H$930),"",ReferenceData!$H$930),"")</f>
        <v>350.57361816700001</v>
      </c>
      <c r="I930">
        <f ca="1">IFERROR(IF(0=LEN(ReferenceData!$I$930),"",ReferenceData!$I$930),"")</f>
        <v>366.11809033200007</v>
      </c>
      <c r="J930">
        <f ca="1">IFERROR(IF(0=LEN(ReferenceData!$J$930),"",ReferenceData!$J$930),"")</f>
        <v>387.19677880999996</v>
      </c>
    </row>
    <row r="931" spans="1:10" x14ac:dyDescent="0.25">
      <c r="A931" t="str">
        <f>IFERROR(IF(0=LEN(ReferenceData!$A$931),"",ReferenceData!$A$931),"")</f>
        <v xml:space="preserve">                Building Materials</v>
      </c>
      <c r="B931" t="str">
        <f>IFERROR(IF(0=LEN(ReferenceData!$B$931),"",ReferenceData!$B$931),"")</f>
        <v/>
      </c>
      <c r="C931" t="str">
        <f>IFERROR(IF(0=LEN(ReferenceData!$C$931),"",ReferenceData!$C$931),"")</f>
        <v/>
      </c>
      <c r="D931" t="str">
        <f>IFERROR(IF(0=LEN(ReferenceData!$D$931),"",ReferenceData!$D$931),"")</f>
        <v/>
      </c>
      <c r="E931" t="str">
        <f>IFERROR(IF(0=LEN(ReferenceData!$E$931),"",ReferenceData!$E$931),"")</f>
        <v>Sum</v>
      </c>
      <c r="F931">
        <f ca="1">IFERROR(IF(0=LEN(ReferenceData!$F$931),"",ReferenceData!$F$931),"")</f>
        <v>218.80118994099999</v>
      </c>
      <c r="G931">
        <f ca="1">IFERROR(IF(0=LEN(ReferenceData!$G$931),"",ReferenceData!$G$931),"")</f>
        <v>363.77601366600004</v>
      </c>
      <c r="H931">
        <f ca="1">IFERROR(IF(0=LEN(ReferenceData!$H$931),"",ReferenceData!$H$931),"")</f>
        <v>350.57361816700001</v>
      </c>
      <c r="I931">
        <f ca="1">IFERROR(IF(0=LEN(ReferenceData!$I$931),"",ReferenceData!$I$931),"")</f>
        <v>366.11809033200007</v>
      </c>
      <c r="J931">
        <f ca="1">IFERROR(IF(0=LEN(ReferenceData!$J$931),"",ReferenceData!$J$931),"")</f>
        <v>387.19677880999996</v>
      </c>
    </row>
    <row r="932" spans="1:10" x14ac:dyDescent="0.25">
      <c r="A932" t="str">
        <f>IFERROR(IF(0=LEN(ReferenceData!$A$932),"",ReferenceData!$A$932),"")</f>
        <v xml:space="preserve">                    Buzzi Unicem SpA</v>
      </c>
      <c r="B932" t="str">
        <f>IFERROR(IF(0=LEN(ReferenceData!$B$932),"",ReferenceData!$B$932),"")</f>
        <v>BZU IM Equity</v>
      </c>
      <c r="C932" t="str">
        <f>IFERROR(IF(0=LEN(ReferenceData!$C$932),"",ReferenceData!$C$932),"")</f>
        <v>F0946</v>
      </c>
      <c r="D932" t="str">
        <f>IFERROR(IF(0=LEN(ReferenceData!$D$932),"",ReferenceData!$D$932),"")</f>
        <v>TOTAL_GHG_CO2_EMISSIONS</v>
      </c>
      <c r="E932" t="str">
        <f>IFERROR(IF(0=LEN(ReferenceData!$E$932),"",ReferenceData!$E$932),"")</f>
        <v>Dynamic</v>
      </c>
      <c r="F932" t="str">
        <f ca="1">IFERROR(IF(0=LEN(ReferenceData!$F$932),"",ReferenceData!$F$932),"")</f>
        <v/>
      </c>
      <c r="G932">
        <f ca="1">IFERROR(IF(0=LEN(ReferenceData!$G$932),"",ReferenceData!$G$932),"")</f>
        <v>22.186</v>
      </c>
      <c r="H932">
        <f ca="1">IFERROR(IF(0=LEN(ReferenceData!$H$932),"",ReferenceData!$H$932),"")</f>
        <v>21.321699219999999</v>
      </c>
      <c r="I932">
        <f ca="1">IFERROR(IF(0=LEN(ReferenceData!$I$932),"",ReferenceData!$I$932),"")</f>
        <v>21.63369922</v>
      </c>
      <c r="J932">
        <f ca="1">IFERROR(IF(0=LEN(ReferenceData!$J$932),"",ReferenceData!$J$932),"")</f>
        <v>20.62080078</v>
      </c>
    </row>
    <row r="933" spans="1:10" x14ac:dyDescent="0.25">
      <c r="A933" t="str">
        <f>IFERROR(IF(0=LEN(ReferenceData!$A$933),"",ReferenceData!$A$933),"")</f>
        <v xml:space="preserve">                    Cementos Argos SA</v>
      </c>
      <c r="B933" t="str">
        <f>IFERROR(IF(0=LEN(ReferenceData!$B$933),"",ReferenceData!$B$933),"")</f>
        <v>CEMARGOS CB Equity</v>
      </c>
      <c r="C933" t="str">
        <f>IFERROR(IF(0=LEN(ReferenceData!$C$933),"",ReferenceData!$C$933),"")</f>
        <v>F0946</v>
      </c>
      <c r="D933" t="str">
        <f>IFERROR(IF(0=LEN(ReferenceData!$D$933),"",ReferenceData!$D$933),"")</f>
        <v>TOTAL_GHG_CO2_EMISSIONS</v>
      </c>
      <c r="E933" t="str">
        <f>IFERROR(IF(0=LEN(ReferenceData!$E$933),"",ReferenceData!$E$933),"")</f>
        <v>Dynamic</v>
      </c>
      <c r="F933" t="str">
        <f ca="1">IFERROR(IF(0=LEN(ReferenceData!$F$933),"",ReferenceData!$F$933),"")</f>
        <v/>
      </c>
      <c r="G933">
        <f ca="1">IFERROR(IF(0=LEN(ReferenceData!$G$933),"",ReferenceData!$G$933),"")</f>
        <v>9.2090800779999995</v>
      </c>
      <c r="H933">
        <f ca="1">IFERROR(IF(0=LEN(ReferenceData!$H$933),"",ReferenceData!$H$933),"")</f>
        <v>8.1872001950000008</v>
      </c>
      <c r="I933">
        <f ca="1">IFERROR(IF(0=LEN(ReferenceData!$I$933),"",ReferenceData!$I$933),"")</f>
        <v>9.1599501950000004</v>
      </c>
      <c r="J933">
        <f ca="1">IFERROR(IF(0=LEN(ReferenceData!$J$933),"",ReferenceData!$J$933),"")</f>
        <v>8.7505595700000001</v>
      </c>
    </row>
    <row r="934" spans="1:10" x14ac:dyDescent="0.25">
      <c r="A934" t="str">
        <f>IFERROR(IF(0=LEN(ReferenceData!$A$934),"",ReferenceData!$A$934),"")</f>
        <v xml:space="preserve">                    CRH PLC</v>
      </c>
      <c r="B934" t="str">
        <f>IFERROR(IF(0=LEN(ReferenceData!$B$934),"",ReferenceData!$B$934),"")</f>
        <v>CRH ID Equity</v>
      </c>
      <c r="C934" t="str">
        <f>IFERROR(IF(0=LEN(ReferenceData!$C$934),"",ReferenceData!$C$934),"")</f>
        <v>F0946</v>
      </c>
      <c r="D934" t="str">
        <f>IFERROR(IF(0=LEN(ReferenceData!$D$934),"",ReferenceData!$D$934),"")</f>
        <v>TOTAL_GHG_CO2_EMISSIONS</v>
      </c>
      <c r="E934" t="str">
        <f>IFERROR(IF(0=LEN(ReferenceData!$E$934),"",ReferenceData!$E$934),"")</f>
        <v>Dynamic</v>
      </c>
      <c r="F934" t="str">
        <f ca="1">IFERROR(IF(0=LEN(ReferenceData!$F$934),"",ReferenceData!$F$934),"")</f>
        <v/>
      </c>
      <c r="G934">
        <f ca="1">IFERROR(IF(0=LEN(ReferenceData!$G$934),"",ReferenceData!$G$934),"")</f>
        <v>36</v>
      </c>
      <c r="H934">
        <f ca="1">IFERROR(IF(0=LEN(ReferenceData!$H$934),"",ReferenceData!$H$934),"")</f>
        <v>35</v>
      </c>
      <c r="I934">
        <f ca="1">IFERROR(IF(0=LEN(ReferenceData!$I$934),"",ReferenceData!$I$934),"")</f>
        <v>36.5</v>
      </c>
      <c r="J934">
        <f ca="1">IFERROR(IF(0=LEN(ReferenceData!$J$934),"",ReferenceData!$J$934),"")</f>
        <v>38.1</v>
      </c>
    </row>
    <row r="935" spans="1:10" x14ac:dyDescent="0.25">
      <c r="A935" t="str">
        <f>IFERROR(IF(0=LEN(ReferenceData!$A$935),"",ReferenceData!$A$935),"")</f>
        <v xml:space="preserve">                    Cementir Holding NV</v>
      </c>
      <c r="B935" t="str">
        <f>IFERROR(IF(0=LEN(ReferenceData!$B$935),"",ReferenceData!$B$935),"")</f>
        <v>CEM IM Equity</v>
      </c>
      <c r="C935" t="str">
        <f>IFERROR(IF(0=LEN(ReferenceData!$C$935),"",ReferenceData!$C$935),"")</f>
        <v>F0946</v>
      </c>
      <c r="D935" t="str">
        <f>IFERROR(IF(0=LEN(ReferenceData!$D$935),"",ReferenceData!$D$935),"")</f>
        <v>TOTAL_GHG_CO2_EMISSIONS</v>
      </c>
      <c r="E935" t="str">
        <f>IFERROR(IF(0=LEN(ReferenceData!$E$935),"",ReferenceData!$E$935),"")</f>
        <v>Dynamic</v>
      </c>
      <c r="F935">
        <f ca="1">IFERROR(IF(0=LEN(ReferenceData!$F$935),"",ReferenceData!$F$935),"")</f>
        <v>7.7111899409999998</v>
      </c>
      <c r="G935">
        <f ca="1">IFERROR(IF(0=LEN(ReferenceData!$G$935),"",ReferenceData!$G$935),"")</f>
        <v>8.7139296880000003</v>
      </c>
      <c r="H935">
        <f ca="1">IFERROR(IF(0=LEN(ReferenceData!$H$935),"",ReferenceData!$H$935),"")</f>
        <v>8.4974199220000006</v>
      </c>
      <c r="I935">
        <f ca="1">IFERROR(IF(0=LEN(ReferenceData!$I$935),"",ReferenceData!$I$935),"")</f>
        <v>7.7061401370000002</v>
      </c>
      <c r="J935">
        <f ca="1">IFERROR(IF(0=LEN(ReferenceData!$J$935),"",ReferenceData!$J$935),"")</f>
        <v>8.0795200200000004</v>
      </c>
    </row>
    <row r="936" spans="1:10" x14ac:dyDescent="0.25">
      <c r="A936" t="str">
        <f>IFERROR(IF(0=LEN(ReferenceData!$A$936),"",ReferenceData!$A$936),"")</f>
        <v xml:space="preserve">                    Cemex SAB de CV</v>
      </c>
      <c r="B936" t="str">
        <f>IFERROR(IF(0=LEN(ReferenceData!$B$936),"",ReferenceData!$B$936),"")</f>
        <v>CEMEXCPO MM Equity</v>
      </c>
      <c r="C936" t="str">
        <f>IFERROR(IF(0=LEN(ReferenceData!$C$936),"",ReferenceData!$C$936),"")</f>
        <v>F0946</v>
      </c>
      <c r="D936" t="str">
        <f>IFERROR(IF(0=LEN(ReferenceData!$D$936),"",ReferenceData!$D$936),"")</f>
        <v>TOTAL_GHG_CO2_EMISSIONS</v>
      </c>
      <c r="E936" t="str">
        <f>IFERROR(IF(0=LEN(ReferenceData!$E$936),"",ReferenceData!$E$936),"")</f>
        <v>Dynamic</v>
      </c>
      <c r="F936">
        <f ca="1">IFERROR(IF(0=LEN(ReferenceData!$F$936),"",ReferenceData!$F$936),"")</f>
        <v>39.299999999999997</v>
      </c>
      <c r="G936">
        <f ca="1">IFERROR(IF(0=LEN(ReferenceData!$G$936),"",ReferenceData!$G$936),"")</f>
        <v>41.832300779999997</v>
      </c>
      <c r="H936">
        <f ca="1">IFERROR(IF(0=LEN(ReferenceData!$H$936),"",ReferenceData!$H$936),"")</f>
        <v>40.977898439999997</v>
      </c>
      <c r="I936">
        <f ca="1">IFERROR(IF(0=LEN(ReferenceData!$I$936),"",ReferenceData!$I$936),"")</f>
        <v>42.463300779999997</v>
      </c>
      <c r="J936">
        <f ca="1">IFERROR(IF(0=LEN(ReferenceData!$J$936),"",ReferenceData!$J$936),"")</f>
        <v>47.025898439999999</v>
      </c>
    </row>
    <row r="937" spans="1:10" x14ac:dyDescent="0.25">
      <c r="A937" t="str">
        <f>IFERROR(IF(0=LEN(ReferenceData!$A$937),"",ReferenceData!$A$937),"")</f>
        <v xml:space="preserve">                    GCC SAB de CV</v>
      </c>
      <c r="B937" t="str">
        <f>IFERROR(IF(0=LEN(ReferenceData!$B$937),"",ReferenceData!$B$937),"")</f>
        <v>GCC* MM Equity</v>
      </c>
      <c r="C937" t="str">
        <f>IFERROR(IF(0=LEN(ReferenceData!$C$937),"",ReferenceData!$C$937),"")</f>
        <v>F0946</v>
      </c>
      <c r="D937" t="str">
        <f>IFERROR(IF(0=LEN(ReferenceData!$D$937),"",ReferenceData!$D$937),"")</f>
        <v>TOTAL_GHG_CO2_EMISSIONS</v>
      </c>
      <c r="E937" t="str">
        <f>IFERROR(IF(0=LEN(ReferenceData!$E$937),"",ReferenceData!$E$937),"")</f>
        <v>Dynamic</v>
      </c>
      <c r="F937" t="str">
        <f ca="1">IFERROR(IF(0=LEN(ReferenceData!$F$937),"",ReferenceData!$F$937),"")</f>
        <v/>
      </c>
      <c r="G937">
        <f ca="1">IFERROR(IF(0=LEN(ReferenceData!$G$937),"",ReferenceData!$G$937),"")</f>
        <v>3.8279999999999998</v>
      </c>
      <c r="H937">
        <f ca="1">IFERROR(IF(0=LEN(ReferenceData!$H$937),"",ReferenceData!$H$937),"")</f>
        <v>3.544</v>
      </c>
      <c r="I937">
        <f ca="1">IFERROR(IF(0=LEN(ReferenceData!$I$937),"",ReferenceData!$I$937),"")</f>
        <v>3.4830000000000001</v>
      </c>
      <c r="J937">
        <f ca="1">IFERROR(IF(0=LEN(ReferenceData!$J$937),"",ReferenceData!$J$937),"")</f>
        <v>3.3580000000000001</v>
      </c>
    </row>
    <row r="938" spans="1:10" x14ac:dyDescent="0.25">
      <c r="A938" t="str">
        <f>IFERROR(IF(0=LEN(ReferenceData!$A$938),"",ReferenceData!$A$938),"")</f>
        <v xml:space="preserve">                    HeidelbergCement AG</v>
      </c>
      <c r="B938" t="str">
        <f>IFERROR(IF(0=LEN(ReferenceData!$B$938),"",ReferenceData!$B$938),"")</f>
        <v>HEI GR Equity</v>
      </c>
      <c r="C938" t="str">
        <f>IFERROR(IF(0=LEN(ReferenceData!$C$938),"",ReferenceData!$C$938),"")</f>
        <v>F0946</v>
      </c>
      <c r="D938" t="str">
        <f>IFERROR(IF(0=LEN(ReferenceData!$D$938),"",ReferenceData!$D$938),"")</f>
        <v>TOTAL_GHG_CO2_EMISSIONS</v>
      </c>
      <c r="E938" t="str">
        <f>IFERROR(IF(0=LEN(ReferenceData!$E$938),"",ReferenceData!$E$938),"")</f>
        <v>Dynamic</v>
      </c>
      <c r="F938">
        <f ca="1">IFERROR(IF(0=LEN(ReferenceData!$F$938),"",ReferenceData!$F$938),"")</f>
        <v>70.69</v>
      </c>
      <c r="G938">
        <f ca="1">IFERROR(IF(0=LEN(ReferenceData!$G$938),"",ReferenceData!$G$938),"")</f>
        <v>74.224101559999994</v>
      </c>
      <c r="H938">
        <f ca="1">IFERROR(IF(0=LEN(ReferenceData!$H$938),"",ReferenceData!$H$938),"")</f>
        <v>75.739999999999995</v>
      </c>
      <c r="I938">
        <f ca="1">IFERROR(IF(0=LEN(ReferenceData!$I$938),"",ReferenceData!$I$938),"")</f>
        <v>77</v>
      </c>
      <c r="J938">
        <f ca="1">IFERROR(IF(0=LEN(ReferenceData!$J$938),"",ReferenceData!$J$938),"")</f>
        <v>76.7</v>
      </c>
    </row>
    <row r="939" spans="1:10" x14ac:dyDescent="0.25">
      <c r="A939" t="str">
        <f>IFERROR(IF(0=LEN(ReferenceData!$A$939),"",ReferenceData!$A$939),"")</f>
        <v xml:space="preserve">                    Holcim AG</v>
      </c>
      <c r="B939" t="str">
        <f>IFERROR(IF(0=LEN(ReferenceData!$B$939),"",ReferenceData!$B$939),"")</f>
        <v>HOLN SW Equity</v>
      </c>
      <c r="C939" t="str">
        <f>IFERROR(IF(0=LEN(ReferenceData!$C$939),"",ReferenceData!$C$939),"")</f>
        <v>F0946</v>
      </c>
      <c r="D939" t="str">
        <f>IFERROR(IF(0=LEN(ReferenceData!$D$939),"",ReferenceData!$D$939),"")</f>
        <v>TOTAL_GHG_CO2_EMISSIONS</v>
      </c>
      <c r="E939" t="str">
        <f>IFERROR(IF(0=LEN(ReferenceData!$E$939),"",ReferenceData!$E$939),"")</f>
        <v>Dynamic</v>
      </c>
      <c r="F939">
        <f ca="1">IFERROR(IF(0=LEN(ReferenceData!$F$939),"",ReferenceData!$F$939),"")</f>
        <v>83</v>
      </c>
      <c r="G939">
        <f ca="1">IFERROR(IF(0=LEN(ReferenceData!$G$939),"",ReferenceData!$G$939),"")</f>
        <v>126.444</v>
      </c>
      <c r="H939">
        <f ca="1">IFERROR(IF(0=LEN(ReferenceData!$H$939),"",ReferenceData!$H$939),"")</f>
        <v>115.896</v>
      </c>
      <c r="I939">
        <f ca="1">IFERROR(IF(0=LEN(ReferenceData!$I$939),"",ReferenceData!$I$939),"")</f>
        <v>127.693</v>
      </c>
      <c r="J939">
        <f ca="1">IFERROR(IF(0=LEN(ReferenceData!$J$939),"",ReferenceData!$J$939),"")</f>
        <v>142.87799999999999</v>
      </c>
    </row>
    <row r="940" spans="1:10" x14ac:dyDescent="0.25">
      <c r="A940" t="str">
        <f>IFERROR(IF(0=LEN(ReferenceData!$A$940),"",ReferenceData!$A$940),"")</f>
        <v xml:space="preserve">                    Taiheiyo Cement Corp</v>
      </c>
      <c r="B940" t="str">
        <f>IFERROR(IF(0=LEN(ReferenceData!$B$940),"",ReferenceData!$B$940),"")</f>
        <v>5233 JP Equity</v>
      </c>
      <c r="C940" t="str">
        <f>IFERROR(IF(0=LEN(ReferenceData!$C$940),"",ReferenceData!$C$940),"")</f>
        <v>F0946</v>
      </c>
      <c r="D940" t="str">
        <f>IFERROR(IF(0=LEN(ReferenceData!$D$940),"",ReferenceData!$D$940),"")</f>
        <v>TOTAL_GHG_CO2_EMISSIONS</v>
      </c>
      <c r="E940" t="str">
        <f>IFERROR(IF(0=LEN(ReferenceData!$E$940),"",ReferenceData!$E$940),"")</f>
        <v>Dynamic</v>
      </c>
      <c r="F940" t="str">
        <f ca="1">IFERROR(IF(0=LEN(ReferenceData!$F$940),"",ReferenceData!$F$940),"")</f>
        <v/>
      </c>
      <c r="G940">
        <f ca="1">IFERROR(IF(0=LEN(ReferenceData!$G$940),"",ReferenceData!$G$940),"")</f>
        <v>22.621800780000001</v>
      </c>
      <c r="H940">
        <f ca="1">IFERROR(IF(0=LEN(ReferenceData!$H$940),"",ReferenceData!$H$940),"")</f>
        <v>24.85240039</v>
      </c>
      <c r="I940">
        <f ca="1">IFERROR(IF(0=LEN(ReferenceData!$I$940),"",ReferenceData!$I$940),"")</f>
        <v>25.896000000000001</v>
      </c>
      <c r="J940">
        <f ca="1">IFERROR(IF(0=LEN(ReferenceData!$J$940),"",ReferenceData!$J$940),"")</f>
        <v>25.763000000000002</v>
      </c>
    </row>
    <row r="941" spans="1:10" x14ac:dyDescent="0.25">
      <c r="A941" t="str">
        <f>IFERROR(IF(0=LEN(ReferenceData!$A$941),"",ReferenceData!$A$941),"")</f>
        <v xml:space="preserve">                    Vicat SA</v>
      </c>
      <c r="B941" t="str">
        <f>IFERROR(IF(0=LEN(ReferenceData!$B$941),"",ReferenceData!$B$941),"")</f>
        <v>VCT FP Equity</v>
      </c>
      <c r="C941" t="str">
        <f>IFERROR(IF(0=LEN(ReferenceData!$C$941),"",ReferenceData!$C$941),"")</f>
        <v>F0946</v>
      </c>
      <c r="D941" t="str">
        <f>IFERROR(IF(0=LEN(ReferenceData!$D$941),"",ReferenceData!$D$941),"")</f>
        <v>TOTAL_GHG_CO2_EMISSIONS</v>
      </c>
      <c r="E941" t="str">
        <f>IFERROR(IF(0=LEN(ReferenceData!$E$941),"",ReferenceData!$E$941),"")</f>
        <v>Dynamic</v>
      </c>
      <c r="F941">
        <f ca="1">IFERROR(IF(0=LEN(ReferenceData!$F$941),"",ReferenceData!$F$941),"")</f>
        <v>18.100000000000001</v>
      </c>
      <c r="G941">
        <f ca="1">IFERROR(IF(0=LEN(ReferenceData!$G$941),"",ReferenceData!$G$941),"")</f>
        <v>18.71680078</v>
      </c>
      <c r="H941">
        <f ca="1">IFERROR(IF(0=LEN(ReferenceData!$H$941),"",ReferenceData!$H$941),"")</f>
        <v>16.556999999999999</v>
      </c>
      <c r="I941">
        <f ca="1">IFERROR(IF(0=LEN(ReferenceData!$I$941),"",ReferenceData!$I$941),"")</f>
        <v>14.583</v>
      </c>
      <c r="J941">
        <f ca="1">IFERROR(IF(0=LEN(ReferenceData!$J$941),"",ReferenceData!$J$941),"")</f>
        <v>15.920999999999999</v>
      </c>
    </row>
    <row r="942" spans="1:10" x14ac:dyDescent="0.25">
      <c r="A942" t="str">
        <f>IFERROR(IF(0=LEN(ReferenceData!$A$942),"",ReferenceData!$A$942),"")</f>
        <v xml:space="preserve">            Steel</v>
      </c>
      <c r="B942" t="str">
        <f>IFERROR(IF(0=LEN(ReferenceData!$B$942),"",ReferenceData!$B$942),"")</f>
        <v/>
      </c>
      <c r="C942" t="str">
        <f>IFERROR(IF(0=LEN(ReferenceData!$C$942),"",ReferenceData!$C$942),"")</f>
        <v/>
      </c>
      <c r="D942" t="str">
        <f>IFERROR(IF(0=LEN(ReferenceData!$D$942),"",ReferenceData!$D$942),"")</f>
        <v/>
      </c>
      <c r="E942" t="str">
        <f>IFERROR(IF(0=LEN(ReferenceData!$E$942),"",ReferenceData!$E$942),"")</f>
        <v>Static</v>
      </c>
      <c r="F942" t="str">
        <f ca="1">IFERROR(IF(0=LEN(ReferenceData!$F$942),"",ReferenceData!$F$942),"")</f>
        <v/>
      </c>
      <c r="G942" t="str">
        <f ca="1">IFERROR(IF(0=LEN(ReferenceData!$G$942),"",ReferenceData!$G$942),"")</f>
        <v/>
      </c>
      <c r="H942" t="str">
        <f ca="1">IFERROR(IF(0=LEN(ReferenceData!$H$942),"",ReferenceData!$H$942),"")</f>
        <v/>
      </c>
      <c r="I942" t="str">
        <f ca="1">IFERROR(IF(0=LEN(ReferenceData!$I$942),"",ReferenceData!$I$942),"")</f>
        <v/>
      </c>
      <c r="J942" t="str">
        <f ca="1">IFERROR(IF(0=LEN(ReferenceData!$J$942),"",ReferenceData!$J$942),"")</f>
        <v/>
      </c>
    </row>
    <row r="943" spans="1:10" x14ac:dyDescent="0.25">
      <c r="A943" t="str">
        <f>IFERROR(IF(0=LEN(ReferenceData!$A$943),"",ReferenceData!$A$943),"")</f>
        <v xml:space="preserve">        Technology</v>
      </c>
      <c r="B943" t="str">
        <f>IFERROR(IF(0=LEN(ReferenceData!$B$943),"",ReferenceData!$B$943),"")</f>
        <v/>
      </c>
      <c r="C943" t="str">
        <f>IFERROR(IF(0=LEN(ReferenceData!$C$943),"",ReferenceData!$C$943),"")</f>
        <v/>
      </c>
      <c r="D943" t="str">
        <f>IFERROR(IF(0=LEN(ReferenceData!$D$943),"",ReferenceData!$D$943),"")</f>
        <v/>
      </c>
      <c r="E943" t="str">
        <f>IFERROR(IF(0=LEN(ReferenceData!$E$943),"",ReferenceData!$E$943),"")</f>
        <v>Sum</v>
      </c>
      <c r="F943">
        <f ca="1">IFERROR(IF(0=LEN(ReferenceData!$F$943),"",ReferenceData!$F$943),"")</f>
        <v>3.011713453</v>
      </c>
      <c r="G943">
        <f ca="1">IFERROR(IF(0=LEN(ReferenceData!$G$943),"",ReferenceData!$G$943),"")</f>
        <v>69.109365233999995</v>
      </c>
      <c r="H943">
        <f ca="1">IFERROR(IF(0=LEN(ReferenceData!$H$943),"",ReferenceData!$H$943),"")</f>
        <v>68.647926597999998</v>
      </c>
      <c r="I943">
        <f ca="1">IFERROR(IF(0=LEN(ReferenceData!$I$943),"",ReferenceData!$I$943),"")</f>
        <v>65.903344274000005</v>
      </c>
      <c r="J943">
        <f ca="1">IFERROR(IF(0=LEN(ReferenceData!$J$943),"",ReferenceData!$J$943),"")</f>
        <v>63.692310579000001</v>
      </c>
    </row>
    <row r="944" spans="1:10" x14ac:dyDescent="0.25">
      <c r="A944" t="str">
        <f>IFERROR(IF(0=LEN(ReferenceData!$A$944),"",ReferenceData!$A$944),"")</f>
        <v xml:space="preserve">            Computer Hardware &amp; Storage</v>
      </c>
      <c r="B944" t="str">
        <f>IFERROR(IF(0=LEN(ReferenceData!$B$944),"",ReferenceData!$B$944),"")</f>
        <v/>
      </c>
      <c r="C944" t="str">
        <f>IFERROR(IF(0=LEN(ReferenceData!$C$944),"",ReferenceData!$C$944),"")</f>
        <v/>
      </c>
      <c r="D944" t="str">
        <f>IFERROR(IF(0=LEN(ReferenceData!$D$944),"",ReferenceData!$D$944),"")</f>
        <v/>
      </c>
      <c r="E944" t="str">
        <f>IFERROR(IF(0=LEN(ReferenceData!$E$944),"",ReferenceData!$E$944),"")</f>
        <v>Sum</v>
      </c>
      <c r="F944">
        <f ca="1">IFERROR(IF(0=LEN(ReferenceData!$F$944),"",ReferenceData!$F$944),"")</f>
        <v>1.7923261880000001</v>
      </c>
      <c r="G944">
        <f ca="1">IFERROR(IF(0=LEN(ReferenceData!$G$944),"",ReferenceData!$G$944),"")</f>
        <v>36.760806670000001</v>
      </c>
      <c r="H944">
        <f ca="1">IFERROR(IF(0=LEN(ReferenceData!$H$944),"",ReferenceData!$H$944),"")</f>
        <v>34.960203307</v>
      </c>
      <c r="I944">
        <f ca="1">IFERROR(IF(0=LEN(ReferenceData!$I$944),"",ReferenceData!$I$944),"")</f>
        <v>35.266109592000007</v>
      </c>
      <c r="J944">
        <f ca="1">IFERROR(IF(0=LEN(ReferenceData!$J$944),"",ReferenceData!$J$944),"")</f>
        <v>35.099922515999999</v>
      </c>
    </row>
    <row r="945" spans="1:10" x14ac:dyDescent="0.25">
      <c r="A945" t="str">
        <f>IFERROR(IF(0=LEN(ReferenceData!$A$945),"",ReferenceData!$A$945),"")</f>
        <v xml:space="preserve">                Personal Computer</v>
      </c>
      <c r="B945" t="str">
        <f>IFERROR(IF(0=LEN(ReferenceData!$B$945),"",ReferenceData!$B$945),"")</f>
        <v/>
      </c>
      <c r="C945" t="str">
        <f>IFERROR(IF(0=LEN(ReferenceData!$C$945),"",ReferenceData!$C$945),"")</f>
        <v/>
      </c>
      <c r="D945" t="str">
        <f>IFERROR(IF(0=LEN(ReferenceData!$D$945),"",ReferenceData!$D$945),"")</f>
        <v/>
      </c>
      <c r="E945" t="str">
        <f>IFERROR(IF(0=LEN(ReferenceData!$E$945),"",ReferenceData!$E$945),"")</f>
        <v>Sum</v>
      </c>
      <c r="F945">
        <f ca="1">IFERROR(IF(0=LEN(ReferenceData!$F$945),"",ReferenceData!$F$945),"")</f>
        <v>1.157359078</v>
      </c>
      <c r="G945">
        <f ca="1">IFERROR(IF(0=LEN(ReferenceData!$G$945),"",ReferenceData!$G$945),"")</f>
        <v>28.413885302000004</v>
      </c>
      <c r="H945">
        <f ca="1">IFERROR(IF(0=LEN(ReferenceData!$H$945),"",ReferenceData!$H$945),"")</f>
        <v>26.207975899000001</v>
      </c>
      <c r="I945">
        <f ca="1">IFERROR(IF(0=LEN(ReferenceData!$I$945),"",ReferenceData!$I$945),"")</f>
        <v>25.212909642000003</v>
      </c>
      <c r="J945">
        <f ca="1">IFERROR(IF(0=LEN(ReferenceData!$J$945),"",ReferenceData!$J$945),"")</f>
        <v>24.592177249999999</v>
      </c>
    </row>
    <row r="946" spans="1:10" x14ac:dyDescent="0.25">
      <c r="A946" t="str">
        <f>IFERROR(IF(0=LEN(ReferenceData!$A$946),"",ReferenceData!$A$946),"")</f>
        <v xml:space="preserve">                    Apple Inc</v>
      </c>
      <c r="B946" t="str">
        <f>IFERROR(IF(0=LEN(ReferenceData!$B$946),"",ReferenceData!$B$946),"")</f>
        <v>AAPL US Equity</v>
      </c>
      <c r="C946" t="str">
        <f>IFERROR(IF(0=LEN(ReferenceData!$C$946),"",ReferenceData!$C$946),"")</f>
        <v>F0946</v>
      </c>
      <c r="D946" t="str">
        <f>IFERROR(IF(0=LEN(ReferenceData!$D$946),"",ReferenceData!$D$946),"")</f>
        <v>TOTAL_GHG_CO2_EMISSIONS</v>
      </c>
      <c r="E946" t="str">
        <f>IFERROR(IF(0=LEN(ReferenceData!$E$946),"",ReferenceData!$E$946),"")</f>
        <v>Dynamic</v>
      </c>
      <c r="F946">
        <f ca="1">IFERROR(IF(0=LEN(ReferenceData!$F$946),"",ReferenceData!$F$946),"")</f>
        <v>1.1205999760000001</v>
      </c>
      <c r="G946">
        <f ca="1">IFERROR(IF(0=LEN(ReferenceData!$G$946),"",ReferenceData!$G$946),"")</f>
        <v>1.0584499510000001</v>
      </c>
      <c r="H946">
        <f ca="1">IFERROR(IF(0=LEN(ReferenceData!$H$946),"",ReferenceData!$H$946),"")</f>
        <v>0.93763000500000004</v>
      </c>
      <c r="I946">
        <f ca="1">IFERROR(IF(0=LEN(ReferenceData!$I$946),"",ReferenceData!$I$946),"")</f>
        <v>0.912676025</v>
      </c>
      <c r="J946">
        <f ca="1">IFERROR(IF(0=LEN(ReferenceData!$J$946),"",ReferenceData!$J$946),"")</f>
        <v>0.83109002700000001</v>
      </c>
    </row>
    <row r="947" spans="1:10" x14ac:dyDescent="0.25">
      <c r="A947" t="str">
        <f>IFERROR(IF(0=LEN(ReferenceData!$A$947),"",ReferenceData!$A$947),"")</f>
        <v xml:space="preserve">                    Asustek Computer Inc</v>
      </c>
      <c r="B947" t="str">
        <f>IFERROR(IF(0=LEN(ReferenceData!$B$947),"",ReferenceData!$B$947),"")</f>
        <v>2357 TT Equity</v>
      </c>
      <c r="C947" t="str">
        <f>IFERROR(IF(0=LEN(ReferenceData!$C$947),"",ReferenceData!$C$947),"")</f>
        <v>F0946</v>
      </c>
      <c r="D947" t="str">
        <f>IFERROR(IF(0=LEN(ReferenceData!$D$947),"",ReferenceData!$D$947),"")</f>
        <v>TOTAL_GHG_CO2_EMISSIONS</v>
      </c>
      <c r="E947" t="str">
        <f>IFERROR(IF(0=LEN(ReferenceData!$E$947),"",ReferenceData!$E$947),"")</f>
        <v>Dynamic</v>
      </c>
      <c r="F947" t="str">
        <f ca="1">IFERROR(IF(0=LEN(ReferenceData!$F$947),"",ReferenceData!$F$947),"")</f>
        <v/>
      </c>
      <c r="G947">
        <f ca="1">IFERROR(IF(0=LEN(ReferenceData!$G$947),"",ReferenceData!$G$947),"")</f>
        <v>1.7254999E-2</v>
      </c>
      <c r="H947">
        <f ca="1">IFERROR(IF(0=LEN(ReferenceData!$H$947),"",ReferenceData!$H$947),"")</f>
        <v>2.0429899000000001E-2</v>
      </c>
      <c r="I947" t="str">
        <f ca="1">IFERROR(IF(0=LEN(ReferenceData!$I$947),"",ReferenceData!$I$947),"")</f>
        <v/>
      </c>
      <c r="J947" t="str">
        <f ca="1">IFERROR(IF(0=LEN(ReferenceData!$J$947),"",ReferenceData!$J$947),"")</f>
        <v/>
      </c>
    </row>
    <row r="948" spans="1:10" x14ac:dyDescent="0.25">
      <c r="A948" t="str">
        <f>IFERROR(IF(0=LEN(ReferenceData!$A$948),"",ReferenceData!$A$948),"")</f>
        <v xml:space="preserve">                    Acer Inc</v>
      </c>
      <c r="B948" t="str">
        <f>IFERROR(IF(0=LEN(ReferenceData!$B$948),"",ReferenceData!$B$948),"")</f>
        <v>2353 TT Equity</v>
      </c>
      <c r="C948" t="str">
        <f>IFERROR(IF(0=LEN(ReferenceData!$C$948),"",ReferenceData!$C$948),"")</f>
        <v>F0946</v>
      </c>
      <c r="D948" t="str">
        <f>IFERROR(IF(0=LEN(ReferenceData!$D$948),"",ReferenceData!$D$948),"")</f>
        <v>TOTAL_GHG_CO2_EMISSIONS</v>
      </c>
      <c r="E948" t="str">
        <f>IFERROR(IF(0=LEN(ReferenceData!$E$948),"",ReferenceData!$E$948),"")</f>
        <v>Dynamic</v>
      </c>
      <c r="F948" t="str">
        <f ca="1">IFERROR(IF(0=LEN(ReferenceData!$F$948),"",ReferenceData!$F$948),"")</f>
        <v/>
      </c>
      <c r="G948">
        <f ca="1">IFERROR(IF(0=LEN(ReferenceData!$G$948),"",ReferenceData!$G$948),"")</f>
        <v>1.9368099E-2</v>
      </c>
      <c r="H948">
        <f ca="1">IFERROR(IF(0=LEN(ReferenceData!$H$948),"",ReferenceData!$H$948),"")</f>
        <v>1.8118400999999999E-2</v>
      </c>
      <c r="I948">
        <f ca="1">IFERROR(IF(0=LEN(ReferenceData!$I$948),"",ReferenceData!$I$948),"")</f>
        <v>2.0292899999999999E-2</v>
      </c>
      <c r="J948">
        <f ca="1">IFERROR(IF(0=LEN(ReferenceData!$J$948),"",ReferenceData!$J$948),"")</f>
        <v>2.2191200000000001E-2</v>
      </c>
    </row>
    <row r="949" spans="1:10" x14ac:dyDescent="0.25">
      <c r="A949" t="str">
        <f>IFERROR(IF(0=LEN(ReferenceData!$A$949),"",ReferenceData!$A$949),"")</f>
        <v xml:space="preserve">                    Founder Technology Group Corp</v>
      </c>
      <c r="B949" t="str">
        <f>IFERROR(IF(0=LEN(ReferenceData!$B$949),"",ReferenceData!$B$949),"")</f>
        <v>600601 CH Equity</v>
      </c>
      <c r="C949" t="str">
        <f>IFERROR(IF(0=LEN(ReferenceData!$C$949),"",ReferenceData!$C$949),"")</f>
        <v>F0946</v>
      </c>
      <c r="D949" t="str">
        <f>IFERROR(IF(0=LEN(ReferenceData!$D$949),"",ReferenceData!$D$949),"")</f>
        <v>TOTAL_GHG_CO2_EMISSIONS</v>
      </c>
      <c r="E949" t="str">
        <f>IFERROR(IF(0=LEN(ReferenceData!$E$949),"",ReferenceData!$E$949),"")</f>
        <v>Dynamic</v>
      </c>
      <c r="F949" t="str">
        <f ca="1">IFERROR(IF(0=LEN(ReferenceData!$F$949),"",ReferenceData!$F$949),"")</f>
        <v/>
      </c>
      <c r="G949">
        <f ca="1">IFERROR(IF(0=LEN(ReferenceData!$G$949),"",ReferenceData!$G$949),"")</f>
        <v>3.9687E-2</v>
      </c>
      <c r="H949" t="str">
        <f ca="1">IFERROR(IF(0=LEN(ReferenceData!$H$949),"",ReferenceData!$H$949),"")</f>
        <v/>
      </c>
      <c r="I949" t="str">
        <f ca="1">IFERROR(IF(0=LEN(ReferenceData!$I$949),"",ReferenceData!$I$949),"")</f>
        <v/>
      </c>
      <c r="J949" t="str">
        <f ca="1">IFERROR(IF(0=LEN(ReferenceData!$J$949),"",ReferenceData!$J$949),"")</f>
        <v/>
      </c>
    </row>
    <row r="950" spans="1:10" x14ac:dyDescent="0.25">
      <c r="A950" t="str">
        <f>IFERROR(IF(0=LEN(ReferenceData!$A$950),"",ReferenceData!$A$950),"")</f>
        <v xml:space="preserve">                    Fujitsu Ltd</v>
      </c>
      <c r="B950" t="str">
        <f>IFERROR(IF(0=LEN(ReferenceData!$B$950),"",ReferenceData!$B$950),"")</f>
        <v>6702 JP Equity</v>
      </c>
      <c r="C950" t="str">
        <f>IFERROR(IF(0=LEN(ReferenceData!$C$950),"",ReferenceData!$C$950),"")</f>
        <v>F0946</v>
      </c>
      <c r="D950" t="str">
        <f>IFERROR(IF(0=LEN(ReferenceData!$D$950),"",ReferenceData!$D$950),"")</f>
        <v>TOTAL_GHG_CO2_EMISSIONS</v>
      </c>
      <c r="E950" t="str">
        <f>IFERROR(IF(0=LEN(ReferenceData!$E$950),"",ReferenceData!$E$950),"")</f>
        <v>Dynamic</v>
      </c>
      <c r="F950" t="str">
        <f ca="1">IFERROR(IF(0=LEN(ReferenceData!$F$950),"",ReferenceData!$F$950),"")</f>
        <v/>
      </c>
      <c r="G950">
        <f ca="1">IFERROR(IF(0=LEN(ReferenceData!$G$950),"",ReferenceData!$G$950),"")</f>
        <v>0.6</v>
      </c>
      <c r="H950">
        <f ca="1">IFERROR(IF(0=LEN(ReferenceData!$H$950),"",ReferenceData!$H$950),"")</f>
        <v>0.65800000000000003</v>
      </c>
      <c r="I950">
        <f ca="1">IFERROR(IF(0=LEN(ReferenceData!$I$950),"",ReferenceData!$I$950),"")</f>
        <v>0.80200000000000005</v>
      </c>
      <c r="J950">
        <f ca="1">IFERROR(IF(0=LEN(ReferenceData!$J$950),"",ReferenceData!$J$950),"")</f>
        <v>0.95499999999999996</v>
      </c>
    </row>
    <row r="951" spans="1:10" x14ac:dyDescent="0.25">
      <c r="A951" t="str">
        <f>IFERROR(IF(0=LEN(ReferenceData!$A$951),"",ReferenceData!$A$951),"")</f>
        <v xml:space="preserve">                    HCL Technologies Ltd</v>
      </c>
      <c r="B951" t="str">
        <f>IFERROR(IF(0=LEN(ReferenceData!$B$951),"",ReferenceData!$B$951),"")</f>
        <v>HCLT IN Equity</v>
      </c>
      <c r="C951" t="str">
        <f>IFERROR(IF(0=LEN(ReferenceData!$C$951),"",ReferenceData!$C$951),"")</f>
        <v>F0946</v>
      </c>
      <c r="D951" t="str">
        <f>IFERROR(IF(0=LEN(ReferenceData!$D$951),"",ReferenceData!$D$951),"")</f>
        <v>TOTAL_GHG_CO2_EMISSIONS</v>
      </c>
      <c r="E951" t="str">
        <f>IFERROR(IF(0=LEN(ReferenceData!$E$951),"",ReferenceData!$E$951),"")</f>
        <v>Dynamic</v>
      </c>
      <c r="F951" t="str">
        <f ca="1">IFERROR(IF(0=LEN(ReferenceData!$F$951),"",ReferenceData!$F$951),"")</f>
        <v/>
      </c>
      <c r="G951">
        <f ca="1">IFERROR(IF(0=LEN(ReferenceData!$G$951),"",ReferenceData!$G$951),"")</f>
        <v>0.15584100300000001</v>
      </c>
      <c r="H951">
        <f ca="1">IFERROR(IF(0=LEN(ReferenceData!$H$951),"",ReferenceData!$H$951),"")</f>
        <v>0.15186999500000001</v>
      </c>
      <c r="I951">
        <f ca="1">IFERROR(IF(0=LEN(ReferenceData!$I$951),"",ReferenceData!$I$951),"")</f>
        <v>0.20441599999999999</v>
      </c>
      <c r="J951" t="str">
        <f ca="1">IFERROR(IF(0=LEN(ReferenceData!$J$951),"",ReferenceData!$J$951),"")</f>
        <v/>
      </c>
    </row>
    <row r="952" spans="1:10" x14ac:dyDescent="0.25">
      <c r="A952" t="str">
        <f>IFERROR(IF(0=LEN(ReferenceData!$A$952),"",ReferenceData!$A$952),"")</f>
        <v xml:space="preserve">                    HP Inc</v>
      </c>
      <c r="B952" t="str">
        <f>IFERROR(IF(0=LEN(ReferenceData!$B$952),"",ReferenceData!$B$952),"")</f>
        <v>HPQ US Equity</v>
      </c>
      <c r="C952" t="str">
        <f>IFERROR(IF(0=LEN(ReferenceData!$C$952),"",ReferenceData!$C$952),"")</f>
        <v>F0946</v>
      </c>
      <c r="D952" t="str">
        <f>IFERROR(IF(0=LEN(ReferenceData!$D$952),"",ReferenceData!$D$952),"")</f>
        <v>TOTAL_GHG_CO2_EMISSIONS</v>
      </c>
      <c r="E952" t="str">
        <f>IFERROR(IF(0=LEN(ReferenceData!$E$952),"",ReferenceData!$E$952),"")</f>
        <v>Dynamic</v>
      </c>
      <c r="F952" t="str">
        <f ca="1">IFERROR(IF(0=LEN(ReferenceData!$F$952),"",ReferenceData!$F$952),"")</f>
        <v/>
      </c>
      <c r="G952">
        <f ca="1">IFERROR(IF(0=LEN(ReferenceData!$G$952),"",ReferenceData!$G$952),"")</f>
        <v>0.24689999400000001</v>
      </c>
      <c r="H952">
        <f ca="1">IFERROR(IF(0=LEN(ReferenceData!$H$952),"",ReferenceData!$H$952),"")</f>
        <v>0.25419999700000001</v>
      </c>
      <c r="I952">
        <f ca="1">IFERROR(IF(0=LEN(ReferenceData!$I$952),"",ReferenceData!$I$952),"")</f>
        <v>0.28829998800000001</v>
      </c>
      <c r="J952">
        <f ca="1">IFERROR(IF(0=LEN(ReferenceData!$J$952),"",ReferenceData!$J$952),"")</f>
        <v>0.31820001199999998</v>
      </c>
    </row>
    <row r="953" spans="1:10" x14ac:dyDescent="0.25">
      <c r="A953" t="str">
        <f>IFERROR(IF(0=LEN(ReferenceData!$A$953),"",ReferenceData!$A$953),"")</f>
        <v xml:space="preserve">                    Inspur Electronic Information</v>
      </c>
      <c r="B953" t="str">
        <f>IFERROR(IF(0=LEN(ReferenceData!$B$953),"",ReferenceData!$B$953),"")</f>
        <v>000977 CH Equity</v>
      </c>
      <c r="C953" t="str">
        <f>IFERROR(IF(0=LEN(ReferenceData!$C$953),"",ReferenceData!$C$953),"")</f>
        <v>F0946</v>
      </c>
      <c r="D953" t="str">
        <f>IFERROR(IF(0=LEN(ReferenceData!$D$953),"",ReferenceData!$D$953),"")</f>
        <v>TOTAL_GHG_CO2_EMISSIONS</v>
      </c>
      <c r="E953" t="str">
        <f>IFERROR(IF(0=LEN(ReferenceData!$E$953),"",ReferenceData!$E$953),"")</f>
        <v>Dynamic</v>
      </c>
      <c r="F953">
        <f ca="1">IFERROR(IF(0=LEN(ReferenceData!$F$953),"",ReferenceData!$F$953),"")</f>
        <v>3.6759102000000002E-2</v>
      </c>
      <c r="G953">
        <f ca="1">IFERROR(IF(0=LEN(ReferenceData!$G$953),"",ReferenceData!$G$953),"")</f>
        <v>2.72003E-2</v>
      </c>
      <c r="H953" t="str">
        <f ca="1">IFERROR(IF(0=LEN(ReferenceData!$H$953),"",ReferenceData!$H$953),"")</f>
        <v/>
      </c>
      <c r="I953" t="str">
        <f ca="1">IFERROR(IF(0=LEN(ReferenceData!$I$953),"",ReferenceData!$I$953),"")</f>
        <v/>
      </c>
      <c r="J953" t="str">
        <f ca="1">IFERROR(IF(0=LEN(ReferenceData!$J$953),"",ReferenceData!$J$953),"")</f>
        <v/>
      </c>
    </row>
    <row r="954" spans="1:10" x14ac:dyDescent="0.25">
      <c r="A954" t="str">
        <f>IFERROR(IF(0=LEN(ReferenceData!$A$954),"",ReferenceData!$A$954),"")</f>
        <v xml:space="preserve">                    Lenovo Group Ltd</v>
      </c>
      <c r="B954" t="str">
        <f>IFERROR(IF(0=LEN(ReferenceData!$B$954),"",ReferenceData!$B$954),"")</f>
        <v>992 HK Equity</v>
      </c>
      <c r="C954" t="str">
        <f>IFERROR(IF(0=LEN(ReferenceData!$C$954),"",ReferenceData!$C$954),"")</f>
        <v>F0946</v>
      </c>
      <c r="D954" t="str">
        <f>IFERROR(IF(0=LEN(ReferenceData!$D$954),"",ReferenceData!$D$954),"")</f>
        <v>TOTAL_GHG_CO2_EMISSIONS</v>
      </c>
      <c r="E954" t="str">
        <f>IFERROR(IF(0=LEN(ReferenceData!$E$954),"",ReferenceData!$E$954),"")</f>
        <v>Dynamic</v>
      </c>
      <c r="F954" t="str">
        <f ca="1">IFERROR(IF(0=LEN(ReferenceData!$F$954),"",ReferenceData!$F$954),"")</f>
        <v/>
      </c>
      <c r="G954">
        <f ca="1">IFERROR(IF(0=LEN(ReferenceData!$G$954),"",ReferenceData!$G$954),"")</f>
        <v>0.197847</v>
      </c>
      <c r="H954">
        <f ca="1">IFERROR(IF(0=LEN(ReferenceData!$H$954),"",ReferenceData!$H$954),"")</f>
        <v>0.184947006</v>
      </c>
      <c r="I954">
        <f ca="1">IFERROR(IF(0=LEN(ReferenceData!$I$954),"",ReferenceData!$I$954),"")</f>
        <v>0.17036300700000001</v>
      </c>
      <c r="J954">
        <f ca="1">IFERROR(IF(0=LEN(ReferenceData!$J$954),"",ReferenceData!$J$954),"")</f>
        <v>0.20735200500000001</v>
      </c>
    </row>
    <row r="955" spans="1:10" x14ac:dyDescent="0.25">
      <c r="A955" t="str">
        <f>IFERROR(IF(0=LEN(ReferenceData!$A$955),"",ReferenceData!$A$955),"")</f>
        <v xml:space="preserve">                    LG Electronics Inc</v>
      </c>
      <c r="B955" t="str">
        <f>IFERROR(IF(0=LEN(ReferenceData!$B$955),"",ReferenceData!$B$955),"")</f>
        <v>066570 KS Equity</v>
      </c>
      <c r="C955" t="str">
        <f>IFERROR(IF(0=LEN(ReferenceData!$C$955),"",ReferenceData!$C$955),"")</f>
        <v>F0946</v>
      </c>
      <c r="D955" t="str">
        <f>IFERROR(IF(0=LEN(ReferenceData!$D$955),"",ReferenceData!$D$955),"")</f>
        <v>TOTAL_GHG_CO2_EMISSIONS</v>
      </c>
      <c r="E955" t="str">
        <f>IFERROR(IF(0=LEN(ReferenceData!$E$955),"",ReferenceData!$E$955),"")</f>
        <v>Dynamic</v>
      </c>
      <c r="F955" t="str">
        <f ca="1">IFERROR(IF(0=LEN(ReferenceData!$F$955),"",ReferenceData!$F$955),"")</f>
        <v/>
      </c>
      <c r="G955">
        <f ca="1">IFERROR(IF(0=LEN(ReferenceData!$G$955),"",ReferenceData!$G$955),"")</f>
        <v>1.1519999999999999</v>
      </c>
      <c r="H955">
        <f ca="1">IFERROR(IF(0=LEN(ReferenceData!$H$955),"",ReferenceData!$H$955),"")</f>
        <v>1.294</v>
      </c>
      <c r="I955">
        <f ca="1">IFERROR(IF(0=LEN(ReferenceData!$I$955),"",ReferenceData!$I$955),"")</f>
        <v>1.4690000000000001</v>
      </c>
      <c r="J955">
        <f ca="1">IFERROR(IF(0=LEN(ReferenceData!$J$955),"",ReferenceData!$J$955),"")</f>
        <v>1.637</v>
      </c>
    </row>
    <row r="956" spans="1:10" x14ac:dyDescent="0.25">
      <c r="A956" t="str">
        <f>IFERROR(IF(0=LEN(ReferenceData!$A$956),"",ReferenceData!$A$956),"")</f>
        <v xml:space="preserve">                    Medion AG</v>
      </c>
      <c r="B956" t="str">
        <f>IFERROR(IF(0=LEN(ReferenceData!$B$956),"",ReferenceData!$B$956),"")</f>
        <v>MDN GR Equity</v>
      </c>
      <c r="C956" t="str">
        <f>IFERROR(IF(0=LEN(ReferenceData!$C$956),"",ReferenceData!$C$956),"")</f>
        <v>F0946</v>
      </c>
      <c r="D956" t="str">
        <f>IFERROR(IF(0=LEN(ReferenceData!$D$956),"",ReferenceData!$D$956),"")</f>
        <v>TOTAL_GHG_CO2_EMISSIONS</v>
      </c>
      <c r="E956" t="str">
        <f>IFERROR(IF(0=LEN(ReferenceData!$E$956),"",ReferenceData!$E$956),"")</f>
        <v>Dynamic</v>
      </c>
      <c r="F956" t="str">
        <f ca="1">IFERROR(IF(0=LEN(ReferenceData!$F$956),"",ReferenceData!$F$956),"")</f>
        <v/>
      </c>
      <c r="G956">
        <f ca="1">IFERROR(IF(0=LEN(ReferenceData!$G$956),"",ReferenceData!$G$956),"")</f>
        <v>3.5500000000000001E-4</v>
      </c>
      <c r="H956">
        <f ca="1">IFERROR(IF(0=LEN(ReferenceData!$H$956),"",ReferenceData!$H$956),"")</f>
        <v>3.1599999999999998E-4</v>
      </c>
      <c r="I956" t="str">
        <f ca="1">IFERROR(IF(0=LEN(ReferenceData!$I$956),"",ReferenceData!$I$956),"")</f>
        <v/>
      </c>
      <c r="J956" t="str">
        <f ca="1">IFERROR(IF(0=LEN(ReferenceData!$J$956),"",ReferenceData!$J$956),"")</f>
        <v/>
      </c>
    </row>
    <row r="957" spans="1:10" x14ac:dyDescent="0.25">
      <c r="A957" t="str">
        <f>IFERROR(IF(0=LEN(ReferenceData!$A$957),"",ReferenceData!$A$957),"")</f>
        <v xml:space="preserve">                    Micro-Star International Co Lt</v>
      </c>
      <c r="B957" t="str">
        <f>IFERROR(IF(0=LEN(ReferenceData!$B$957),"",ReferenceData!$B$957),"")</f>
        <v>2377 TT Equity</v>
      </c>
      <c r="C957" t="str">
        <f>IFERROR(IF(0=LEN(ReferenceData!$C$957),"",ReferenceData!$C$957),"")</f>
        <v>F0946</v>
      </c>
      <c r="D957" t="str">
        <f>IFERROR(IF(0=LEN(ReferenceData!$D$957),"",ReferenceData!$D$957),"")</f>
        <v>TOTAL_GHG_CO2_EMISSIONS</v>
      </c>
      <c r="E957" t="str">
        <f>IFERROR(IF(0=LEN(ReferenceData!$E$957),"",ReferenceData!$E$957),"")</f>
        <v>Dynamic</v>
      </c>
      <c r="F957" t="str">
        <f ca="1">IFERROR(IF(0=LEN(ReferenceData!$F$957),"",ReferenceData!$F$957),"")</f>
        <v/>
      </c>
      <c r="G957">
        <f ca="1">IFERROR(IF(0=LEN(ReferenceData!$G$957),"",ReferenceData!$G$957),"")</f>
        <v>5.9152000000000003E-2</v>
      </c>
      <c r="H957">
        <f ca="1">IFERROR(IF(0=LEN(ReferenceData!$H$957),"",ReferenceData!$H$957),"")</f>
        <v>6.1344600999999999E-2</v>
      </c>
      <c r="I957">
        <f ca="1">IFERROR(IF(0=LEN(ReferenceData!$I$957),"",ReferenceData!$I$957),"")</f>
        <v>5.9091702000000003E-2</v>
      </c>
      <c r="J957">
        <f ca="1">IFERROR(IF(0=LEN(ReferenceData!$J$957),"",ReferenceData!$J$957),"")</f>
        <v>6.2714001000000005E-2</v>
      </c>
    </row>
    <row r="958" spans="1:10" x14ac:dyDescent="0.25">
      <c r="A958" t="str">
        <f>IFERROR(IF(0=LEN(ReferenceData!$A$958),"",ReferenceData!$A$958),"")</f>
        <v xml:space="preserve">                    NEC Corp</v>
      </c>
      <c r="B958" t="str">
        <f>IFERROR(IF(0=LEN(ReferenceData!$B$958),"",ReferenceData!$B$958),"")</f>
        <v>6701 JP Equity</v>
      </c>
      <c r="C958" t="str">
        <f>IFERROR(IF(0=LEN(ReferenceData!$C$958),"",ReferenceData!$C$958),"")</f>
        <v>F0946</v>
      </c>
      <c r="D958" t="str">
        <f>IFERROR(IF(0=LEN(ReferenceData!$D$958),"",ReferenceData!$D$958),"")</f>
        <v>TOTAL_GHG_CO2_EMISSIONS</v>
      </c>
      <c r="E958" t="str">
        <f>IFERROR(IF(0=LEN(ReferenceData!$E$958),"",ReferenceData!$E$958),"")</f>
        <v>Dynamic</v>
      </c>
      <c r="F958" t="str">
        <f ca="1">IFERROR(IF(0=LEN(ReferenceData!$F$958),"",ReferenceData!$F$958),"")</f>
        <v/>
      </c>
      <c r="G958">
        <f ca="1">IFERROR(IF(0=LEN(ReferenceData!$G$958),"",ReferenceData!$G$958),"")</f>
        <v>0.32400000000000001</v>
      </c>
      <c r="H958">
        <f ca="1">IFERROR(IF(0=LEN(ReferenceData!$H$958),"",ReferenceData!$H$958),"")</f>
        <v>0.32700000000000001</v>
      </c>
      <c r="I958">
        <f ca="1">IFERROR(IF(0=LEN(ReferenceData!$I$958),"",ReferenceData!$I$958),"")</f>
        <v>0.373</v>
      </c>
      <c r="J958">
        <f ca="1">IFERROR(IF(0=LEN(ReferenceData!$J$958),"",ReferenceData!$J$958),"")</f>
        <v>0.32900000000000001</v>
      </c>
    </row>
    <row r="959" spans="1:10" x14ac:dyDescent="0.25">
      <c r="A959" t="str">
        <f>IFERROR(IF(0=LEN(ReferenceData!$A$959),"",ReferenceData!$A$959),"")</f>
        <v xml:space="preserve">                    Panasonic Holdings Corp</v>
      </c>
      <c r="B959" t="str">
        <f>IFERROR(IF(0=LEN(ReferenceData!$B$959),"",ReferenceData!$B$959),"")</f>
        <v>6752 JP Equity</v>
      </c>
      <c r="C959" t="str">
        <f>IFERROR(IF(0=LEN(ReferenceData!$C$959),"",ReferenceData!$C$959),"")</f>
        <v>F0946</v>
      </c>
      <c r="D959" t="str">
        <f>IFERROR(IF(0=LEN(ReferenceData!$D$959),"",ReferenceData!$D$959),"")</f>
        <v>TOTAL_GHG_CO2_EMISSIONS</v>
      </c>
      <c r="E959" t="str">
        <f>IFERROR(IF(0=LEN(ReferenceData!$E$959),"",ReferenceData!$E$959),"")</f>
        <v>Dynamic</v>
      </c>
      <c r="F959" t="str">
        <f ca="1">IFERROR(IF(0=LEN(ReferenceData!$F$959),"",ReferenceData!$F$959),"")</f>
        <v/>
      </c>
      <c r="G959">
        <f ca="1">IFERROR(IF(0=LEN(ReferenceData!$G$959),"",ReferenceData!$G$959),"")</f>
        <v>2.06</v>
      </c>
      <c r="H959">
        <f ca="1">IFERROR(IF(0=LEN(ReferenceData!$H$959),"",ReferenceData!$H$959),"")</f>
        <v>2.2000000000000002</v>
      </c>
      <c r="I959">
        <f ca="1">IFERROR(IF(0=LEN(ReferenceData!$I$959),"",ReferenceData!$I$959),"")</f>
        <v>2.3199999999999998</v>
      </c>
      <c r="J959">
        <f ca="1">IFERROR(IF(0=LEN(ReferenceData!$J$959),"",ReferenceData!$J$959),"")</f>
        <v>2.44</v>
      </c>
    </row>
    <row r="960" spans="1:10" x14ac:dyDescent="0.25">
      <c r="A960" t="str">
        <f>IFERROR(IF(0=LEN(ReferenceData!$A$960),"",ReferenceData!$A$960),"")</f>
        <v xml:space="preserve">                    Samsung Electronics Co Ltd</v>
      </c>
      <c r="B960" t="str">
        <f>IFERROR(IF(0=LEN(ReferenceData!$B$960),"",ReferenceData!$B$960),"")</f>
        <v>005930 KS Equity</v>
      </c>
      <c r="C960" t="str">
        <f>IFERROR(IF(0=LEN(ReferenceData!$C$960),"",ReferenceData!$C$960),"")</f>
        <v>F0946</v>
      </c>
      <c r="D960" t="str">
        <f>IFERROR(IF(0=LEN(ReferenceData!$D$960),"",ReferenceData!$D$960),"")</f>
        <v>TOTAL_GHG_CO2_EMISSIONS</v>
      </c>
      <c r="E960" t="str">
        <f>IFERROR(IF(0=LEN(ReferenceData!$E$960),"",ReferenceData!$E$960),"")</f>
        <v>Dynamic</v>
      </c>
      <c r="F960" t="str">
        <f ca="1">IFERROR(IF(0=LEN(ReferenceData!$F$960),"",ReferenceData!$F$960),"")</f>
        <v/>
      </c>
      <c r="G960">
        <f ca="1">IFERROR(IF(0=LEN(ReferenceData!$G$960),"",ReferenceData!$G$960),"")</f>
        <v>20.170000000000002</v>
      </c>
      <c r="H960">
        <f ca="1">IFERROR(IF(0=LEN(ReferenceData!$H$960),"",ReferenceData!$H$960),"")</f>
        <v>17.579000000000001</v>
      </c>
      <c r="I960">
        <f ca="1">IFERROR(IF(0=LEN(ReferenceData!$I$960),"",ReferenceData!$I$960),"")</f>
        <v>16.065000000000001</v>
      </c>
      <c r="J960">
        <f ca="1">IFERROR(IF(0=LEN(ReferenceData!$J$960),"",ReferenceData!$J$960),"")</f>
        <v>15.173</v>
      </c>
    </row>
    <row r="961" spans="1:10" x14ac:dyDescent="0.25">
      <c r="A961" t="str">
        <f>IFERROR(IF(0=LEN(ReferenceData!$A$961),"",ReferenceData!$A$961),"")</f>
        <v xml:space="preserve">                    Sony Group Corp</v>
      </c>
      <c r="B961" t="str">
        <f>IFERROR(IF(0=LEN(ReferenceData!$B$961),"",ReferenceData!$B$961),"")</f>
        <v>6758 JP Equity</v>
      </c>
      <c r="C961" t="str">
        <f>IFERROR(IF(0=LEN(ReferenceData!$C$961),"",ReferenceData!$C$961),"")</f>
        <v>F0946</v>
      </c>
      <c r="D961" t="str">
        <f>IFERROR(IF(0=LEN(ReferenceData!$D$961),"",ReferenceData!$D$961),"")</f>
        <v>TOTAL_GHG_CO2_EMISSIONS</v>
      </c>
      <c r="E961" t="str">
        <f>IFERROR(IF(0=LEN(ReferenceData!$E$961),"",ReferenceData!$E$961),"")</f>
        <v>Dynamic</v>
      </c>
      <c r="F961" t="str">
        <f ca="1">IFERROR(IF(0=LEN(ReferenceData!$F$961),"",ReferenceData!$F$961),"")</f>
        <v/>
      </c>
      <c r="G961">
        <f ca="1">IFERROR(IF(0=LEN(ReferenceData!$G$961),"",ReferenceData!$G$961),"")</f>
        <v>1.262969971</v>
      </c>
      <c r="H961">
        <f ca="1">IFERROR(IF(0=LEN(ReferenceData!$H$961),"",ReferenceData!$H$961),"")</f>
        <v>1.471119995</v>
      </c>
      <c r="I961">
        <f ca="1">IFERROR(IF(0=LEN(ReferenceData!$I$961),"",ReferenceData!$I$961),"")</f>
        <v>1.3887700199999999</v>
      </c>
      <c r="J961">
        <f ca="1">IFERROR(IF(0=LEN(ReferenceData!$J$961),"",ReferenceData!$J$961),"")</f>
        <v>1.376630005</v>
      </c>
    </row>
    <row r="962" spans="1:10" x14ac:dyDescent="0.25">
      <c r="A962" t="str">
        <f>IFERROR(IF(0=LEN(ReferenceData!$A$962),"",ReferenceData!$A$962),"")</f>
        <v xml:space="preserve">                    Toshiba Corp</v>
      </c>
      <c r="B962" t="str">
        <f>IFERROR(IF(0=LEN(ReferenceData!$B$962),"",ReferenceData!$B$962),"")</f>
        <v>6502 JP Equity</v>
      </c>
      <c r="C962" t="str">
        <f>IFERROR(IF(0=LEN(ReferenceData!$C$962),"",ReferenceData!$C$962),"")</f>
        <v>F0946</v>
      </c>
      <c r="D962" t="str">
        <f>IFERROR(IF(0=LEN(ReferenceData!$D$962),"",ReferenceData!$D$962),"")</f>
        <v>TOTAL_GHG_CO2_EMISSIONS</v>
      </c>
      <c r="E962" t="str">
        <f>IFERROR(IF(0=LEN(ReferenceData!$E$962),"",ReferenceData!$E$962),"")</f>
        <v>Dynamic</v>
      </c>
      <c r="F962" t="str">
        <f ca="1">IFERROR(IF(0=LEN(ReferenceData!$F$962),"",ReferenceData!$F$962),"")</f>
        <v/>
      </c>
      <c r="G962">
        <f ca="1">IFERROR(IF(0=LEN(ReferenceData!$G$962),"",ReferenceData!$G$962),"")</f>
        <v>1.022859985</v>
      </c>
      <c r="H962">
        <f ca="1">IFERROR(IF(0=LEN(ReferenceData!$H$962),"",ReferenceData!$H$962),"")</f>
        <v>1.05</v>
      </c>
      <c r="I962">
        <f ca="1">IFERROR(IF(0=LEN(ReferenceData!$I$962),"",ReferenceData!$I$962),"")</f>
        <v>1.1399999999999999</v>
      </c>
      <c r="J962">
        <f ca="1">IFERROR(IF(0=LEN(ReferenceData!$J$962),"",ReferenceData!$J$962),"")</f>
        <v>1.24</v>
      </c>
    </row>
    <row r="963" spans="1:10" x14ac:dyDescent="0.25">
      <c r="A963" t="str">
        <f>IFERROR(IF(0=LEN(ReferenceData!$A$963),"",ReferenceData!$A$963),"")</f>
        <v xml:space="preserve">                Servers</v>
      </c>
      <c r="B963" t="str">
        <f>IFERROR(IF(0=LEN(ReferenceData!$B$963),"",ReferenceData!$B$963),"")</f>
        <v/>
      </c>
      <c r="C963" t="str">
        <f>IFERROR(IF(0=LEN(ReferenceData!$C$963),"",ReferenceData!$C$963),"")</f>
        <v/>
      </c>
      <c r="D963" t="str">
        <f>IFERROR(IF(0=LEN(ReferenceData!$D$963),"",ReferenceData!$D$963),"")</f>
        <v/>
      </c>
      <c r="E963" t="str">
        <f>IFERROR(IF(0=LEN(ReferenceData!$E$963),"",ReferenceData!$E$963),"")</f>
        <v>Sum</v>
      </c>
      <c r="F963">
        <f ca="1">IFERROR(IF(0=LEN(ReferenceData!$F$963),"",ReferenceData!$F$963),"")</f>
        <v>0.63496710999999995</v>
      </c>
      <c r="G963">
        <f ca="1">IFERROR(IF(0=LEN(ReferenceData!$G$963),"",ReferenceData!$G$963),"")</f>
        <v>8.3469213679999985</v>
      </c>
      <c r="H963">
        <f ca="1">IFERROR(IF(0=LEN(ReferenceData!$H$963),"",ReferenceData!$H$963),"")</f>
        <v>8.7522274079999995</v>
      </c>
      <c r="I963">
        <f ca="1">IFERROR(IF(0=LEN(ReferenceData!$I$963),"",ReferenceData!$I$963),"")</f>
        <v>10.05319995</v>
      </c>
      <c r="J963">
        <f ca="1">IFERROR(IF(0=LEN(ReferenceData!$J$963),"",ReferenceData!$J$963),"")</f>
        <v>10.507745266000001</v>
      </c>
    </row>
    <row r="964" spans="1:10" x14ac:dyDescent="0.25">
      <c r="A964" t="str">
        <f>IFERROR(IF(0=LEN(ReferenceData!$A$964),"",ReferenceData!$A$964),"")</f>
        <v xml:space="preserve">                    Acer Inc</v>
      </c>
      <c r="B964" t="str">
        <f>IFERROR(IF(0=LEN(ReferenceData!$B$964),"",ReferenceData!$B$964),"")</f>
        <v>2353 TT Equity</v>
      </c>
      <c r="C964" t="str">
        <f>IFERROR(IF(0=LEN(ReferenceData!$C$964),"",ReferenceData!$C$964),"")</f>
        <v>F0946</v>
      </c>
      <c r="D964" t="str">
        <f>IFERROR(IF(0=LEN(ReferenceData!$D$964),"",ReferenceData!$D$964),"")</f>
        <v>TOTAL_GHG_CO2_EMISSIONS</v>
      </c>
      <c r="E964" t="str">
        <f>IFERROR(IF(0=LEN(ReferenceData!$E$964),"",ReferenceData!$E$964),"")</f>
        <v>Dynamic</v>
      </c>
      <c r="F964" t="str">
        <f ca="1">IFERROR(IF(0=LEN(ReferenceData!$F$964),"",ReferenceData!$F$964),"")</f>
        <v/>
      </c>
      <c r="G964">
        <f ca="1">IFERROR(IF(0=LEN(ReferenceData!$G$964),"",ReferenceData!$G$964),"")</f>
        <v>1.9368099E-2</v>
      </c>
      <c r="H964">
        <f ca="1">IFERROR(IF(0=LEN(ReferenceData!$H$964),"",ReferenceData!$H$964),"")</f>
        <v>1.8118400999999999E-2</v>
      </c>
      <c r="I964">
        <f ca="1">IFERROR(IF(0=LEN(ReferenceData!$I$964),"",ReferenceData!$I$964),"")</f>
        <v>2.0292899999999999E-2</v>
      </c>
      <c r="J964">
        <f ca="1">IFERROR(IF(0=LEN(ReferenceData!$J$964),"",ReferenceData!$J$964),"")</f>
        <v>2.2191200000000001E-2</v>
      </c>
    </row>
    <row r="965" spans="1:10" x14ac:dyDescent="0.25">
      <c r="A965" t="str">
        <f>IFERROR(IF(0=LEN(ReferenceData!$A$965),"",ReferenceData!$A$965),"")</f>
        <v xml:space="preserve">                    Cisco Systems Inc</v>
      </c>
      <c r="B965" t="str">
        <f>IFERROR(IF(0=LEN(ReferenceData!$B$965),"",ReferenceData!$B$965),"")</f>
        <v>CSCO US Equity</v>
      </c>
      <c r="C965" t="str">
        <f>IFERROR(IF(0=LEN(ReferenceData!$C$965),"",ReferenceData!$C$965),"")</f>
        <v>F0946</v>
      </c>
      <c r="D965" t="str">
        <f>IFERROR(IF(0=LEN(ReferenceData!$D$965),"",ReferenceData!$D$965),"")</f>
        <v>TOTAL_GHG_CO2_EMISSIONS</v>
      </c>
      <c r="E965" t="str">
        <f>IFERROR(IF(0=LEN(ReferenceData!$E$965),"",ReferenceData!$E$965),"")</f>
        <v>Dynamic</v>
      </c>
      <c r="F965">
        <f ca="1">IFERROR(IF(0=LEN(ReferenceData!$F$965),"",ReferenceData!$F$965),"")</f>
        <v>0.59820800799999996</v>
      </c>
      <c r="G965">
        <f ca="1">IFERROR(IF(0=LEN(ReferenceData!$G$965),"",ReferenceData!$G$965),"")</f>
        <v>0.60613897699999997</v>
      </c>
      <c r="H965">
        <f ca="1">IFERROR(IF(0=LEN(ReferenceData!$H$965),"",ReferenceData!$H$965),"")</f>
        <v>0.64719201699999995</v>
      </c>
      <c r="I965">
        <f ca="1">IFERROR(IF(0=LEN(ReferenceData!$I$965),"",ReferenceData!$I$965),"")</f>
        <v>0.692512024</v>
      </c>
      <c r="J965">
        <f ca="1">IFERROR(IF(0=LEN(ReferenceData!$J$965),"",ReferenceData!$J$965),"")</f>
        <v>0.71221600299999999</v>
      </c>
    </row>
    <row r="966" spans="1:10" x14ac:dyDescent="0.25">
      <c r="A966" t="str">
        <f>IFERROR(IF(0=LEN(ReferenceData!$A$966),"",ReferenceData!$A$966),"")</f>
        <v xml:space="preserve">                    Fujitsu Ltd</v>
      </c>
      <c r="B966" t="str">
        <f>IFERROR(IF(0=LEN(ReferenceData!$B$966),"",ReferenceData!$B$966),"")</f>
        <v>6702 JP Equity</v>
      </c>
      <c r="C966" t="str">
        <f>IFERROR(IF(0=LEN(ReferenceData!$C$966),"",ReferenceData!$C$966),"")</f>
        <v>F0946</v>
      </c>
      <c r="D966" t="str">
        <f>IFERROR(IF(0=LEN(ReferenceData!$D$966),"",ReferenceData!$D$966),"")</f>
        <v>TOTAL_GHG_CO2_EMISSIONS</v>
      </c>
      <c r="E966" t="str">
        <f>IFERROR(IF(0=LEN(ReferenceData!$E$966),"",ReferenceData!$E$966),"")</f>
        <v>Dynamic</v>
      </c>
      <c r="F966" t="str">
        <f ca="1">IFERROR(IF(0=LEN(ReferenceData!$F$966),"",ReferenceData!$F$966),"")</f>
        <v/>
      </c>
      <c r="G966">
        <f ca="1">IFERROR(IF(0=LEN(ReferenceData!$G$966),"",ReferenceData!$G$966),"")</f>
        <v>0.6</v>
      </c>
      <c r="H966">
        <f ca="1">IFERROR(IF(0=LEN(ReferenceData!$H$966),"",ReferenceData!$H$966),"")</f>
        <v>0.65800000000000003</v>
      </c>
      <c r="I966">
        <f ca="1">IFERROR(IF(0=LEN(ReferenceData!$I$966),"",ReferenceData!$I$966),"")</f>
        <v>0.80200000000000005</v>
      </c>
      <c r="J966">
        <f ca="1">IFERROR(IF(0=LEN(ReferenceData!$J$966),"",ReferenceData!$J$966),"")</f>
        <v>0.95499999999999996</v>
      </c>
    </row>
    <row r="967" spans="1:10" x14ac:dyDescent="0.25">
      <c r="A967" t="str">
        <f>IFERROR(IF(0=LEN(ReferenceData!$A$967),"",ReferenceData!$A$967),"")</f>
        <v xml:space="preserve">                    Hitachi Ltd</v>
      </c>
      <c r="B967" t="str">
        <f>IFERROR(IF(0=LEN(ReferenceData!$B$967),"",ReferenceData!$B$967),"")</f>
        <v>6501 JP Equity</v>
      </c>
      <c r="C967" t="str">
        <f>IFERROR(IF(0=LEN(ReferenceData!$C$967),"",ReferenceData!$C$967),"")</f>
        <v>F0946</v>
      </c>
      <c r="D967" t="str">
        <f>IFERROR(IF(0=LEN(ReferenceData!$D$967),"",ReferenceData!$D$967),"")</f>
        <v>TOTAL_GHG_CO2_EMISSIONS</v>
      </c>
      <c r="E967" t="str">
        <f>IFERROR(IF(0=LEN(ReferenceData!$E$967),"",ReferenceData!$E$967),"")</f>
        <v>Dynamic</v>
      </c>
      <c r="F967" t="str">
        <f ca="1">IFERROR(IF(0=LEN(ReferenceData!$F$967),"",ReferenceData!$F$967),"")</f>
        <v/>
      </c>
      <c r="G967">
        <f ca="1">IFERROR(IF(0=LEN(ReferenceData!$G$967),"",ReferenceData!$G$967),"")</f>
        <v>3.41</v>
      </c>
      <c r="H967">
        <f ca="1">IFERROR(IF(0=LEN(ReferenceData!$H$967),"",ReferenceData!$H$967),"")</f>
        <v>3.610679932</v>
      </c>
      <c r="I967">
        <f ca="1">IFERROR(IF(0=LEN(ReferenceData!$I$967),"",ReferenceData!$I$967),"")</f>
        <v>4.42</v>
      </c>
      <c r="J967">
        <f ca="1">IFERROR(IF(0=LEN(ReferenceData!$J$967),"",ReferenceData!$J$967),"")</f>
        <v>4.47</v>
      </c>
    </row>
    <row r="968" spans="1:10" x14ac:dyDescent="0.25">
      <c r="A968" t="str">
        <f>IFERROR(IF(0=LEN(ReferenceData!$A$968),"",ReferenceData!$A$968),"")</f>
        <v xml:space="preserve">                    HP Inc</v>
      </c>
      <c r="B968" t="str">
        <f>IFERROR(IF(0=LEN(ReferenceData!$B$968),"",ReferenceData!$B$968),"")</f>
        <v>HPQ US Equity</v>
      </c>
      <c r="C968" t="str">
        <f>IFERROR(IF(0=LEN(ReferenceData!$C$968),"",ReferenceData!$C$968),"")</f>
        <v>F0946</v>
      </c>
      <c r="D968" t="str">
        <f>IFERROR(IF(0=LEN(ReferenceData!$D$968),"",ReferenceData!$D$968),"")</f>
        <v>TOTAL_GHG_CO2_EMISSIONS</v>
      </c>
      <c r="E968" t="str">
        <f>IFERROR(IF(0=LEN(ReferenceData!$E$968),"",ReferenceData!$E$968),"")</f>
        <v>Dynamic</v>
      </c>
      <c r="F968" t="str">
        <f ca="1">IFERROR(IF(0=LEN(ReferenceData!$F$968),"",ReferenceData!$F$968),"")</f>
        <v/>
      </c>
      <c r="G968">
        <f ca="1">IFERROR(IF(0=LEN(ReferenceData!$G$968),"",ReferenceData!$G$968),"")</f>
        <v>0.24689999400000001</v>
      </c>
      <c r="H968">
        <f ca="1">IFERROR(IF(0=LEN(ReferenceData!$H$968),"",ReferenceData!$H$968),"")</f>
        <v>0.25419999700000001</v>
      </c>
      <c r="I968">
        <f ca="1">IFERROR(IF(0=LEN(ReferenceData!$I$968),"",ReferenceData!$I$968),"")</f>
        <v>0.28829998800000001</v>
      </c>
      <c r="J968">
        <f ca="1">IFERROR(IF(0=LEN(ReferenceData!$J$968),"",ReferenceData!$J$968),"")</f>
        <v>0.31820001199999998</v>
      </c>
    </row>
    <row r="969" spans="1:10" x14ac:dyDescent="0.25">
      <c r="A969" t="str">
        <f>IFERROR(IF(0=LEN(ReferenceData!$A$969),"",ReferenceData!$A$969),"")</f>
        <v xml:space="preserve">                    Hewlett Packard Enterprise Co</v>
      </c>
      <c r="B969" t="str">
        <f>IFERROR(IF(0=LEN(ReferenceData!$B$969),"",ReferenceData!$B$969),"")</f>
        <v>HPE US Equity</v>
      </c>
      <c r="C969" t="str">
        <f>IFERROR(IF(0=LEN(ReferenceData!$C$969),"",ReferenceData!$C$969),"")</f>
        <v>F0946</v>
      </c>
      <c r="D969" t="str">
        <f>IFERROR(IF(0=LEN(ReferenceData!$D$969),"",ReferenceData!$D$969),"")</f>
        <v>TOTAL_GHG_CO2_EMISSIONS</v>
      </c>
      <c r="E969" t="str">
        <f>IFERROR(IF(0=LEN(ReferenceData!$E$969),"",ReferenceData!$E$969),"")</f>
        <v>Dynamic</v>
      </c>
      <c r="F969" t="str">
        <f ca="1">IFERROR(IF(0=LEN(ReferenceData!$F$969),"",ReferenceData!$F$969),"")</f>
        <v/>
      </c>
      <c r="G969">
        <f ca="1">IFERROR(IF(0=LEN(ReferenceData!$G$969),"",ReferenceData!$G$969),"")</f>
        <v>0.30634399400000001</v>
      </c>
      <c r="H969">
        <f ca="1">IFERROR(IF(0=LEN(ReferenceData!$H$969),"",ReferenceData!$H$969),"")</f>
        <v>0.342618011</v>
      </c>
      <c r="I969">
        <f ca="1">IFERROR(IF(0=LEN(ReferenceData!$I$969),"",ReferenceData!$I$969),"")</f>
        <v>0.37051098599999999</v>
      </c>
      <c r="J969">
        <f ca="1">IFERROR(IF(0=LEN(ReferenceData!$J$969),"",ReferenceData!$J$969),"")</f>
        <v>0.40301800500000001</v>
      </c>
    </row>
    <row r="970" spans="1:10" x14ac:dyDescent="0.25">
      <c r="A970" t="str">
        <f>IFERROR(IF(0=LEN(ReferenceData!$A$970),"",ReferenceData!$A$970),"")</f>
        <v xml:space="preserve">                    Inspur Electronic Information</v>
      </c>
      <c r="B970" t="str">
        <f>IFERROR(IF(0=LEN(ReferenceData!$B$970),"",ReferenceData!$B$970),"")</f>
        <v>000977 CH Equity</v>
      </c>
      <c r="C970" t="str">
        <f>IFERROR(IF(0=LEN(ReferenceData!$C$970),"",ReferenceData!$C$970),"")</f>
        <v>F0946</v>
      </c>
      <c r="D970" t="str">
        <f>IFERROR(IF(0=LEN(ReferenceData!$D$970),"",ReferenceData!$D$970),"")</f>
        <v>TOTAL_GHG_CO2_EMISSIONS</v>
      </c>
      <c r="E970" t="str">
        <f>IFERROR(IF(0=LEN(ReferenceData!$E$970),"",ReferenceData!$E$970),"")</f>
        <v>Dynamic</v>
      </c>
      <c r="F970">
        <f ca="1">IFERROR(IF(0=LEN(ReferenceData!$F$970),"",ReferenceData!$F$970),"")</f>
        <v>3.6759102000000002E-2</v>
      </c>
      <c r="G970">
        <f ca="1">IFERROR(IF(0=LEN(ReferenceData!$G$970),"",ReferenceData!$G$970),"")</f>
        <v>2.72003E-2</v>
      </c>
      <c r="H970" t="str">
        <f ca="1">IFERROR(IF(0=LEN(ReferenceData!$H$970),"",ReferenceData!$H$970),"")</f>
        <v/>
      </c>
      <c r="I970" t="str">
        <f ca="1">IFERROR(IF(0=LEN(ReferenceData!$I$970),"",ReferenceData!$I$970),"")</f>
        <v/>
      </c>
      <c r="J970" t="str">
        <f ca="1">IFERROR(IF(0=LEN(ReferenceData!$J$970),"",ReferenceData!$J$970),"")</f>
        <v/>
      </c>
    </row>
    <row r="971" spans="1:10" x14ac:dyDescent="0.25">
      <c r="A971" t="str">
        <f>IFERROR(IF(0=LEN(ReferenceData!$A$971),"",ReferenceData!$A$971),"")</f>
        <v xml:space="preserve">                    International Business Machine</v>
      </c>
      <c r="B971" t="str">
        <f>IFERROR(IF(0=LEN(ReferenceData!$B$971),"",ReferenceData!$B$971),"")</f>
        <v>IBM US Equity</v>
      </c>
      <c r="C971" t="str">
        <f>IFERROR(IF(0=LEN(ReferenceData!$C$971),"",ReferenceData!$C$971),"")</f>
        <v>F0946</v>
      </c>
      <c r="D971" t="str">
        <f>IFERROR(IF(0=LEN(ReferenceData!$D$971),"",ReferenceData!$D$971),"")</f>
        <v>TOTAL_GHG_CO2_EMISSIONS</v>
      </c>
      <c r="E971" t="str">
        <f>IFERROR(IF(0=LEN(ReferenceData!$E$971),"",ReferenceData!$E$971),"")</f>
        <v>Dynamic</v>
      </c>
      <c r="F971" t="str">
        <f ca="1">IFERROR(IF(0=LEN(ReferenceData!$F$971),"",ReferenceData!$F$971),"")</f>
        <v/>
      </c>
      <c r="G971">
        <f ca="1">IFERROR(IF(0=LEN(ReferenceData!$G$971),"",ReferenceData!$G$971),"")</f>
        <v>0.78056701699999997</v>
      </c>
      <c r="H971">
        <f ca="1">IFERROR(IF(0=LEN(ReferenceData!$H$971),"",ReferenceData!$H$971),"")</f>
        <v>0.91970001199999996</v>
      </c>
      <c r="I971">
        <f ca="1">IFERROR(IF(0=LEN(ReferenceData!$I$971),"",ReferenceData!$I$971),"")</f>
        <v>1.1047900390000001</v>
      </c>
      <c r="J971">
        <f ca="1">IFERROR(IF(0=LEN(ReferenceData!$J$971),"",ReferenceData!$J$971),"")</f>
        <v>1.2576600339999999</v>
      </c>
    </row>
    <row r="972" spans="1:10" x14ac:dyDescent="0.25">
      <c r="A972" t="str">
        <f>IFERROR(IF(0=LEN(ReferenceData!$A$972),"",ReferenceData!$A$972),"")</f>
        <v xml:space="preserve">                    Lenovo Group Ltd</v>
      </c>
      <c r="B972" t="str">
        <f>IFERROR(IF(0=LEN(ReferenceData!$B$972),"",ReferenceData!$B$972),"")</f>
        <v>992 HK Equity</v>
      </c>
      <c r="C972" t="str">
        <f>IFERROR(IF(0=LEN(ReferenceData!$C$972),"",ReferenceData!$C$972),"")</f>
        <v>F0946</v>
      </c>
      <c r="D972" t="str">
        <f>IFERROR(IF(0=LEN(ReferenceData!$D$972),"",ReferenceData!$D$972),"")</f>
        <v>TOTAL_GHG_CO2_EMISSIONS</v>
      </c>
      <c r="E972" t="str">
        <f>IFERROR(IF(0=LEN(ReferenceData!$E$972),"",ReferenceData!$E$972),"")</f>
        <v>Dynamic</v>
      </c>
      <c r="F972" t="str">
        <f ca="1">IFERROR(IF(0=LEN(ReferenceData!$F$972),"",ReferenceData!$F$972),"")</f>
        <v/>
      </c>
      <c r="G972">
        <f ca="1">IFERROR(IF(0=LEN(ReferenceData!$G$972),"",ReferenceData!$G$972),"")</f>
        <v>0.197847</v>
      </c>
      <c r="H972">
        <f ca="1">IFERROR(IF(0=LEN(ReferenceData!$H$972),"",ReferenceData!$H$972),"")</f>
        <v>0.184947006</v>
      </c>
      <c r="I972">
        <f ca="1">IFERROR(IF(0=LEN(ReferenceData!$I$972),"",ReferenceData!$I$972),"")</f>
        <v>0.17036300700000001</v>
      </c>
      <c r="J972">
        <f ca="1">IFERROR(IF(0=LEN(ReferenceData!$J$972),"",ReferenceData!$J$972),"")</f>
        <v>0.20735200500000001</v>
      </c>
    </row>
    <row r="973" spans="1:10" x14ac:dyDescent="0.25">
      <c r="A973" t="str">
        <f>IFERROR(IF(0=LEN(ReferenceData!$A$973),"",ReferenceData!$A$973),"")</f>
        <v xml:space="preserve">                    NEC Corp</v>
      </c>
      <c r="B973" t="str">
        <f>IFERROR(IF(0=LEN(ReferenceData!$B$973),"",ReferenceData!$B$973),"")</f>
        <v>6701 JP Equity</v>
      </c>
      <c r="C973" t="str">
        <f>IFERROR(IF(0=LEN(ReferenceData!$C$973),"",ReferenceData!$C$973),"")</f>
        <v>F0946</v>
      </c>
      <c r="D973" t="str">
        <f>IFERROR(IF(0=LEN(ReferenceData!$D$973),"",ReferenceData!$D$973),"")</f>
        <v>TOTAL_GHG_CO2_EMISSIONS</v>
      </c>
      <c r="E973" t="str">
        <f>IFERROR(IF(0=LEN(ReferenceData!$E$973),"",ReferenceData!$E$973),"")</f>
        <v>Dynamic</v>
      </c>
      <c r="F973" t="str">
        <f ca="1">IFERROR(IF(0=LEN(ReferenceData!$F$973),"",ReferenceData!$F$973),"")</f>
        <v/>
      </c>
      <c r="G973">
        <f ca="1">IFERROR(IF(0=LEN(ReferenceData!$G$973),"",ReferenceData!$G$973),"")</f>
        <v>0.32400000000000001</v>
      </c>
      <c r="H973">
        <f ca="1">IFERROR(IF(0=LEN(ReferenceData!$H$973),"",ReferenceData!$H$973),"")</f>
        <v>0.32700000000000001</v>
      </c>
      <c r="I973">
        <f ca="1">IFERROR(IF(0=LEN(ReferenceData!$I$973),"",ReferenceData!$I$973),"")</f>
        <v>0.373</v>
      </c>
      <c r="J973">
        <f ca="1">IFERROR(IF(0=LEN(ReferenceData!$J$973),"",ReferenceData!$J$973),"")</f>
        <v>0.32900000000000001</v>
      </c>
    </row>
    <row r="974" spans="1:10" x14ac:dyDescent="0.25">
      <c r="A974" t="str">
        <f>IFERROR(IF(0=LEN(ReferenceData!$A$974),"",ReferenceData!$A$974),"")</f>
        <v xml:space="preserve">                    NVIDIA Corp</v>
      </c>
      <c r="B974" t="str">
        <f>IFERROR(IF(0=LEN(ReferenceData!$B$974),"",ReferenceData!$B$974),"")</f>
        <v>NVDA US Equity</v>
      </c>
      <c r="C974" t="str">
        <f>IFERROR(IF(0=LEN(ReferenceData!$C$974),"",ReferenceData!$C$974),"")</f>
        <v>F0946</v>
      </c>
      <c r="D974" t="str">
        <f>IFERROR(IF(0=LEN(ReferenceData!$D$974),"",ReferenceData!$D$974),"")</f>
        <v>TOTAL_GHG_CO2_EMISSIONS</v>
      </c>
      <c r="E974" t="str">
        <f>IFERROR(IF(0=LEN(ReferenceData!$E$974),"",ReferenceData!$E$974),"")</f>
        <v>Dynamic</v>
      </c>
      <c r="F974" t="str">
        <f ca="1">IFERROR(IF(0=LEN(ReferenceData!$F$974),"",ReferenceData!$F$974),"")</f>
        <v/>
      </c>
      <c r="G974">
        <f ca="1">IFERROR(IF(0=LEN(ReferenceData!$G$974),"",ReferenceData!$G$974),"")</f>
        <v>0.138181</v>
      </c>
      <c r="H974">
        <f ca="1">IFERROR(IF(0=LEN(ReferenceData!$H$974),"",ReferenceData!$H$974),"")</f>
        <v>0.108313004</v>
      </c>
      <c r="I974">
        <f ca="1">IFERROR(IF(0=LEN(ReferenceData!$I$974),"",ReferenceData!$I$974),"")</f>
        <v>7.7509003000000007E-2</v>
      </c>
      <c r="J974">
        <f ca="1">IFERROR(IF(0=LEN(ReferenceData!$J$974),"",ReferenceData!$J$974),"")</f>
        <v>6.7611000000000004E-2</v>
      </c>
    </row>
    <row r="975" spans="1:10" x14ac:dyDescent="0.25">
      <c r="A975" t="str">
        <f>IFERROR(IF(0=LEN(ReferenceData!$A$975),"",ReferenceData!$A$975),"")</f>
        <v xml:space="preserve">                    Oracle Corp</v>
      </c>
      <c r="B975" t="str">
        <f>IFERROR(IF(0=LEN(ReferenceData!$B$975),"",ReferenceData!$B$975),"")</f>
        <v>ORCL US Equity</v>
      </c>
      <c r="C975" t="str">
        <f>IFERROR(IF(0=LEN(ReferenceData!$C$975),"",ReferenceData!$C$975),"")</f>
        <v>F0946</v>
      </c>
      <c r="D975" t="str">
        <f>IFERROR(IF(0=LEN(ReferenceData!$D$975),"",ReferenceData!$D$975),"")</f>
        <v>TOTAL_GHG_CO2_EMISSIONS</v>
      </c>
      <c r="E975" t="str">
        <f>IFERROR(IF(0=LEN(ReferenceData!$E$975),"",ReferenceData!$E$975),"")</f>
        <v>Dynamic</v>
      </c>
      <c r="F975" t="str">
        <f ca="1">IFERROR(IF(0=LEN(ReferenceData!$F$975),"",ReferenceData!$F$975),"")</f>
        <v/>
      </c>
      <c r="G975">
        <f ca="1">IFERROR(IF(0=LEN(ReferenceData!$G$975),"",ReferenceData!$G$975),"")</f>
        <v>0.65731500200000004</v>
      </c>
      <c r="H975">
        <f ca="1">IFERROR(IF(0=LEN(ReferenceData!$H$975),"",ReferenceData!$H$975),"")</f>
        <v>0.61262902799999996</v>
      </c>
      <c r="I975">
        <f ca="1">IFERROR(IF(0=LEN(ReferenceData!$I$975),"",ReferenceData!$I$975),"")</f>
        <v>0.57720300300000005</v>
      </c>
      <c r="J975">
        <f ca="1">IFERROR(IF(0=LEN(ReferenceData!$J$975),"",ReferenceData!$J$975),"")</f>
        <v>0.50700100699999995</v>
      </c>
    </row>
    <row r="976" spans="1:10" x14ac:dyDescent="0.25">
      <c r="A976" t="str">
        <f>IFERROR(IF(0=LEN(ReferenceData!$A$976),"",ReferenceData!$A$976),"")</f>
        <v xml:space="preserve">                    Super Micro Computer Inc</v>
      </c>
      <c r="B976" t="str">
        <f>IFERROR(IF(0=LEN(ReferenceData!$B$976),"",ReferenceData!$B$976),"")</f>
        <v>SMCI US Equity</v>
      </c>
      <c r="C976" t="str">
        <f>IFERROR(IF(0=LEN(ReferenceData!$C$976),"",ReferenceData!$C$976),"")</f>
        <v>F0946</v>
      </c>
      <c r="D976" t="str">
        <f>IFERROR(IF(0=LEN(ReferenceData!$D$976),"",ReferenceData!$D$976),"")</f>
        <v>TOTAL_GHG_CO2_EMISSIONS</v>
      </c>
      <c r="E976" t="str">
        <f>IFERROR(IF(0=LEN(ReferenceData!$E$976),"",ReferenceData!$E$976),"")</f>
        <v>Dynamic</v>
      </c>
      <c r="F976" t="str">
        <f ca="1">IFERROR(IF(0=LEN(ReferenceData!$F$976),"",ReferenceData!$F$976),"")</f>
        <v/>
      </c>
      <c r="G976" t="str">
        <f ca="1">IFERROR(IF(0=LEN(ReferenceData!$G$976),"",ReferenceData!$G$976),"")</f>
        <v/>
      </c>
      <c r="H976">
        <f ca="1">IFERROR(IF(0=LEN(ReferenceData!$H$976),"",ReferenceData!$H$976),"")</f>
        <v>8.0029999999999997E-3</v>
      </c>
      <c r="I976" t="str">
        <f ca="1">IFERROR(IF(0=LEN(ReferenceData!$I$976),"",ReferenceData!$I$976),"")</f>
        <v/>
      </c>
      <c r="J976" t="str">
        <f ca="1">IFERROR(IF(0=LEN(ReferenceData!$J$976),"",ReferenceData!$J$976),"")</f>
        <v/>
      </c>
    </row>
    <row r="977" spans="1:10" x14ac:dyDescent="0.25">
      <c r="A977" t="str">
        <f>IFERROR(IF(0=LEN(ReferenceData!$A$977),"",ReferenceData!$A$977),"")</f>
        <v xml:space="preserve">                    Teradata Corp</v>
      </c>
      <c r="B977" t="str">
        <f>IFERROR(IF(0=LEN(ReferenceData!$B$977),"",ReferenceData!$B$977),"")</f>
        <v>TDC US Equity</v>
      </c>
      <c r="C977" t="str">
        <f>IFERROR(IF(0=LEN(ReferenceData!$C$977),"",ReferenceData!$C$977),"")</f>
        <v>F0946</v>
      </c>
      <c r="D977" t="str">
        <f>IFERROR(IF(0=LEN(ReferenceData!$D$977),"",ReferenceData!$D$977),"")</f>
        <v>TOTAL_GHG_CO2_EMISSIONS</v>
      </c>
      <c r="E977" t="str">
        <f>IFERROR(IF(0=LEN(ReferenceData!$E$977),"",ReferenceData!$E$977),"")</f>
        <v>Dynamic</v>
      </c>
      <c r="F977" t="str">
        <f ca="1">IFERROR(IF(0=LEN(ReferenceData!$F$977),"",ReferenceData!$F$977),"")</f>
        <v/>
      </c>
      <c r="G977">
        <f ca="1">IFERROR(IF(0=LEN(ReferenceData!$G$977),"",ReferenceData!$G$977),"")</f>
        <v>1.0200000000000001E-2</v>
      </c>
      <c r="H977">
        <f ca="1">IFERROR(IF(0=LEN(ReferenceData!$H$977),"",ReferenceData!$H$977),"")</f>
        <v>1.0827E-2</v>
      </c>
      <c r="I977">
        <f ca="1">IFERROR(IF(0=LEN(ReferenceData!$I$977),"",ReferenceData!$I$977),"")</f>
        <v>1.6719000000000001E-2</v>
      </c>
      <c r="J977">
        <f ca="1">IFERROR(IF(0=LEN(ReferenceData!$J$977),"",ReferenceData!$J$977),"")</f>
        <v>1.8495999999999999E-2</v>
      </c>
    </row>
    <row r="978" spans="1:10" x14ac:dyDescent="0.25">
      <c r="A978" t="str">
        <f>IFERROR(IF(0=LEN(ReferenceData!$A$978),"",ReferenceData!$A$978),"")</f>
        <v xml:space="preserve">                    Toshiba Corp</v>
      </c>
      <c r="B978" t="str">
        <f>IFERROR(IF(0=LEN(ReferenceData!$B$978),"",ReferenceData!$B$978),"")</f>
        <v>6502 JP Equity</v>
      </c>
      <c r="C978" t="str">
        <f>IFERROR(IF(0=LEN(ReferenceData!$C$978),"",ReferenceData!$C$978),"")</f>
        <v>F0946</v>
      </c>
      <c r="D978" t="str">
        <f>IFERROR(IF(0=LEN(ReferenceData!$D$978),"",ReferenceData!$D$978),"")</f>
        <v>TOTAL_GHG_CO2_EMISSIONS</v>
      </c>
      <c r="E978" t="str">
        <f>IFERROR(IF(0=LEN(ReferenceData!$E$978),"",ReferenceData!$E$978),"")</f>
        <v>Dynamic</v>
      </c>
      <c r="F978" t="str">
        <f ca="1">IFERROR(IF(0=LEN(ReferenceData!$F$978),"",ReferenceData!$F$978),"")</f>
        <v/>
      </c>
      <c r="G978">
        <f ca="1">IFERROR(IF(0=LEN(ReferenceData!$G$978),"",ReferenceData!$G$978),"")</f>
        <v>1.022859985</v>
      </c>
      <c r="H978">
        <f ca="1">IFERROR(IF(0=LEN(ReferenceData!$H$978),"",ReferenceData!$H$978),"")</f>
        <v>1.05</v>
      </c>
      <c r="I978">
        <f ca="1">IFERROR(IF(0=LEN(ReferenceData!$I$978),"",ReferenceData!$I$978),"")</f>
        <v>1.1399999999999999</v>
      </c>
      <c r="J978">
        <f ca="1">IFERROR(IF(0=LEN(ReferenceData!$J$978),"",ReferenceData!$J$978),"")</f>
        <v>1.24</v>
      </c>
    </row>
    <row r="979" spans="1:10" x14ac:dyDescent="0.25">
      <c r="A979" t="str">
        <f>IFERROR(IF(0=LEN(ReferenceData!$A$979),"",ReferenceData!$A$979),"")</f>
        <v xml:space="preserve">                    Unisys Corp</v>
      </c>
      <c r="B979" t="str">
        <f>IFERROR(IF(0=LEN(ReferenceData!$B$979),"",ReferenceData!$B$979),"")</f>
        <v>UIS US Equity</v>
      </c>
      <c r="C979" t="str">
        <f>IFERROR(IF(0=LEN(ReferenceData!$C$979),"",ReferenceData!$C$979),"")</f>
        <v>F0946</v>
      </c>
      <c r="D979" t="str">
        <f>IFERROR(IF(0=LEN(ReferenceData!$D$979),"",ReferenceData!$D$979),"")</f>
        <v>TOTAL_GHG_CO2_EMISSIONS</v>
      </c>
      <c r="E979" t="str">
        <f>IFERROR(IF(0=LEN(ReferenceData!$E$979),"",ReferenceData!$E$979),"")</f>
        <v>Dynamic</v>
      </c>
      <c r="F979" t="str">
        <f ca="1">IFERROR(IF(0=LEN(ReferenceData!$F$979),"",ReferenceData!$F$979),"")</f>
        <v/>
      </c>
      <c r="G979" t="str">
        <f ca="1">IFERROR(IF(0=LEN(ReferenceData!$G$979),"",ReferenceData!$G$979),"")</f>
        <v/>
      </c>
      <c r="H979" t="str">
        <f ca="1">IFERROR(IF(0=LEN(ReferenceData!$H$979),"",ReferenceData!$H$979),"")</f>
        <v/>
      </c>
      <c r="I979" t="str">
        <f ca="1">IFERROR(IF(0=LEN(ReferenceData!$I$979),"",ReferenceData!$I$979),"")</f>
        <v/>
      </c>
      <c r="J979" t="str">
        <f ca="1">IFERROR(IF(0=LEN(ReferenceData!$J$979),"",ReferenceData!$J$979),"")</f>
        <v/>
      </c>
    </row>
    <row r="980" spans="1:10" x14ac:dyDescent="0.25">
      <c r="A980" t="str">
        <f>IFERROR(IF(0=LEN(ReferenceData!$A$980),"",ReferenceData!$A$980),"")</f>
        <v xml:space="preserve">            Mobile Handset Manufacturers</v>
      </c>
      <c r="B980" t="str">
        <f>IFERROR(IF(0=LEN(ReferenceData!$B$980),"",ReferenceData!$B$980),"")</f>
        <v/>
      </c>
      <c r="C980" t="str">
        <f>IFERROR(IF(0=LEN(ReferenceData!$C$980),"",ReferenceData!$C$980),"")</f>
        <v/>
      </c>
      <c r="D980" t="str">
        <f>IFERROR(IF(0=LEN(ReferenceData!$D$980),"",ReferenceData!$D$980),"")</f>
        <v/>
      </c>
      <c r="E980" t="str">
        <f>IFERROR(IF(0=LEN(ReferenceData!$E$980),"",ReferenceData!$E$980),"")</f>
        <v>Sum</v>
      </c>
      <c r="F980">
        <f ca="1">IFERROR(IF(0=LEN(ReferenceData!$F$980),"",ReferenceData!$F$980),"")</f>
        <v>1.2193872649999999</v>
      </c>
      <c r="G980">
        <f ca="1">IFERROR(IF(0=LEN(ReferenceData!$G$980),"",ReferenceData!$G$980),"")</f>
        <v>32.348558564000001</v>
      </c>
      <c r="H980">
        <f ca="1">IFERROR(IF(0=LEN(ReferenceData!$H$980),"",ReferenceData!$H$980),"")</f>
        <v>33.687723291000005</v>
      </c>
      <c r="I980">
        <f ca="1">IFERROR(IF(0=LEN(ReferenceData!$I$980),"",ReferenceData!$I$980),"")</f>
        <v>30.637234682000003</v>
      </c>
      <c r="J980">
        <f ca="1">IFERROR(IF(0=LEN(ReferenceData!$J$980),"",ReferenceData!$J$980),"")</f>
        <v>28.592388063000001</v>
      </c>
    </row>
    <row r="981" spans="1:10" x14ac:dyDescent="0.25">
      <c r="A981" t="str">
        <f>IFERROR(IF(0=LEN(ReferenceData!$A$981),"",ReferenceData!$A$981),"")</f>
        <v xml:space="preserve">            Apple Inc</v>
      </c>
      <c r="B981" t="str">
        <f>IFERROR(IF(0=LEN(ReferenceData!$B$981),"",ReferenceData!$B$981),"")</f>
        <v>AAPL US Equity</v>
      </c>
      <c r="C981" t="str">
        <f>IFERROR(IF(0=LEN(ReferenceData!$C$981),"",ReferenceData!$C$981),"")</f>
        <v>F0946</v>
      </c>
      <c r="D981" t="str">
        <f>IFERROR(IF(0=LEN(ReferenceData!$D$981),"",ReferenceData!$D$981),"")</f>
        <v>TOTAL_GHG_CO2_EMISSIONS</v>
      </c>
      <c r="E981" t="str">
        <f>IFERROR(IF(0=LEN(ReferenceData!$E$981),"",ReferenceData!$E$981),"")</f>
        <v>Dynamic</v>
      </c>
      <c r="F981">
        <f ca="1">IFERROR(IF(0=LEN(ReferenceData!$F$981),"",ReferenceData!$F$981),"")</f>
        <v>1.1205999760000001</v>
      </c>
      <c r="G981">
        <f ca="1">IFERROR(IF(0=LEN(ReferenceData!$G$981),"",ReferenceData!$G$981),"")</f>
        <v>1.0584499510000001</v>
      </c>
      <c r="H981">
        <f ca="1">IFERROR(IF(0=LEN(ReferenceData!$H$981),"",ReferenceData!$H$981),"")</f>
        <v>0.93763000500000004</v>
      </c>
      <c r="I981">
        <f ca="1">IFERROR(IF(0=LEN(ReferenceData!$I$981),"",ReferenceData!$I$981),"")</f>
        <v>0.912676025</v>
      </c>
      <c r="J981">
        <f ca="1">IFERROR(IF(0=LEN(ReferenceData!$J$981),"",ReferenceData!$J$981),"")</f>
        <v>0.83109002700000001</v>
      </c>
    </row>
    <row r="982" spans="1:10" x14ac:dyDescent="0.25">
      <c r="A982" t="str">
        <f>IFERROR(IF(0=LEN(ReferenceData!$A$982),"",ReferenceData!$A$982),"")</f>
        <v xml:space="preserve">            Alphabet Inc</v>
      </c>
      <c r="B982" t="str">
        <f>IFERROR(IF(0=LEN(ReferenceData!$B$982),"",ReferenceData!$B$982),"")</f>
        <v>GOOGL US Equity</v>
      </c>
      <c r="C982" t="str">
        <f>IFERROR(IF(0=LEN(ReferenceData!$C$982),"",ReferenceData!$C$982),"")</f>
        <v>F0946</v>
      </c>
      <c r="D982" t="str">
        <f>IFERROR(IF(0=LEN(ReferenceData!$D$982),"",ReferenceData!$D$982),"")</f>
        <v>TOTAL_GHG_CO2_EMISSIONS</v>
      </c>
      <c r="E982" t="str">
        <f>IFERROR(IF(0=LEN(ReferenceData!$E$982),"",ReferenceData!$E$982),"")</f>
        <v>Dynamic</v>
      </c>
      <c r="F982" t="str">
        <f ca="1">IFERROR(IF(0=LEN(ReferenceData!$F$982),"",ReferenceData!$F$982),"")</f>
        <v/>
      </c>
      <c r="G982">
        <f ca="1">IFERROR(IF(0=LEN(ReferenceData!$G$982),"",ReferenceData!$G$982),"")</f>
        <v>6.6213100589999998</v>
      </c>
      <c r="H982">
        <f ca="1">IFERROR(IF(0=LEN(ReferenceData!$H$982),"",ReferenceData!$H$982),"")</f>
        <v>5.9037900390000004</v>
      </c>
      <c r="I982">
        <f ca="1">IFERROR(IF(0=LEN(ReferenceData!$I$982),"",ReferenceData!$I$982),"")</f>
        <v>5.183629883</v>
      </c>
      <c r="J982">
        <f ca="1">IFERROR(IF(0=LEN(ReferenceData!$J$982),"",ReferenceData!$J$982),"")</f>
        <v>4.4082099609999998</v>
      </c>
    </row>
    <row r="983" spans="1:10" x14ac:dyDescent="0.25">
      <c r="A983" t="str">
        <f>IFERROR(IF(0=LEN(ReferenceData!$A$983),"",ReferenceData!$A$983),"")</f>
        <v xml:space="preserve">            Dolby Laboratories Inc</v>
      </c>
      <c r="B983" t="str">
        <f>IFERROR(IF(0=LEN(ReferenceData!$B$983),"",ReferenceData!$B$983),"")</f>
        <v>DLB US Equity</v>
      </c>
      <c r="C983" t="str">
        <f>IFERROR(IF(0=LEN(ReferenceData!$C$983),"",ReferenceData!$C$983),"")</f>
        <v>F0946</v>
      </c>
      <c r="D983" t="str">
        <f>IFERROR(IF(0=LEN(ReferenceData!$D$983),"",ReferenceData!$D$983),"")</f>
        <v>TOTAL_GHG_CO2_EMISSIONS</v>
      </c>
      <c r="E983" t="str">
        <f>IFERROR(IF(0=LEN(ReferenceData!$E$983),"",ReferenceData!$E$983),"")</f>
        <v>Dynamic</v>
      </c>
      <c r="F983">
        <f ca="1">IFERROR(IF(0=LEN(ReferenceData!$F$983),"",ReferenceData!$F$983),"")</f>
        <v>5.3319999999999999E-3</v>
      </c>
      <c r="G983">
        <f ca="1">IFERROR(IF(0=LEN(ReferenceData!$G$983),"",ReferenceData!$G$983),"")</f>
        <v>5.2300000000000003E-3</v>
      </c>
      <c r="H983">
        <f ca="1">IFERROR(IF(0=LEN(ReferenceData!$H$983),"",ReferenceData!$H$983),"")</f>
        <v>5.0299999999999997E-3</v>
      </c>
      <c r="I983">
        <f ca="1">IFERROR(IF(0=LEN(ReferenceData!$I$983),"",ReferenceData!$I$983),"")</f>
        <v>4.8310000000000002E-3</v>
      </c>
      <c r="J983" t="str">
        <f ca="1">IFERROR(IF(0=LEN(ReferenceData!$J$983),"",ReferenceData!$J$983),"")</f>
        <v/>
      </c>
    </row>
    <row r="984" spans="1:10" x14ac:dyDescent="0.25">
      <c r="A984" t="str">
        <f>IFERROR(IF(0=LEN(ReferenceData!$A$984),"",ReferenceData!$A$984),"")</f>
        <v xml:space="preserve">            HTC Corp</v>
      </c>
      <c r="B984" t="str">
        <f>IFERROR(IF(0=LEN(ReferenceData!$B$984),"",ReferenceData!$B$984),"")</f>
        <v>2498 TT Equity</v>
      </c>
      <c r="C984" t="str">
        <f>IFERROR(IF(0=LEN(ReferenceData!$C$984),"",ReferenceData!$C$984),"")</f>
        <v>F0946</v>
      </c>
      <c r="D984" t="str">
        <f>IFERROR(IF(0=LEN(ReferenceData!$D$984),"",ReferenceData!$D$984),"")</f>
        <v>TOTAL_GHG_CO2_EMISSIONS</v>
      </c>
      <c r="E984" t="str">
        <f>IFERROR(IF(0=LEN(ReferenceData!$E$984),"",ReferenceData!$E$984),"")</f>
        <v>Dynamic</v>
      </c>
      <c r="F984">
        <f ca="1">IFERROR(IF(0=LEN(ReferenceData!$F$984),"",ReferenceData!$F$984),"")</f>
        <v>7.7126900000000003E-3</v>
      </c>
      <c r="G984">
        <f ca="1">IFERROR(IF(0=LEN(ReferenceData!$G$984),"",ReferenceData!$G$984),"")</f>
        <v>8.3243899999999992E-3</v>
      </c>
      <c r="H984">
        <f ca="1">IFERROR(IF(0=LEN(ReferenceData!$H$984),"",ReferenceData!$H$984),"")</f>
        <v>9.88524E-3</v>
      </c>
      <c r="I984">
        <f ca="1">IFERROR(IF(0=LEN(ReferenceData!$I$984),"",ReferenceData!$I$984),"")</f>
        <v>1.31544E-2</v>
      </c>
      <c r="J984">
        <f ca="1">IFERROR(IF(0=LEN(ReferenceData!$J$984),"",ReferenceData!$J$984),"")</f>
        <v>2.37395E-2</v>
      </c>
    </row>
    <row r="985" spans="1:10" x14ac:dyDescent="0.25">
      <c r="A985" t="str">
        <f>IFERROR(IF(0=LEN(ReferenceData!$A$985),"",ReferenceData!$A$985),"")</f>
        <v xml:space="preserve">            Lenovo Group Ltd</v>
      </c>
      <c r="B985" t="str">
        <f>IFERROR(IF(0=LEN(ReferenceData!$B$985),"",ReferenceData!$B$985),"")</f>
        <v>992 HK Equity</v>
      </c>
      <c r="C985" t="str">
        <f>IFERROR(IF(0=LEN(ReferenceData!$C$985),"",ReferenceData!$C$985),"")</f>
        <v>F0946</v>
      </c>
      <c r="D985" t="str">
        <f>IFERROR(IF(0=LEN(ReferenceData!$D$985),"",ReferenceData!$D$985),"")</f>
        <v>TOTAL_GHG_CO2_EMISSIONS</v>
      </c>
      <c r="E985" t="str">
        <f>IFERROR(IF(0=LEN(ReferenceData!$E$985),"",ReferenceData!$E$985),"")</f>
        <v>Dynamic</v>
      </c>
      <c r="F985" t="str">
        <f ca="1">IFERROR(IF(0=LEN(ReferenceData!$F$985),"",ReferenceData!$F$985),"")</f>
        <v/>
      </c>
      <c r="G985">
        <f ca="1">IFERROR(IF(0=LEN(ReferenceData!$G$985),"",ReferenceData!$G$985),"")</f>
        <v>0.197847</v>
      </c>
      <c r="H985">
        <f ca="1">IFERROR(IF(0=LEN(ReferenceData!$H$985),"",ReferenceData!$H$985),"")</f>
        <v>0.184947006</v>
      </c>
      <c r="I985">
        <f ca="1">IFERROR(IF(0=LEN(ReferenceData!$I$985),"",ReferenceData!$I$985),"")</f>
        <v>0.17036300700000001</v>
      </c>
      <c r="J985">
        <f ca="1">IFERROR(IF(0=LEN(ReferenceData!$J$985),"",ReferenceData!$J$985),"")</f>
        <v>0.20735200500000001</v>
      </c>
    </row>
    <row r="986" spans="1:10" x14ac:dyDescent="0.25">
      <c r="A986" t="str">
        <f>IFERROR(IF(0=LEN(ReferenceData!$A$986),"",ReferenceData!$A$986),"")</f>
        <v xml:space="preserve">            LG Electronics Inc</v>
      </c>
      <c r="B986" t="str">
        <f>IFERROR(IF(0=LEN(ReferenceData!$B$986),"",ReferenceData!$B$986),"")</f>
        <v>066570 KS Equity</v>
      </c>
      <c r="C986" t="str">
        <f>IFERROR(IF(0=LEN(ReferenceData!$C$986),"",ReferenceData!$C$986),"")</f>
        <v>F0946</v>
      </c>
      <c r="D986" t="str">
        <f>IFERROR(IF(0=LEN(ReferenceData!$D$986),"",ReferenceData!$D$986),"")</f>
        <v>TOTAL_GHG_CO2_EMISSIONS</v>
      </c>
      <c r="E986" t="str">
        <f>IFERROR(IF(0=LEN(ReferenceData!$E$986),"",ReferenceData!$E$986),"")</f>
        <v>Dynamic</v>
      </c>
      <c r="F986" t="str">
        <f ca="1">IFERROR(IF(0=LEN(ReferenceData!$F$986),"",ReferenceData!$F$986),"")</f>
        <v/>
      </c>
      <c r="G986">
        <f ca="1">IFERROR(IF(0=LEN(ReferenceData!$G$986),"",ReferenceData!$G$986),"")</f>
        <v>1.1519999999999999</v>
      </c>
      <c r="H986">
        <f ca="1">IFERROR(IF(0=LEN(ReferenceData!$H$986),"",ReferenceData!$H$986),"")</f>
        <v>1.294</v>
      </c>
      <c r="I986">
        <f ca="1">IFERROR(IF(0=LEN(ReferenceData!$I$986),"",ReferenceData!$I$986),"")</f>
        <v>1.4690000000000001</v>
      </c>
      <c r="J986">
        <f ca="1">IFERROR(IF(0=LEN(ReferenceData!$J$986),"",ReferenceData!$J$986),"")</f>
        <v>1.637</v>
      </c>
    </row>
    <row r="987" spans="1:10" x14ac:dyDescent="0.25">
      <c r="A987" t="str">
        <f>IFERROR(IF(0=LEN(ReferenceData!$A$987),"",ReferenceData!$A$987),"")</f>
        <v xml:space="preserve">            Microsoft Corp</v>
      </c>
      <c r="B987" t="str">
        <f>IFERROR(IF(0=LEN(ReferenceData!$B$987),"",ReferenceData!$B$987),"")</f>
        <v>MSFT US Equity</v>
      </c>
      <c r="C987" t="str">
        <f>IFERROR(IF(0=LEN(ReferenceData!$C$987),"",ReferenceData!$C$987),"")</f>
        <v>F0946</v>
      </c>
      <c r="D987" t="str">
        <f>IFERROR(IF(0=LEN(ReferenceData!$D$987),"",ReferenceData!$D$987),"")</f>
        <v>TOTAL_GHG_CO2_EMISSIONS</v>
      </c>
      <c r="E987" t="str">
        <f>IFERROR(IF(0=LEN(ReferenceData!$E$987),"",ReferenceData!$E$987),"")</f>
        <v>Dynamic</v>
      </c>
      <c r="F987" t="str">
        <f ca="1">IFERROR(IF(0=LEN(ReferenceData!$F$987),"",ReferenceData!$F$987),"")</f>
        <v/>
      </c>
      <c r="G987" t="str">
        <f ca="1">IFERROR(IF(0=LEN(ReferenceData!$G$987),"",ReferenceData!$G$987),"")</f>
        <v/>
      </c>
      <c r="H987">
        <f ca="1">IFERROR(IF(0=LEN(ReferenceData!$H$987),"",ReferenceData!$H$987),"")</f>
        <v>4.8688999019999999</v>
      </c>
      <c r="I987">
        <f ca="1">IFERROR(IF(0=LEN(ReferenceData!$I$987),"",ReferenceData!$I$987),"")</f>
        <v>4.2205400390000003</v>
      </c>
      <c r="J987">
        <f ca="1">IFERROR(IF(0=LEN(ReferenceData!$J$987),"",ReferenceData!$J$987),"")</f>
        <v>3.669969971</v>
      </c>
    </row>
    <row r="988" spans="1:10" x14ac:dyDescent="0.25">
      <c r="A988" t="str">
        <f>IFERROR(IF(0=LEN(ReferenceData!$A$988),"",ReferenceData!$A$988),"")</f>
        <v xml:space="preserve">            Samsung Electronics Co Ltd</v>
      </c>
      <c r="B988" t="str">
        <f>IFERROR(IF(0=LEN(ReferenceData!$B$988),"",ReferenceData!$B$988),"")</f>
        <v>005930 KS Equity</v>
      </c>
      <c r="C988" t="str">
        <f>IFERROR(IF(0=LEN(ReferenceData!$C$988),"",ReferenceData!$C$988),"")</f>
        <v>F0946</v>
      </c>
      <c r="D988" t="str">
        <f>IFERROR(IF(0=LEN(ReferenceData!$D$988),"",ReferenceData!$D$988),"")</f>
        <v>TOTAL_GHG_CO2_EMISSIONS</v>
      </c>
      <c r="E988" t="str">
        <f>IFERROR(IF(0=LEN(ReferenceData!$E$988),"",ReferenceData!$E$988),"")</f>
        <v>Dynamic</v>
      </c>
      <c r="F988" t="str">
        <f ca="1">IFERROR(IF(0=LEN(ReferenceData!$F$988),"",ReferenceData!$F$988),"")</f>
        <v/>
      </c>
      <c r="G988">
        <f ca="1">IFERROR(IF(0=LEN(ReferenceData!$G$988),"",ReferenceData!$G$988),"")</f>
        <v>20.170000000000002</v>
      </c>
      <c r="H988">
        <f ca="1">IFERROR(IF(0=LEN(ReferenceData!$H$988),"",ReferenceData!$H$988),"")</f>
        <v>17.579000000000001</v>
      </c>
      <c r="I988">
        <f ca="1">IFERROR(IF(0=LEN(ReferenceData!$I$988),"",ReferenceData!$I$988),"")</f>
        <v>16.065000000000001</v>
      </c>
      <c r="J988">
        <f ca="1">IFERROR(IF(0=LEN(ReferenceData!$J$988),"",ReferenceData!$J$988),"")</f>
        <v>15.173</v>
      </c>
    </row>
    <row r="989" spans="1:10" x14ac:dyDescent="0.25">
      <c r="A989" t="str">
        <f>IFERROR(IF(0=LEN(ReferenceData!$A$989),"",ReferenceData!$A$989),"")</f>
        <v xml:space="preserve">            Sharp Corp/Japan</v>
      </c>
      <c r="B989" t="str">
        <f>IFERROR(IF(0=LEN(ReferenceData!$B$989),"",ReferenceData!$B$989),"")</f>
        <v>6753 JP Equity</v>
      </c>
      <c r="C989" t="str">
        <f>IFERROR(IF(0=LEN(ReferenceData!$C$989),"",ReferenceData!$C$989),"")</f>
        <v>F0946</v>
      </c>
      <c r="D989" t="str">
        <f>IFERROR(IF(0=LEN(ReferenceData!$D$989),"",ReferenceData!$D$989),"")</f>
        <v>TOTAL_GHG_CO2_EMISSIONS</v>
      </c>
      <c r="E989" t="str">
        <f>IFERROR(IF(0=LEN(ReferenceData!$E$989),"",ReferenceData!$E$989),"")</f>
        <v>Dynamic</v>
      </c>
      <c r="F989" t="str">
        <f ca="1">IFERROR(IF(0=LEN(ReferenceData!$F$989),"",ReferenceData!$F$989),"")</f>
        <v/>
      </c>
      <c r="G989">
        <f ca="1">IFERROR(IF(0=LEN(ReferenceData!$G$989),"",ReferenceData!$G$989),"")</f>
        <v>0.98499999999999999</v>
      </c>
      <c r="H989">
        <f ca="1">IFERROR(IF(0=LEN(ReferenceData!$H$989),"",ReferenceData!$H$989),"")</f>
        <v>0.95099999999999996</v>
      </c>
      <c r="I989">
        <f ca="1">IFERROR(IF(0=LEN(ReferenceData!$I$989),"",ReferenceData!$I$989),"")</f>
        <v>0.97399999999999998</v>
      </c>
      <c r="J989">
        <f ca="1">IFERROR(IF(0=LEN(ReferenceData!$J$989),"",ReferenceData!$J$989),"")</f>
        <v>1.077</v>
      </c>
    </row>
    <row r="990" spans="1:10" x14ac:dyDescent="0.25">
      <c r="A990" t="str">
        <f>IFERROR(IF(0=LEN(ReferenceData!$A$990),"",ReferenceData!$A$990),"")</f>
        <v xml:space="preserve">            Sony Group Corp</v>
      </c>
      <c r="B990" t="str">
        <f>IFERROR(IF(0=LEN(ReferenceData!$B$990),"",ReferenceData!$B$990),"")</f>
        <v>6758 JP Equity</v>
      </c>
      <c r="C990" t="str">
        <f>IFERROR(IF(0=LEN(ReferenceData!$C$990),"",ReferenceData!$C$990),"")</f>
        <v>F0946</v>
      </c>
      <c r="D990" t="str">
        <f>IFERROR(IF(0=LEN(ReferenceData!$D$990),"",ReferenceData!$D$990),"")</f>
        <v>TOTAL_GHG_CO2_EMISSIONS</v>
      </c>
      <c r="E990" t="str">
        <f>IFERROR(IF(0=LEN(ReferenceData!$E$990),"",ReferenceData!$E$990),"")</f>
        <v>Dynamic</v>
      </c>
      <c r="F990" t="str">
        <f ca="1">IFERROR(IF(0=LEN(ReferenceData!$F$990),"",ReferenceData!$F$990),"")</f>
        <v/>
      </c>
      <c r="G990">
        <f ca="1">IFERROR(IF(0=LEN(ReferenceData!$G$990),"",ReferenceData!$G$990),"")</f>
        <v>1.262969971</v>
      </c>
      <c r="H990">
        <f ca="1">IFERROR(IF(0=LEN(ReferenceData!$H$990),"",ReferenceData!$H$990),"")</f>
        <v>1.471119995</v>
      </c>
      <c r="I990">
        <f ca="1">IFERROR(IF(0=LEN(ReferenceData!$I$990),"",ReferenceData!$I$990),"")</f>
        <v>1.3887700199999999</v>
      </c>
      <c r="J990">
        <f ca="1">IFERROR(IF(0=LEN(ReferenceData!$J$990),"",ReferenceData!$J$990),"")</f>
        <v>1.376630005</v>
      </c>
    </row>
    <row r="991" spans="1:10" x14ac:dyDescent="0.25">
      <c r="A991" t="str">
        <f>IFERROR(IF(0=LEN(ReferenceData!$A$991),"",ReferenceData!$A$991),"")</f>
        <v xml:space="preserve">            Xiaomi Corp</v>
      </c>
      <c r="B991" t="str">
        <f>IFERROR(IF(0=LEN(ReferenceData!$B$991),"",ReferenceData!$B$991),"")</f>
        <v>1810 HK Equity</v>
      </c>
      <c r="C991" t="str">
        <f>IFERROR(IF(0=LEN(ReferenceData!$C$991),"",ReferenceData!$C$991),"")</f>
        <v>F0946</v>
      </c>
      <c r="D991" t="str">
        <f>IFERROR(IF(0=LEN(ReferenceData!$D$991),"",ReferenceData!$D$991),"")</f>
        <v>TOTAL_GHG_CO2_EMISSIONS</v>
      </c>
      <c r="E991" t="str">
        <f>IFERROR(IF(0=LEN(ReferenceData!$E$991),"",ReferenceData!$E$991),"")</f>
        <v>Dynamic</v>
      </c>
      <c r="F991">
        <f ca="1">IFERROR(IF(0=LEN(ReferenceData!$F$991),"",ReferenceData!$F$991),"")</f>
        <v>8.5742599000000003E-2</v>
      </c>
      <c r="G991">
        <f ca="1">IFERROR(IF(0=LEN(ReferenceData!$G$991),"",ReferenceData!$G$991),"")</f>
        <v>8.2820197999999998E-2</v>
      </c>
      <c r="H991">
        <f ca="1">IFERROR(IF(0=LEN(ReferenceData!$H$991),"",ReferenceData!$H$991),"")</f>
        <v>3.1347099000000003E-2</v>
      </c>
      <c r="I991">
        <f ca="1">IFERROR(IF(0=LEN(ReferenceData!$I$991),"",ReferenceData!$I$991),"")</f>
        <v>2.2782301000000001E-2</v>
      </c>
      <c r="J991">
        <f ca="1">IFERROR(IF(0=LEN(ReferenceData!$J$991),"",ReferenceData!$J$991),"")</f>
        <v>1.30936E-2</v>
      </c>
    </row>
    <row r="992" spans="1:10" x14ac:dyDescent="0.25">
      <c r="A992" t="str">
        <f>IFERROR(IF(0=LEN(ReferenceData!$A$992),"",ReferenceData!$A$992),"")</f>
        <v xml:space="preserve">            ZTE Corp</v>
      </c>
      <c r="B992" t="str">
        <f>IFERROR(IF(0=LEN(ReferenceData!$B$992),"",ReferenceData!$B$992),"")</f>
        <v>763 HK Equity</v>
      </c>
      <c r="C992" t="str">
        <f>IFERROR(IF(0=LEN(ReferenceData!$C$992),"",ReferenceData!$C$992),"")</f>
        <v>F0946</v>
      </c>
      <c r="D992" t="str">
        <f>IFERROR(IF(0=LEN(ReferenceData!$D$992),"",ReferenceData!$D$992),"")</f>
        <v>TOTAL_GHG_CO2_EMISSIONS</v>
      </c>
      <c r="E992" t="str">
        <f>IFERROR(IF(0=LEN(ReferenceData!$E$992),"",ReferenceData!$E$992),"")</f>
        <v>Dynamic</v>
      </c>
      <c r="F992" t="str">
        <f ca="1">IFERROR(IF(0=LEN(ReferenceData!$F$992),"",ReferenceData!$F$992),"")</f>
        <v/>
      </c>
      <c r="G992">
        <f ca="1">IFERROR(IF(0=LEN(ReferenceData!$G$992),"",ReferenceData!$G$992),"")</f>
        <v>0.80460699499999999</v>
      </c>
      <c r="H992">
        <f ca="1">IFERROR(IF(0=LEN(ReferenceData!$H$992),"",ReferenceData!$H$992),"")</f>
        <v>0.451074005</v>
      </c>
      <c r="I992">
        <f ca="1">IFERROR(IF(0=LEN(ReferenceData!$I$992),"",ReferenceData!$I$992),"")</f>
        <v>0.21248800700000001</v>
      </c>
      <c r="J992">
        <f ca="1">IFERROR(IF(0=LEN(ReferenceData!$J$992),"",ReferenceData!$J$992),"")</f>
        <v>0.17530299399999999</v>
      </c>
    </row>
    <row r="993" spans="1:10" x14ac:dyDescent="0.25">
      <c r="A993" t="str">
        <f>IFERROR(IF(0=LEN(ReferenceData!$A$993),"",ReferenceData!$A$993),"")</f>
        <v xml:space="preserve">        Utilities</v>
      </c>
      <c r="B993" t="str">
        <f>IFERROR(IF(0=LEN(ReferenceData!$B$993),"",ReferenceData!$B$993),"")</f>
        <v/>
      </c>
      <c r="C993" t="str">
        <f>IFERROR(IF(0=LEN(ReferenceData!$C$993),"",ReferenceData!$C$993),"")</f>
        <v/>
      </c>
      <c r="D993" t="str">
        <f>IFERROR(IF(0=LEN(ReferenceData!$D$993),"",ReferenceData!$D$993),"")</f>
        <v/>
      </c>
      <c r="E993" t="str">
        <f>IFERROR(IF(0=LEN(ReferenceData!$E$993),"",ReferenceData!$E$993),"")</f>
        <v>Sum</v>
      </c>
      <c r="F993">
        <f ca="1">IFERROR(IF(0=LEN(ReferenceData!$F$993),"",ReferenceData!$F$993),"")</f>
        <v>1692.285578948</v>
      </c>
      <c r="G993">
        <f ca="1">IFERROR(IF(0=LEN(ReferenceData!$G$993),"",ReferenceData!$G$993),"")</f>
        <v>2530.6890310509998</v>
      </c>
      <c r="H993">
        <f ca="1">IFERROR(IF(0=LEN(ReferenceData!$H$993),"",ReferenceData!$H$993),"")</f>
        <v>2775.0323276919999</v>
      </c>
      <c r="I993">
        <f ca="1">IFERROR(IF(0=LEN(ReferenceData!$I$993),"",ReferenceData!$I$993),"")</f>
        <v>2903.6650930599999</v>
      </c>
      <c r="J993">
        <f ca="1">IFERROR(IF(0=LEN(ReferenceData!$J$993),"",ReferenceData!$J$993),"")</f>
        <v>3343.7437840859998</v>
      </c>
    </row>
    <row r="994" spans="1:10" x14ac:dyDescent="0.25">
      <c r="A994" t="str">
        <f>IFERROR(IF(0=LEN(ReferenceData!$A$994),"",ReferenceData!$A$994),"")</f>
        <v xml:space="preserve">            Electric Utilities</v>
      </c>
      <c r="B994" t="str">
        <f>IFERROR(IF(0=LEN(ReferenceData!$B$994),"",ReferenceData!$B$994),"")</f>
        <v/>
      </c>
      <c r="C994" t="str">
        <f>IFERROR(IF(0=LEN(ReferenceData!$C$994),"",ReferenceData!$C$994),"")</f>
        <v/>
      </c>
      <c r="D994" t="str">
        <f>IFERROR(IF(0=LEN(ReferenceData!$D$994),"",ReferenceData!$D$994),"")</f>
        <v/>
      </c>
      <c r="E994" t="str">
        <f>IFERROR(IF(0=LEN(ReferenceData!$E$994),"",ReferenceData!$E$994),"")</f>
        <v>Sum</v>
      </c>
      <c r="F994">
        <f ca="1">IFERROR(IF(0=LEN(ReferenceData!$F$994),"",ReferenceData!$F$994),"")</f>
        <v>1652.011478912</v>
      </c>
      <c r="G994">
        <f ca="1">IFERROR(IF(0=LEN(ReferenceData!$G$994),"",ReferenceData!$G$994),"")</f>
        <v>2472.985138776</v>
      </c>
      <c r="H994">
        <f ca="1">IFERROR(IF(0=LEN(ReferenceData!$H$994),"",ReferenceData!$H$994),"")</f>
        <v>2722.2671364389998</v>
      </c>
      <c r="I994">
        <f ca="1">IFERROR(IF(0=LEN(ReferenceData!$I$994),"",ReferenceData!$I$994),"")</f>
        <v>2851.1191792519999</v>
      </c>
      <c r="J994">
        <f ca="1">IFERROR(IF(0=LEN(ReferenceData!$J$994),"",ReferenceData!$J$994),"")</f>
        <v>3286.8883770719999</v>
      </c>
    </row>
    <row r="995" spans="1:10" x14ac:dyDescent="0.25">
      <c r="A995" t="str">
        <f>IFERROR(IF(0=LEN(ReferenceData!$A$995),"",ReferenceData!$A$995),"")</f>
        <v xml:space="preserve">                North America Regulated Integrated Utilities</v>
      </c>
      <c r="B995" t="str">
        <f>IFERROR(IF(0=LEN(ReferenceData!$B$995),"",ReferenceData!$B$995),"")</f>
        <v/>
      </c>
      <c r="C995" t="str">
        <f>IFERROR(IF(0=LEN(ReferenceData!$C$995),"",ReferenceData!$C$995),"")</f>
        <v/>
      </c>
      <c r="D995" t="str">
        <f>IFERROR(IF(0=LEN(ReferenceData!$D$995),"",ReferenceData!$D$995),"")</f>
        <v/>
      </c>
      <c r="E995" t="str">
        <f>IFERROR(IF(0=LEN(ReferenceData!$E$995),"",ReferenceData!$E$995),"")</f>
        <v>Sum</v>
      </c>
      <c r="F995">
        <f ca="1">IFERROR(IF(0=LEN(ReferenceData!$F$995),"",ReferenceData!$F$995),"")</f>
        <v>124.24646045000001</v>
      </c>
      <c r="G995">
        <f ca="1">IFERROR(IF(0=LEN(ReferenceData!$G$995),"",ReferenceData!$G$995),"")</f>
        <v>505.01937939599998</v>
      </c>
      <c r="H995">
        <f ca="1">IFERROR(IF(0=LEN(ReferenceData!$H$995),"",ReferenceData!$H$995),"")</f>
        <v>463.67333716199994</v>
      </c>
      <c r="I995">
        <f ca="1">IFERROR(IF(0=LEN(ReferenceData!$I$995),"",ReferenceData!$I$995),"")</f>
        <v>545.99228565900012</v>
      </c>
      <c r="J995">
        <f ca="1">IFERROR(IF(0=LEN(ReferenceData!$J$995),"",ReferenceData!$J$995),"")</f>
        <v>606.60112207700001</v>
      </c>
    </row>
    <row r="996" spans="1:10" x14ac:dyDescent="0.25">
      <c r="A996" t="str">
        <f>IFERROR(IF(0=LEN(ReferenceData!$A$996),"",ReferenceData!$A$996),"")</f>
        <v xml:space="preserve">                    ALLETE Inc</v>
      </c>
      <c r="B996" t="str">
        <f>IFERROR(IF(0=LEN(ReferenceData!$B$996),"",ReferenceData!$B$996),"")</f>
        <v>ALE US Equity</v>
      </c>
      <c r="C996" t="str">
        <f>IFERROR(IF(0=LEN(ReferenceData!$C$996),"",ReferenceData!$C$996),"")</f>
        <v>F0946</v>
      </c>
      <c r="D996" t="str">
        <f>IFERROR(IF(0=LEN(ReferenceData!$D$996),"",ReferenceData!$D$996),"")</f>
        <v>TOTAL_GHG_CO2_EMISSIONS</v>
      </c>
      <c r="E996" t="str">
        <f>IFERROR(IF(0=LEN(ReferenceData!$E$996),"",ReferenceData!$E$996),"")</f>
        <v>Dynamic</v>
      </c>
      <c r="F996" t="str">
        <f ca="1">IFERROR(IF(0=LEN(ReferenceData!$F$996),"",ReferenceData!$F$996),"")</f>
        <v/>
      </c>
      <c r="G996">
        <f ca="1">IFERROR(IF(0=LEN(ReferenceData!$G$996),"",ReferenceData!$G$996),"")</f>
        <v>4.4574902339999998</v>
      </c>
      <c r="H996">
        <f ca="1">IFERROR(IF(0=LEN(ReferenceData!$H$996),"",ReferenceData!$H$996),"")</f>
        <v>3.5258100589999999</v>
      </c>
      <c r="I996">
        <f ca="1">IFERROR(IF(0=LEN(ReferenceData!$I$996),"",ReferenceData!$I$996),"")</f>
        <v>6.4735698240000001</v>
      </c>
      <c r="J996">
        <f ca="1">IFERROR(IF(0=LEN(ReferenceData!$J$996),"",ReferenceData!$J$996),"")</f>
        <v>7.5711699220000002</v>
      </c>
    </row>
    <row r="997" spans="1:10" x14ac:dyDescent="0.25">
      <c r="A997" t="str">
        <f>IFERROR(IF(0=LEN(ReferenceData!$A$997),"",ReferenceData!$A$997),"")</f>
        <v xml:space="preserve">                    Ameren Corp</v>
      </c>
      <c r="B997" t="str">
        <f>IFERROR(IF(0=LEN(ReferenceData!$B$997),"",ReferenceData!$B$997),"")</f>
        <v>AEE US Equity</v>
      </c>
      <c r="C997" t="str">
        <f>IFERROR(IF(0=LEN(ReferenceData!$C$997),"",ReferenceData!$C$997),"")</f>
        <v>F0946</v>
      </c>
      <c r="D997" t="str">
        <f>IFERROR(IF(0=LEN(ReferenceData!$D$997),"",ReferenceData!$D$997),"")</f>
        <v>TOTAL_GHG_CO2_EMISSIONS</v>
      </c>
      <c r="E997" t="str">
        <f>IFERROR(IF(0=LEN(ReferenceData!$E$997),"",ReferenceData!$E$997),"")</f>
        <v>Dynamic</v>
      </c>
      <c r="F997" t="str">
        <f ca="1">IFERROR(IF(0=LEN(ReferenceData!$F$997),"",ReferenceData!$F$997),"")</f>
        <v/>
      </c>
      <c r="G997">
        <f ca="1">IFERROR(IF(0=LEN(ReferenceData!$G$997),"",ReferenceData!$G$997),"")</f>
        <v>28.30490039</v>
      </c>
      <c r="H997">
        <f ca="1">IFERROR(IF(0=LEN(ReferenceData!$H$997),"",ReferenceData!$H$997),"")</f>
        <v>26.025300779999998</v>
      </c>
      <c r="I997">
        <f ca="1">IFERROR(IF(0=LEN(ReferenceData!$I$997),"",ReferenceData!$I$997),"")</f>
        <v>24.476500000000001</v>
      </c>
      <c r="J997">
        <f ca="1">IFERROR(IF(0=LEN(ReferenceData!$J$997),"",ReferenceData!$J$997),"")</f>
        <v>29.662599610000001</v>
      </c>
    </row>
    <row r="998" spans="1:10" x14ac:dyDescent="0.25">
      <c r="A998" t="str">
        <f>IFERROR(IF(0=LEN(ReferenceData!$A$998),"",ReferenceData!$A$998),"")</f>
        <v xml:space="preserve">                    American Electric Power Co Inc</v>
      </c>
      <c r="B998" t="str">
        <f>IFERROR(IF(0=LEN(ReferenceData!$B$998),"",ReferenceData!$B$998),"")</f>
        <v>AEP US Equity</v>
      </c>
      <c r="C998" t="str">
        <f>IFERROR(IF(0=LEN(ReferenceData!$C$998),"",ReferenceData!$C$998),"")</f>
        <v>F0946</v>
      </c>
      <c r="D998" t="str">
        <f>IFERROR(IF(0=LEN(ReferenceData!$D$998),"",ReferenceData!$D$998),"")</f>
        <v>TOTAL_GHG_CO2_EMISSIONS</v>
      </c>
      <c r="E998" t="str">
        <f>IFERROR(IF(0=LEN(ReferenceData!$E$998),"",ReferenceData!$E$998),"")</f>
        <v>Dynamic</v>
      </c>
      <c r="F998" t="str">
        <f ca="1">IFERROR(IF(0=LEN(ReferenceData!$F$998),"",ReferenceData!$F$998),"")</f>
        <v/>
      </c>
      <c r="G998">
        <f ca="1">IFERROR(IF(0=LEN(ReferenceData!$G$998),"",ReferenceData!$G$998),"")</f>
        <v>56.719898440000001</v>
      </c>
      <c r="H998">
        <f ca="1">IFERROR(IF(0=LEN(ReferenceData!$H$998),"",ReferenceData!$H$998),"")</f>
        <v>49.680601559999999</v>
      </c>
      <c r="I998">
        <f ca="1">IFERROR(IF(0=LEN(ReferenceData!$I$998),"",ReferenceData!$I$998),"")</f>
        <v>79.290398440000004</v>
      </c>
      <c r="J998">
        <f ca="1">IFERROR(IF(0=LEN(ReferenceData!$J$998),"",ReferenceData!$J$998),"")</f>
        <v>91.100703129999999</v>
      </c>
    </row>
    <row r="999" spans="1:10" x14ac:dyDescent="0.25">
      <c r="A999" t="str">
        <f>IFERROR(IF(0=LEN(ReferenceData!$A$999),"",ReferenceData!$A$999),"")</f>
        <v xml:space="preserve">                    Avista Corp</v>
      </c>
      <c r="B999" t="str">
        <f>IFERROR(IF(0=LEN(ReferenceData!$B$999),"",ReferenceData!$B$999),"")</f>
        <v>AVA US Equity</v>
      </c>
      <c r="C999" t="str">
        <f>IFERROR(IF(0=LEN(ReferenceData!$C$999),"",ReferenceData!$C$999),"")</f>
        <v>F0946</v>
      </c>
      <c r="D999" t="str">
        <f>IFERROR(IF(0=LEN(ReferenceData!$D$999),"",ReferenceData!$D$999),"")</f>
        <v>TOTAL_GHG_CO2_EMISSIONS</v>
      </c>
      <c r="E999" t="str">
        <f>IFERROR(IF(0=LEN(ReferenceData!$E$999),"",ReferenceData!$E$999),"")</f>
        <v>Dynamic</v>
      </c>
      <c r="F999" t="str">
        <f ca="1">IFERROR(IF(0=LEN(ReferenceData!$F$999),"",ReferenceData!$F$999),"")</f>
        <v/>
      </c>
      <c r="G999" t="str">
        <f ca="1">IFERROR(IF(0=LEN(ReferenceData!$G$999),"",ReferenceData!$G$999),"")</f>
        <v/>
      </c>
      <c r="H999">
        <f ca="1">IFERROR(IF(0=LEN(ReferenceData!$H$999),"",ReferenceData!$H$999),"")</f>
        <v>3.1519899900000001</v>
      </c>
      <c r="I999">
        <f ca="1">IFERROR(IF(0=LEN(ReferenceData!$I$999),"",ReferenceData!$I$999),"")</f>
        <v>3.6024099120000002</v>
      </c>
      <c r="J999">
        <f ca="1">IFERROR(IF(0=LEN(ReferenceData!$J$999),"",ReferenceData!$J$999),"")</f>
        <v>3.3025900880000001</v>
      </c>
    </row>
    <row r="1000" spans="1:10" x14ac:dyDescent="0.25">
      <c r="A1000" t="str">
        <f>IFERROR(IF(0=LEN(ReferenceData!$A$1000),"",ReferenceData!$A$1000),"")</f>
        <v xml:space="preserve">                    Alliant Energy Corp</v>
      </c>
      <c r="B1000" t="str">
        <f>IFERROR(IF(0=LEN(ReferenceData!$B$1000),"",ReferenceData!$B$1000),"")</f>
        <v>LNT US Equity</v>
      </c>
      <c r="C1000" t="str">
        <f>IFERROR(IF(0=LEN(ReferenceData!$C$1000),"",ReferenceData!$C$1000),"")</f>
        <v>F0946</v>
      </c>
      <c r="D1000" t="str">
        <f>IFERROR(IF(0=LEN(ReferenceData!$D$1000),"",ReferenceData!$D$1000),"")</f>
        <v>TOTAL_GHG_CO2_EMISSIONS</v>
      </c>
      <c r="E1000" t="str">
        <f>IFERROR(IF(0=LEN(ReferenceData!$E$1000),"",ReferenceData!$E$1000),"")</f>
        <v>Dynamic</v>
      </c>
      <c r="F1000" t="str">
        <f ca="1">IFERROR(IF(0=LEN(ReferenceData!$F$1000),"",ReferenceData!$F$1000),"")</f>
        <v/>
      </c>
      <c r="G1000">
        <f ca="1">IFERROR(IF(0=LEN(ReferenceData!$G$1000),"",ReferenceData!$G$1000),"")</f>
        <v>15.690900389999999</v>
      </c>
      <c r="H1000">
        <f ca="1">IFERROR(IF(0=LEN(ReferenceData!$H$1000),"",ReferenceData!$H$1000),"")</f>
        <v>12.628500000000001</v>
      </c>
      <c r="I1000">
        <f ca="1">IFERROR(IF(0=LEN(ReferenceData!$I$1000),"",ReferenceData!$I$1000),"")</f>
        <v>14.30140039</v>
      </c>
      <c r="J1000">
        <f ca="1">IFERROR(IF(0=LEN(ReferenceData!$J$1000),"",ReferenceData!$J$1000),"")</f>
        <v>17.485199219999998</v>
      </c>
    </row>
    <row r="1001" spans="1:10" x14ac:dyDescent="0.25">
      <c r="A1001" t="str">
        <f>IFERROR(IF(0=LEN(ReferenceData!$A$1001),"",ReferenceData!$A$1001),"")</f>
        <v xml:space="preserve">                    CenterPoint Energy Inc</v>
      </c>
      <c r="B1001" t="str">
        <f>IFERROR(IF(0=LEN(ReferenceData!$B$1001),"",ReferenceData!$B$1001),"")</f>
        <v>CNP US Equity</v>
      </c>
      <c r="C1001" t="str">
        <f>IFERROR(IF(0=LEN(ReferenceData!$C$1001),"",ReferenceData!$C$1001),"")</f>
        <v>F0946</v>
      </c>
      <c r="D1001" t="str">
        <f>IFERROR(IF(0=LEN(ReferenceData!$D$1001),"",ReferenceData!$D$1001),"")</f>
        <v>TOTAL_GHG_CO2_EMISSIONS</v>
      </c>
      <c r="E1001" t="str">
        <f>IFERROR(IF(0=LEN(ReferenceData!$E$1001),"",ReferenceData!$E$1001),"")</f>
        <v>Dynamic</v>
      </c>
      <c r="F1001" t="str">
        <f ca="1">IFERROR(IF(0=LEN(ReferenceData!$F$1001),"",ReferenceData!$F$1001),"")</f>
        <v/>
      </c>
      <c r="G1001">
        <f ca="1">IFERROR(IF(0=LEN(ReferenceData!$G$1001),"",ReferenceData!$G$1001),"")</f>
        <v>7.0957099609999998</v>
      </c>
      <c r="H1001">
        <f ca="1">IFERROR(IF(0=LEN(ReferenceData!$H$1001),"",ReferenceData!$H$1001),"")</f>
        <v>5.2958398439999996</v>
      </c>
      <c r="I1001" t="str">
        <f ca="1">IFERROR(IF(0=LEN(ReferenceData!$I$1001),"",ReferenceData!$I$1001),"")</f>
        <v/>
      </c>
      <c r="J1001" t="str">
        <f ca="1">IFERROR(IF(0=LEN(ReferenceData!$J$1001),"",ReferenceData!$J$1001),"")</f>
        <v/>
      </c>
    </row>
    <row r="1002" spans="1:10" x14ac:dyDescent="0.25">
      <c r="A1002" t="str">
        <f>IFERROR(IF(0=LEN(ReferenceData!$A$1002),"",ReferenceData!$A$1002),"")</f>
        <v xml:space="preserve">                    CMS Energy Corp</v>
      </c>
      <c r="B1002" t="str">
        <f>IFERROR(IF(0=LEN(ReferenceData!$B$1002),"",ReferenceData!$B$1002),"")</f>
        <v>CMS US Equity</v>
      </c>
      <c r="C1002" t="str">
        <f>IFERROR(IF(0=LEN(ReferenceData!$C$1002),"",ReferenceData!$C$1002),"")</f>
        <v>F0946</v>
      </c>
      <c r="D1002" t="str">
        <f>IFERROR(IF(0=LEN(ReferenceData!$D$1002),"",ReferenceData!$D$1002),"")</f>
        <v>TOTAL_GHG_CO2_EMISSIONS</v>
      </c>
      <c r="E1002" t="str">
        <f>IFERROR(IF(0=LEN(ReferenceData!$E$1002),"",ReferenceData!$E$1002),"")</f>
        <v>Dynamic</v>
      </c>
      <c r="F1002" t="str">
        <f ca="1">IFERROR(IF(0=LEN(ReferenceData!$F$1002),"",ReferenceData!$F$1002),"")</f>
        <v/>
      </c>
      <c r="G1002">
        <f ca="1">IFERROR(IF(0=LEN(ReferenceData!$G$1002),"",ReferenceData!$G$1002),"")</f>
        <v>13.841599609999999</v>
      </c>
      <c r="H1002">
        <f ca="1">IFERROR(IF(0=LEN(ReferenceData!$H$1002),"",ReferenceData!$H$1002),"")</f>
        <v>11.5277002</v>
      </c>
      <c r="I1002">
        <f ca="1">IFERROR(IF(0=LEN(ReferenceData!$I$1002),"",ReferenceData!$I$1002),"")</f>
        <v>17.809000000000001</v>
      </c>
      <c r="J1002">
        <f ca="1">IFERROR(IF(0=LEN(ReferenceData!$J$1002),"",ReferenceData!$J$1002),"")</f>
        <v>19.161999999999999</v>
      </c>
    </row>
    <row r="1003" spans="1:10" x14ac:dyDescent="0.25">
      <c r="A1003" t="str">
        <f>IFERROR(IF(0=LEN(ReferenceData!$A$1003),"",ReferenceData!$A$1003),"")</f>
        <v xml:space="preserve">                    Dominion Energy Inc</v>
      </c>
      <c r="B1003" t="str">
        <f>IFERROR(IF(0=LEN(ReferenceData!$B$1003),"",ReferenceData!$B$1003),"")</f>
        <v>D US Equity</v>
      </c>
      <c r="C1003" t="str">
        <f>IFERROR(IF(0=LEN(ReferenceData!$C$1003),"",ReferenceData!$C$1003),"")</f>
        <v>F0946</v>
      </c>
      <c r="D1003" t="str">
        <f>IFERROR(IF(0=LEN(ReferenceData!$D$1003),"",ReferenceData!$D$1003),"")</f>
        <v>TOTAL_GHG_CO2_EMISSIONS</v>
      </c>
      <c r="E1003" t="str">
        <f>IFERROR(IF(0=LEN(ReferenceData!$E$1003),"",ReferenceData!$E$1003),"")</f>
        <v>Dynamic</v>
      </c>
      <c r="F1003" t="str">
        <f ca="1">IFERROR(IF(0=LEN(ReferenceData!$F$1003),"",ReferenceData!$F$1003),"")</f>
        <v/>
      </c>
      <c r="G1003">
        <f ca="1">IFERROR(IF(0=LEN(ReferenceData!$G$1003),"",ReferenceData!$G$1003),"")</f>
        <v>35.01819922</v>
      </c>
      <c r="H1003">
        <f ca="1">IFERROR(IF(0=LEN(ReferenceData!$H$1003),"",ReferenceData!$H$1003),"")</f>
        <v>33.268999999999998</v>
      </c>
      <c r="I1003">
        <f ca="1">IFERROR(IF(0=LEN(ReferenceData!$I$1003),"",ReferenceData!$I$1003),"")</f>
        <v>31.976500000000001</v>
      </c>
      <c r="J1003">
        <f ca="1">IFERROR(IF(0=LEN(ReferenceData!$J$1003),"",ReferenceData!$J$1003),"")</f>
        <v>27.870599609999999</v>
      </c>
    </row>
    <row r="1004" spans="1:10" x14ac:dyDescent="0.25">
      <c r="A1004" t="str">
        <f>IFERROR(IF(0=LEN(ReferenceData!$A$1004),"",ReferenceData!$A$1004),"")</f>
        <v xml:space="preserve">                    DTE Energy Co</v>
      </c>
      <c r="B1004" t="str">
        <f>IFERROR(IF(0=LEN(ReferenceData!$B$1004),"",ReferenceData!$B$1004),"")</f>
        <v>DTE US Equity</v>
      </c>
      <c r="C1004" t="str">
        <f>IFERROR(IF(0=LEN(ReferenceData!$C$1004),"",ReferenceData!$C$1004),"")</f>
        <v>F0946</v>
      </c>
      <c r="D1004" t="str">
        <f>IFERROR(IF(0=LEN(ReferenceData!$D$1004),"",ReferenceData!$D$1004),"")</f>
        <v>TOTAL_GHG_CO2_EMISSIONS</v>
      </c>
      <c r="E1004" t="str">
        <f>IFERROR(IF(0=LEN(ReferenceData!$E$1004),"",ReferenceData!$E$1004),"")</f>
        <v>Dynamic</v>
      </c>
      <c r="F1004" t="str">
        <f ca="1">IFERROR(IF(0=LEN(ReferenceData!$F$1004),"",ReferenceData!$F$1004),"")</f>
        <v/>
      </c>
      <c r="G1004" t="str">
        <f ca="1">IFERROR(IF(0=LEN(ReferenceData!$G$1004),"",ReferenceData!$G$1004),"")</f>
        <v/>
      </c>
      <c r="H1004">
        <f ca="1">IFERROR(IF(0=LEN(ReferenceData!$H$1004),"",ReferenceData!$H$1004),"")</f>
        <v>24.837199219999999</v>
      </c>
      <c r="I1004">
        <f ca="1">IFERROR(IF(0=LEN(ReferenceData!$I$1004),"",ReferenceData!$I$1004),"")</f>
        <v>32.433</v>
      </c>
      <c r="J1004">
        <f ca="1">IFERROR(IF(0=LEN(ReferenceData!$J$1004),"",ReferenceData!$J$1004),"")</f>
        <v>36.183999999999997</v>
      </c>
    </row>
    <row r="1005" spans="1:10" x14ac:dyDescent="0.25">
      <c r="A1005" t="str">
        <f>IFERROR(IF(0=LEN(ReferenceData!$A$1005),"",ReferenceData!$A$1005),"")</f>
        <v xml:space="preserve">                    Duke Energy Corp</v>
      </c>
      <c r="B1005" t="str">
        <f>IFERROR(IF(0=LEN(ReferenceData!$B$1005),"",ReferenceData!$B$1005),"")</f>
        <v>DUK US Equity</v>
      </c>
      <c r="C1005" t="str">
        <f>IFERROR(IF(0=LEN(ReferenceData!$C$1005),"",ReferenceData!$C$1005),"")</f>
        <v>F0946</v>
      </c>
      <c r="D1005" t="str">
        <f>IFERROR(IF(0=LEN(ReferenceData!$D$1005),"",ReferenceData!$D$1005),"")</f>
        <v>TOTAL_GHG_CO2_EMISSIONS</v>
      </c>
      <c r="E1005" t="str">
        <f>IFERROR(IF(0=LEN(ReferenceData!$E$1005),"",ReferenceData!$E$1005),"")</f>
        <v>Dynamic</v>
      </c>
      <c r="F1005">
        <f ca="1">IFERROR(IF(0=LEN(ReferenceData!$F$1005),"",ReferenceData!$F$1005),"")</f>
        <v>8.6104003910000007</v>
      </c>
      <c r="G1005">
        <f ca="1">IFERROR(IF(0=LEN(ReferenceData!$G$1005),"",ReferenceData!$G$1005),"")</f>
        <v>78.050101560000002</v>
      </c>
      <c r="H1005">
        <f ca="1">IFERROR(IF(0=LEN(ReferenceData!$H$1005),"",ReferenceData!$H$1005),"")</f>
        <v>74.979703130000004</v>
      </c>
      <c r="I1005">
        <f ca="1">IFERROR(IF(0=LEN(ReferenceData!$I$1005),"",ReferenceData!$I$1005),"")</f>
        <v>85.530203130000004</v>
      </c>
      <c r="J1005">
        <f ca="1">IFERROR(IF(0=LEN(ReferenceData!$J$1005),"",ReferenceData!$J$1005),"")</f>
        <v>96.572000000000003</v>
      </c>
    </row>
    <row r="1006" spans="1:10" x14ac:dyDescent="0.25">
      <c r="A1006" t="str">
        <f>IFERROR(IF(0=LEN(ReferenceData!$A$1006),"",ReferenceData!$A$1006),"")</f>
        <v xml:space="preserve">                    Edison International</v>
      </c>
      <c r="B1006" t="str">
        <f>IFERROR(IF(0=LEN(ReferenceData!$B$1006),"",ReferenceData!$B$1006),"")</f>
        <v>EIX US Equity</v>
      </c>
      <c r="C1006" t="str">
        <f>IFERROR(IF(0=LEN(ReferenceData!$C$1006),"",ReferenceData!$C$1006),"")</f>
        <v>F0946</v>
      </c>
      <c r="D1006" t="str">
        <f>IFERROR(IF(0=LEN(ReferenceData!$D$1006),"",ReferenceData!$D$1006),"")</f>
        <v>TOTAL_GHG_CO2_EMISSIONS</v>
      </c>
      <c r="E1006" t="str">
        <f>IFERROR(IF(0=LEN(ReferenceData!$E$1006),"",ReferenceData!$E$1006),"")</f>
        <v>Dynamic</v>
      </c>
      <c r="F1006" t="str">
        <f ca="1">IFERROR(IF(0=LEN(ReferenceData!$F$1006),"",ReferenceData!$F$1006),"")</f>
        <v/>
      </c>
      <c r="G1006">
        <f ca="1">IFERROR(IF(0=LEN(ReferenceData!$G$1006),"",ReferenceData!$G$1006),"")</f>
        <v>1.8</v>
      </c>
      <c r="H1006">
        <f ca="1">IFERROR(IF(0=LEN(ReferenceData!$H$1006),"",ReferenceData!$H$1006),"")</f>
        <v>2.2000000000000002</v>
      </c>
      <c r="I1006">
        <f ca="1">IFERROR(IF(0=LEN(ReferenceData!$I$1006),"",ReferenceData!$I$1006),"")</f>
        <v>2.2000000000000002</v>
      </c>
      <c r="J1006">
        <f ca="1">IFERROR(IF(0=LEN(ReferenceData!$J$1006),"",ReferenceData!$J$1006),"")</f>
        <v>2.2000000000000002</v>
      </c>
    </row>
    <row r="1007" spans="1:10" x14ac:dyDescent="0.25">
      <c r="A1007" t="str">
        <f>IFERROR(IF(0=LEN(ReferenceData!$A$1007),"",ReferenceData!$A$1007),"")</f>
        <v xml:space="preserve">                    Entergy Corp</v>
      </c>
      <c r="B1007" t="str">
        <f>IFERROR(IF(0=LEN(ReferenceData!$B$1007),"",ReferenceData!$B$1007),"")</f>
        <v>ETR US Equity</v>
      </c>
      <c r="C1007" t="str">
        <f>IFERROR(IF(0=LEN(ReferenceData!$C$1007),"",ReferenceData!$C$1007),"")</f>
        <v>F0946</v>
      </c>
      <c r="D1007" t="str">
        <f>IFERROR(IF(0=LEN(ReferenceData!$D$1007),"",ReferenceData!$D$1007),"")</f>
        <v>TOTAL_GHG_CO2_EMISSIONS</v>
      </c>
      <c r="E1007" t="str">
        <f>IFERROR(IF(0=LEN(ReferenceData!$E$1007),"",ReferenceData!$E$1007),"")</f>
        <v>Dynamic</v>
      </c>
      <c r="F1007">
        <f ca="1">IFERROR(IF(0=LEN(ReferenceData!$F$1007),"",ReferenceData!$F$1007),"")</f>
        <v>39.503</v>
      </c>
      <c r="G1007">
        <f ca="1">IFERROR(IF(0=LEN(ReferenceData!$G$1007),"",ReferenceData!$G$1007),"")</f>
        <v>35.672499999999999</v>
      </c>
      <c r="H1007">
        <f ca="1">IFERROR(IF(0=LEN(ReferenceData!$H$1007),"",ReferenceData!$H$1007),"")</f>
        <v>33.064300780000003</v>
      </c>
      <c r="I1007">
        <f ca="1">IFERROR(IF(0=LEN(ReferenceData!$I$1007),"",ReferenceData!$I$1007),"")</f>
        <v>37.5</v>
      </c>
      <c r="J1007">
        <f ca="1">IFERROR(IF(0=LEN(ReferenceData!$J$1007),"",ReferenceData!$J$1007),"")</f>
        <v>40.049999999999997</v>
      </c>
    </row>
    <row r="1008" spans="1:10" x14ac:dyDescent="0.25">
      <c r="A1008" t="str">
        <f>IFERROR(IF(0=LEN(ReferenceData!$A$1008),"",ReferenceData!$A$1008),"")</f>
        <v xml:space="preserve">                    Evergy Inc</v>
      </c>
      <c r="B1008" t="str">
        <f>IFERROR(IF(0=LEN(ReferenceData!$B$1008),"",ReferenceData!$B$1008),"")</f>
        <v>EVRG US Equity</v>
      </c>
      <c r="C1008" t="str">
        <f>IFERROR(IF(0=LEN(ReferenceData!$C$1008),"",ReferenceData!$C$1008),"")</f>
        <v>F0946</v>
      </c>
      <c r="D1008" t="str">
        <f>IFERROR(IF(0=LEN(ReferenceData!$D$1008),"",ReferenceData!$D$1008),"")</f>
        <v>TOTAL_GHG_CO2_EMISSIONS</v>
      </c>
      <c r="E1008" t="str">
        <f>IFERROR(IF(0=LEN(ReferenceData!$E$1008),"",ReferenceData!$E$1008),"")</f>
        <v>Dynamic</v>
      </c>
      <c r="F1008" t="str">
        <f ca="1">IFERROR(IF(0=LEN(ReferenceData!$F$1008),"",ReferenceData!$F$1008),"")</f>
        <v/>
      </c>
      <c r="G1008">
        <f ca="1">IFERROR(IF(0=LEN(ReferenceData!$G$1008),"",ReferenceData!$G$1008),"")</f>
        <v>26.5425</v>
      </c>
      <c r="H1008" t="str">
        <f ca="1">IFERROR(IF(0=LEN(ReferenceData!$H$1008),"",ReferenceData!$H$1008),"")</f>
        <v/>
      </c>
      <c r="I1008" t="str">
        <f ca="1">IFERROR(IF(0=LEN(ReferenceData!$I$1008),"",ReferenceData!$I$1008),"")</f>
        <v/>
      </c>
      <c r="J1008" t="str">
        <f ca="1">IFERROR(IF(0=LEN(ReferenceData!$J$1008),"",ReferenceData!$J$1008),"")</f>
        <v/>
      </c>
    </row>
    <row r="1009" spans="1:10" x14ac:dyDescent="0.25">
      <c r="A1009" t="str">
        <f>IFERROR(IF(0=LEN(ReferenceData!$A$1009),"",ReferenceData!$A$1009),"")</f>
        <v xml:space="preserve">                    Hawaiian Electric Industries I</v>
      </c>
      <c r="B1009" t="str">
        <f>IFERROR(IF(0=LEN(ReferenceData!$B$1009),"",ReferenceData!$B$1009),"")</f>
        <v>HE US Equity</v>
      </c>
      <c r="C1009" t="str">
        <f>IFERROR(IF(0=LEN(ReferenceData!$C$1009),"",ReferenceData!$C$1009),"")</f>
        <v>F0946</v>
      </c>
      <c r="D1009" t="str">
        <f>IFERROR(IF(0=LEN(ReferenceData!$D$1009),"",ReferenceData!$D$1009),"")</f>
        <v>TOTAL_GHG_CO2_EMISSIONS</v>
      </c>
      <c r="E1009" t="str">
        <f>IFERROR(IF(0=LEN(ReferenceData!$E$1009),"",ReferenceData!$E$1009),"")</f>
        <v>Dynamic</v>
      </c>
      <c r="F1009" t="str">
        <f ca="1">IFERROR(IF(0=LEN(ReferenceData!$F$1009),"",ReferenceData!$F$1009),"")</f>
        <v/>
      </c>
      <c r="G1009">
        <f ca="1">IFERROR(IF(0=LEN(ReferenceData!$G$1009),"",ReferenceData!$G$1009),"")</f>
        <v>3.8061298830000001</v>
      </c>
      <c r="H1009" t="str">
        <f ca="1">IFERROR(IF(0=LEN(ReferenceData!$H$1009),"",ReferenceData!$H$1009),"")</f>
        <v/>
      </c>
      <c r="I1009" t="str">
        <f ca="1">IFERROR(IF(0=LEN(ReferenceData!$I$1009),"",ReferenceData!$I$1009),"")</f>
        <v/>
      </c>
      <c r="J1009" t="str">
        <f ca="1">IFERROR(IF(0=LEN(ReferenceData!$J$1009),"",ReferenceData!$J$1009),"")</f>
        <v/>
      </c>
    </row>
    <row r="1010" spans="1:10" x14ac:dyDescent="0.25">
      <c r="A1010" t="str">
        <f>IFERROR(IF(0=LEN(ReferenceData!$A$1010),"",ReferenceData!$A$1010),"")</f>
        <v xml:space="preserve">                    IDACORP Inc</v>
      </c>
      <c r="B1010" t="str">
        <f>IFERROR(IF(0=LEN(ReferenceData!$B$1010),"",ReferenceData!$B$1010),"")</f>
        <v>IDA US Equity</v>
      </c>
      <c r="C1010" t="str">
        <f>IFERROR(IF(0=LEN(ReferenceData!$C$1010),"",ReferenceData!$C$1010),"")</f>
        <v>F0946</v>
      </c>
      <c r="D1010" t="str">
        <f>IFERROR(IF(0=LEN(ReferenceData!$D$1010),"",ReferenceData!$D$1010),"")</f>
        <v>TOTAL_GHG_CO2_EMISSIONS</v>
      </c>
      <c r="E1010" t="str">
        <f>IFERROR(IF(0=LEN(ReferenceData!$E$1010),"",ReferenceData!$E$1010),"")</f>
        <v>Dynamic</v>
      </c>
      <c r="F1010">
        <f ca="1">IFERROR(IF(0=LEN(ReferenceData!$F$1010),"",ReferenceData!$F$1010),"")</f>
        <v>4.8773798829999997</v>
      </c>
      <c r="G1010">
        <f ca="1">IFERROR(IF(0=LEN(ReferenceData!$G$1010),"",ReferenceData!$G$1010),"")</f>
        <v>4.2889999999999997</v>
      </c>
      <c r="H1010">
        <f ca="1">IFERROR(IF(0=LEN(ReferenceData!$H$1010),"",ReferenceData!$H$1010),"")</f>
        <v>4.9273999020000003</v>
      </c>
      <c r="I1010">
        <f ca="1">IFERROR(IF(0=LEN(ReferenceData!$I$1010),"",ReferenceData!$I$1010),"")</f>
        <v>4.0352099609999996</v>
      </c>
      <c r="J1010">
        <f ca="1">IFERROR(IF(0=LEN(ReferenceData!$J$1010),"",ReferenceData!$J$1010),"")</f>
        <v>3.9585300289999998</v>
      </c>
    </row>
    <row r="1011" spans="1:10" x14ac:dyDescent="0.25">
      <c r="A1011" t="str">
        <f>IFERROR(IF(0=LEN(ReferenceData!$A$1011),"",ReferenceData!$A$1011),"")</f>
        <v xml:space="preserve">                    NorthWestern Corp</v>
      </c>
      <c r="B1011" t="str">
        <f>IFERROR(IF(0=LEN(ReferenceData!$B$1011),"",ReferenceData!$B$1011),"")</f>
        <v>NWE US Equity</v>
      </c>
      <c r="C1011" t="str">
        <f>IFERROR(IF(0=LEN(ReferenceData!$C$1011),"",ReferenceData!$C$1011),"")</f>
        <v>F0946</v>
      </c>
      <c r="D1011" t="str">
        <f>IFERROR(IF(0=LEN(ReferenceData!$D$1011),"",ReferenceData!$D$1011),"")</f>
        <v>TOTAL_GHG_CO2_EMISSIONS</v>
      </c>
      <c r="E1011" t="str">
        <f>IFERROR(IF(0=LEN(ReferenceData!$E$1011),"",ReferenceData!$E$1011),"")</f>
        <v>Dynamic</v>
      </c>
      <c r="F1011" t="str">
        <f ca="1">IFERROR(IF(0=LEN(ReferenceData!$F$1011),"",ReferenceData!$F$1011),"")</f>
        <v/>
      </c>
      <c r="G1011" t="str">
        <f ca="1">IFERROR(IF(0=LEN(ReferenceData!$G$1011),"",ReferenceData!$G$1011),"")</f>
        <v/>
      </c>
      <c r="H1011">
        <f ca="1">IFERROR(IF(0=LEN(ReferenceData!$H$1011),"",ReferenceData!$H$1011),"")</f>
        <v>3.4810200199999999</v>
      </c>
      <c r="I1011">
        <f ca="1">IFERROR(IF(0=LEN(ReferenceData!$I$1011),"",ReferenceData!$I$1011),"")</f>
        <v>3.9306999509999998</v>
      </c>
      <c r="J1011">
        <f ca="1">IFERROR(IF(0=LEN(ReferenceData!$J$1011),"",ReferenceData!$J$1011),"")</f>
        <v>4.4656899409999999</v>
      </c>
    </row>
    <row r="1012" spans="1:10" x14ac:dyDescent="0.25">
      <c r="A1012" t="str">
        <f>IFERROR(IF(0=LEN(ReferenceData!$A$1012),"",ReferenceData!$A$1012),"")</f>
        <v xml:space="preserve">                    PG&amp;E Corp</v>
      </c>
      <c r="B1012" t="str">
        <f>IFERROR(IF(0=LEN(ReferenceData!$B$1012),"",ReferenceData!$B$1012),"")</f>
        <v>PCG US Equity</v>
      </c>
      <c r="C1012" t="str">
        <f>IFERROR(IF(0=LEN(ReferenceData!$C$1012),"",ReferenceData!$C$1012),"")</f>
        <v>F0946</v>
      </c>
      <c r="D1012" t="str">
        <f>IFERROR(IF(0=LEN(ReferenceData!$D$1012),"",ReferenceData!$D$1012),"")</f>
        <v>TOTAL_GHG_CO2_EMISSIONS</v>
      </c>
      <c r="E1012" t="str">
        <f>IFERROR(IF(0=LEN(ReferenceData!$E$1012),"",ReferenceData!$E$1012),"")</f>
        <v>Dynamic</v>
      </c>
      <c r="F1012" t="str">
        <f ca="1">IFERROR(IF(0=LEN(ReferenceData!$F$1012),"",ReferenceData!$F$1012),"")</f>
        <v/>
      </c>
      <c r="G1012">
        <f ca="1">IFERROR(IF(0=LEN(ReferenceData!$G$1012),"",ReferenceData!$G$1012),"")</f>
        <v>5.2924301759999999</v>
      </c>
      <c r="H1012">
        <f ca="1">IFERROR(IF(0=LEN(ReferenceData!$H$1012),"",ReferenceData!$H$1012),"")</f>
        <v>5.1373701169999997</v>
      </c>
      <c r="I1012">
        <f ca="1">IFERROR(IF(0=LEN(ReferenceData!$I$1012),"",ReferenceData!$I$1012),"")</f>
        <v>7.4261899409999996</v>
      </c>
      <c r="J1012">
        <f ca="1">IFERROR(IF(0=LEN(ReferenceData!$J$1012),"",ReferenceData!$J$1012),"")</f>
        <v>4.9316401369999996</v>
      </c>
    </row>
    <row r="1013" spans="1:10" x14ac:dyDescent="0.25">
      <c r="A1013" t="str">
        <f>IFERROR(IF(0=LEN(ReferenceData!$A$1013),"",ReferenceData!$A$1013),"")</f>
        <v xml:space="preserve">                    PNM Resources Inc</v>
      </c>
      <c r="B1013" t="str">
        <f>IFERROR(IF(0=LEN(ReferenceData!$B$1013),"",ReferenceData!$B$1013),"")</f>
        <v>PNM US Equity</v>
      </c>
      <c r="C1013" t="str">
        <f>IFERROR(IF(0=LEN(ReferenceData!$C$1013),"",ReferenceData!$C$1013),"")</f>
        <v>F0946</v>
      </c>
      <c r="D1013" t="str">
        <f>IFERROR(IF(0=LEN(ReferenceData!$D$1013),"",ReferenceData!$D$1013),"")</f>
        <v>TOTAL_GHG_CO2_EMISSIONS</v>
      </c>
      <c r="E1013" t="str">
        <f>IFERROR(IF(0=LEN(ReferenceData!$E$1013),"",ReferenceData!$E$1013),"")</f>
        <v>Dynamic</v>
      </c>
      <c r="F1013" t="str">
        <f ca="1">IFERROR(IF(0=LEN(ReferenceData!$F$1013),"",ReferenceData!$F$1013),"")</f>
        <v/>
      </c>
      <c r="G1013" t="str">
        <f ca="1">IFERROR(IF(0=LEN(ReferenceData!$G$1013),"",ReferenceData!$G$1013),"")</f>
        <v/>
      </c>
      <c r="H1013" t="str">
        <f ca="1">IFERROR(IF(0=LEN(ReferenceData!$H$1013),"",ReferenceData!$H$1013),"")</f>
        <v/>
      </c>
      <c r="I1013" t="str">
        <f ca="1">IFERROR(IF(0=LEN(ReferenceData!$I$1013),"",ReferenceData!$I$1013),"")</f>
        <v/>
      </c>
      <c r="J1013" t="str">
        <f ca="1">IFERROR(IF(0=LEN(ReferenceData!$J$1013),"",ReferenceData!$J$1013),"")</f>
        <v/>
      </c>
    </row>
    <row r="1014" spans="1:10" x14ac:dyDescent="0.25">
      <c r="A1014" t="str">
        <f>IFERROR(IF(0=LEN(ReferenceData!$A$1014),"",ReferenceData!$A$1014),"")</f>
        <v xml:space="preserve">                    PPL Corp</v>
      </c>
      <c r="B1014" t="str">
        <f>IFERROR(IF(0=LEN(ReferenceData!$B$1014),"",ReferenceData!$B$1014),"")</f>
        <v>PPL US Equity</v>
      </c>
      <c r="C1014" t="str">
        <f>IFERROR(IF(0=LEN(ReferenceData!$C$1014),"",ReferenceData!$C$1014),"")</f>
        <v>F0946</v>
      </c>
      <c r="D1014" t="str">
        <f>IFERROR(IF(0=LEN(ReferenceData!$D$1014),"",ReferenceData!$D$1014),"")</f>
        <v>TOTAL_GHG_CO2_EMISSIONS</v>
      </c>
      <c r="E1014" t="str">
        <f>IFERROR(IF(0=LEN(ReferenceData!$E$1014),"",ReferenceData!$E$1014),"")</f>
        <v>Dynamic</v>
      </c>
      <c r="F1014">
        <f ca="1">IFERROR(IF(0=LEN(ReferenceData!$F$1014),"",ReferenceData!$F$1014),"")</f>
        <v>26.9085</v>
      </c>
      <c r="G1014">
        <f ca="1">IFERROR(IF(0=LEN(ReferenceData!$G$1014),"",ReferenceData!$G$1014),"")</f>
        <v>26.46919922</v>
      </c>
      <c r="H1014">
        <f ca="1">IFERROR(IF(0=LEN(ReferenceData!$H$1014),"",ReferenceData!$H$1014),"")</f>
        <v>25.673400390000001</v>
      </c>
      <c r="I1014">
        <f ca="1">IFERROR(IF(0=LEN(ReferenceData!$I$1014),"",ReferenceData!$I$1014),"")</f>
        <v>27.433199219999999</v>
      </c>
      <c r="J1014">
        <f ca="1">IFERROR(IF(0=LEN(ReferenceData!$J$1014),"",ReferenceData!$J$1014),"")</f>
        <v>29.946999999999999</v>
      </c>
    </row>
    <row r="1015" spans="1:10" x14ac:dyDescent="0.25">
      <c r="A1015" t="str">
        <f>IFERROR(IF(0=LEN(ReferenceData!$A$1015),"",ReferenceData!$A$1015),"")</f>
        <v xml:space="preserve">                    Pinnacle West Capital Corp</v>
      </c>
      <c r="B1015" t="str">
        <f>IFERROR(IF(0=LEN(ReferenceData!$B$1015),"",ReferenceData!$B$1015),"")</f>
        <v>PNW US Equity</v>
      </c>
      <c r="C1015" t="str">
        <f>IFERROR(IF(0=LEN(ReferenceData!$C$1015),"",ReferenceData!$C$1015),"")</f>
        <v>F0946</v>
      </c>
      <c r="D1015" t="str">
        <f>IFERROR(IF(0=LEN(ReferenceData!$D$1015),"",ReferenceData!$D$1015),"")</f>
        <v>TOTAL_GHG_CO2_EMISSIONS</v>
      </c>
      <c r="E1015" t="str">
        <f>IFERROR(IF(0=LEN(ReferenceData!$E$1015),"",ReferenceData!$E$1015),"")</f>
        <v>Dynamic</v>
      </c>
      <c r="F1015" t="str">
        <f ca="1">IFERROR(IF(0=LEN(ReferenceData!$F$1015),"",ReferenceData!$F$1015),"")</f>
        <v/>
      </c>
      <c r="G1015">
        <f ca="1">IFERROR(IF(0=LEN(ReferenceData!$G$1015),"",ReferenceData!$G$1015),"")</f>
        <v>11.46140039</v>
      </c>
      <c r="H1015">
        <f ca="1">IFERROR(IF(0=LEN(ReferenceData!$H$1015),"",ReferenceData!$H$1015),"")</f>
        <v>11.37409961</v>
      </c>
      <c r="I1015">
        <f ca="1">IFERROR(IF(0=LEN(ReferenceData!$I$1015),"",ReferenceData!$I$1015),"")</f>
        <v>12.3127002</v>
      </c>
      <c r="J1015">
        <f ca="1">IFERROR(IF(0=LEN(ReferenceData!$J$1015),"",ReferenceData!$J$1015),"")</f>
        <v>12.02240039</v>
      </c>
    </row>
    <row r="1016" spans="1:10" x14ac:dyDescent="0.25">
      <c r="A1016" t="str">
        <f>IFERROR(IF(0=LEN(ReferenceData!$A$1016),"",ReferenceData!$A$1016),"")</f>
        <v xml:space="preserve">                    Portland General Electric Co</v>
      </c>
      <c r="B1016" t="str">
        <f>IFERROR(IF(0=LEN(ReferenceData!$B$1016),"",ReferenceData!$B$1016),"")</f>
        <v>POR US Equity</v>
      </c>
      <c r="C1016" t="str">
        <f>IFERROR(IF(0=LEN(ReferenceData!$C$1016),"",ReferenceData!$C$1016),"")</f>
        <v>F0946</v>
      </c>
      <c r="D1016" t="str">
        <f>IFERROR(IF(0=LEN(ReferenceData!$D$1016),"",ReferenceData!$D$1016),"")</f>
        <v>TOTAL_GHG_CO2_EMISSIONS</v>
      </c>
      <c r="E1016" t="str">
        <f>IFERROR(IF(0=LEN(ReferenceData!$E$1016),"",ReferenceData!$E$1016),"")</f>
        <v>Dynamic</v>
      </c>
      <c r="F1016">
        <f ca="1">IFERROR(IF(0=LEN(ReferenceData!$F$1016),"",ReferenceData!$F$1016),"")</f>
        <v>5.647180176</v>
      </c>
      <c r="G1016">
        <f ca="1">IFERROR(IF(0=LEN(ReferenceData!$G$1016),"",ReferenceData!$G$1016),"")</f>
        <v>5.9099199220000003</v>
      </c>
      <c r="H1016" t="str">
        <f ca="1">IFERROR(IF(0=LEN(ReferenceData!$H$1016),"",ReferenceData!$H$1016),"")</f>
        <v/>
      </c>
      <c r="I1016" t="str">
        <f ca="1">IFERROR(IF(0=LEN(ReferenceData!$I$1016),"",ReferenceData!$I$1016),"")</f>
        <v/>
      </c>
      <c r="J1016" t="str">
        <f ca="1">IFERROR(IF(0=LEN(ReferenceData!$J$1016),"",ReferenceData!$J$1016),"")</f>
        <v/>
      </c>
    </row>
    <row r="1017" spans="1:10" x14ac:dyDescent="0.25">
      <c r="A1017" t="str">
        <f>IFERROR(IF(0=LEN(ReferenceData!$A$1017),"",ReferenceData!$A$1017),"")</f>
        <v xml:space="preserve">                    Southern Co/The</v>
      </c>
      <c r="B1017" t="str">
        <f>IFERROR(IF(0=LEN(ReferenceData!$B$1017),"",ReferenceData!$B$1017),"")</f>
        <v>SO US Equity</v>
      </c>
      <c r="C1017" t="str">
        <f>IFERROR(IF(0=LEN(ReferenceData!$C$1017),"",ReferenceData!$C$1017),"")</f>
        <v>F0946</v>
      </c>
      <c r="D1017" t="str">
        <f>IFERROR(IF(0=LEN(ReferenceData!$D$1017),"",ReferenceData!$D$1017),"")</f>
        <v>TOTAL_GHG_CO2_EMISSIONS</v>
      </c>
      <c r="E1017" t="str">
        <f>IFERROR(IF(0=LEN(ReferenceData!$E$1017),"",ReferenceData!$E$1017),"")</f>
        <v>Dynamic</v>
      </c>
      <c r="F1017" t="str">
        <f ca="1">IFERROR(IF(0=LEN(ReferenceData!$F$1017),"",ReferenceData!$F$1017),"")</f>
        <v/>
      </c>
      <c r="G1017">
        <f ca="1">IFERROR(IF(0=LEN(ReferenceData!$G$1017),"",ReferenceData!$G$1017),"")</f>
        <v>82.639499999999998</v>
      </c>
      <c r="H1017">
        <f ca="1">IFERROR(IF(0=LEN(ReferenceData!$H$1017),"",ReferenceData!$H$1017),"")</f>
        <v>75.316601559999995</v>
      </c>
      <c r="I1017">
        <f ca="1">IFERROR(IF(0=LEN(ReferenceData!$I$1017),"",ReferenceData!$I$1017),"")</f>
        <v>88.420703130000007</v>
      </c>
      <c r="J1017">
        <f ca="1">IFERROR(IF(0=LEN(ReferenceData!$J$1017),"",ReferenceData!$J$1017),"")</f>
        <v>105.065</v>
      </c>
    </row>
    <row r="1018" spans="1:10" x14ac:dyDescent="0.25">
      <c r="A1018" t="str">
        <f>IFERROR(IF(0=LEN(ReferenceData!$A$1018),"",ReferenceData!$A$1018),"")</f>
        <v xml:space="preserve">                    WEC Energy Group Inc</v>
      </c>
      <c r="B1018" t="str">
        <f>IFERROR(IF(0=LEN(ReferenceData!$B$1018),"",ReferenceData!$B$1018),"")</f>
        <v>WEC US Equity</v>
      </c>
      <c r="C1018" t="str">
        <f>IFERROR(IF(0=LEN(ReferenceData!$C$1018),"",ReferenceData!$C$1018),"")</f>
        <v>F0946</v>
      </c>
      <c r="D1018" t="str">
        <f>IFERROR(IF(0=LEN(ReferenceData!$D$1018),"",ReferenceData!$D$1018),"")</f>
        <v>TOTAL_GHG_CO2_EMISSIONS</v>
      </c>
      <c r="E1018" t="str">
        <f>IFERROR(IF(0=LEN(ReferenceData!$E$1018),"",ReferenceData!$E$1018),"")</f>
        <v>Dynamic</v>
      </c>
      <c r="F1018" t="str">
        <f ca="1">IFERROR(IF(0=LEN(ReferenceData!$F$1018),"",ReferenceData!$F$1018),"")</f>
        <v/>
      </c>
      <c r="G1018">
        <f ca="1">IFERROR(IF(0=LEN(ReferenceData!$G$1018),"",ReferenceData!$G$1018),"")</f>
        <v>21.757999999999999</v>
      </c>
      <c r="H1018">
        <f ca="1">IFERROR(IF(0=LEN(ReferenceData!$H$1018),"",ReferenceData!$H$1018),"")</f>
        <v>20.241</v>
      </c>
      <c r="I1018">
        <f ca="1">IFERROR(IF(0=LEN(ReferenceData!$I$1018),"",ReferenceData!$I$1018),"")</f>
        <v>22.177</v>
      </c>
      <c r="J1018">
        <f ca="1">IFERROR(IF(0=LEN(ReferenceData!$J$1018),"",ReferenceData!$J$1018),"")</f>
        <v>27.103999999999999</v>
      </c>
    </row>
    <row r="1019" spans="1:10" x14ac:dyDescent="0.25">
      <c r="A1019" t="str">
        <f>IFERROR(IF(0=LEN(ReferenceData!$A$1019),"",ReferenceData!$A$1019),"")</f>
        <v xml:space="preserve">                    Xcel Energy Inc</v>
      </c>
      <c r="B1019" t="str">
        <f>IFERROR(IF(0=LEN(ReferenceData!$B$1019),"",ReferenceData!$B$1019),"")</f>
        <v>XEL US Equity</v>
      </c>
      <c r="C1019" t="str">
        <f>IFERROR(IF(0=LEN(ReferenceData!$C$1019),"",ReferenceData!$C$1019),"")</f>
        <v>F0946</v>
      </c>
      <c r="D1019" t="str">
        <f>IFERROR(IF(0=LEN(ReferenceData!$D$1019),"",ReferenceData!$D$1019),"")</f>
        <v>TOTAL_GHG_CO2_EMISSIONS</v>
      </c>
      <c r="E1019" t="str">
        <f>IFERROR(IF(0=LEN(ReferenceData!$E$1019),"",ReferenceData!$E$1019),"")</f>
        <v>Dynamic</v>
      </c>
      <c r="F1019">
        <f ca="1">IFERROR(IF(0=LEN(ReferenceData!$F$1019),"",ReferenceData!$F$1019),"")</f>
        <v>38.700000000000003</v>
      </c>
      <c r="G1019">
        <f ca="1">IFERROR(IF(0=LEN(ReferenceData!$G$1019),"",ReferenceData!$G$1019),"")</f>
        <v>40.200000000000003</v>
      </c>
      <c r="H1019">
        <f ca="1">IFERROR(IF(0=LEN(ReferenceData!$H$1019),"",ReferenceData!$H$1019),"")</f>
        <v>37.336500000000001</v>
      </c>
      <c r="I1019">
        <f ca="1">IFERROR(IF(0=LEN(ReferenceData!$I$1019),"",ReferenceData!$I$1019),"")</f>
        <v>44.663601559999996</v>
      </c>
      <c r="J1019">
        <f ca="1">IFERROR(IF(0=LEN(ReferenceData!$J$1019),"",ReferenceData!$J$1019),"")</f>
        <v>47.945999999999998</v>
      </c>
    </row>
    <row r="1020" spans="1:10" x14ac:dyDescent="0.25">
      <c r="A1020" t="str">
        <f>IFERROR(IF(0=LEN(ReferenceData!$A$1020),"",ReferenceData!$A$1020),"")</f>
        <v xml:space="preserve">                Power Generation</v>
      </c>
      <c r="B1020" t="str">
        <f>IFERROR(IF(0=LEN(ReferenceData!$B$1020),"",ReferenceData!$B$1020),"")</f>
        <v/>
      </c>
      <c r="C1020" t="str">
        <f>IFERROR(IF(0=LEN(ReferenceData!$C$1020),"",ReferenceData!$C$1020),"")</f>
        <v/>
      </c>
      <c r="D1020" t="str">
        <f>IFERROR(IF(0=LEN(ReferenceData!$D$1020),"",ReferenceData!$D$1020),"")</f>
        <v/>
      </c>
      <c r="E1020" t="str">
        <f>IFERROR(IF(0=LEN(ReferenceData!$E$1020),"",ReferenceData!$E$1020),"")</f>
        <v>Sum</v>
      </c>
      <c r="F1020">
        <f ca="1">IFERROR(IF(0=LEN(ReferenceData!$F$1020),"",ReferenceData!$F$1020),"")</f>
        <v>1527.7650184619999</v>
      </c>
      <c r="G1020">
        <f ca="1">IFERROR(IF(0=LEN(ReferenceData!$G$1020),"",ReferenceData!$G$1020),"")</f>
        <v>1967.9657593800002</v>
      </c>
      <c r="H1020">
        <f ca="1">IFERROR(IF(0=LEN(ReferenceData!$H$1020),"",ReferenceData!$H$1020),"")</f>
        <v>2258.593799277</v>
      </c>
      <c r="I1020">
        <f ca="1">IFERROR(IF(0=LEN(ReferenceData!$I$1020),"",ReferenceData!$I$1020),"")</f>
        <v>2305.1268935929997</v>
      </c>
      <c r="J1020">
        <f ca="1">IFERROR(IF(0=LEN(ReferenceData!$J$1020),"",ReferenceData!$J$1020),"")</f>
        <v>2680.2872549949998</v>
      </c>
    </row>
    <row r="1021" spans="1:10" x14ac:dyDescent="0.25">
      <c r="A1021" t="str">
        <f>IFERROR(IF(0=LEN(ReferenceData!$A$1021),"",ReferenceData!$A$1021),"")</f>
        <v xml:space="preserve">                    Europe Power Generation</v>
      </c>
      <c r="B1021" t="str">
        <f>IFERROR(IF(0=LEN(ReferenceData!$B$1021),"",ReferenceData!$B$1021),"")</f>
        <v/>
      </c>
      <c r="C1021" t="str">
        <f>IFERROR(IF(0=LEN(ReferenceData!$C$1021),"",ReferenceData!$C$1021),"")</f>
        <v/>
      </c>
      <c r="D1021" t="str">
        <f>IFERROR(IF(0=LEN(ReferenceData!$D$1021),"",ReferenceData!$D$1021),"")</f>
        <v/>
      </c>
      <c r="E1021" t="str">
        <f>IFERROR(IF(0=LEN(ReferenceData!$E$1021),"",ReferenceData!$E$1021),"")</f>
        <v>Sum</v>
      </c>
      <c r="F1021">
        <f ca="1">IFERROR(IF(0=LEN(ReferenceData!$F$1021),"",ReferenceData!$F$1021),"")</f>
        <v>388.93270486300003</v>
      </c>
      <c r="G1021">
        <f ca="1">IFERROR(IF(0=LEN(ReferenceData!$G$1021),"",ReferenceData!$G$1021),"")</f>
        <v>543.88842465300013</v>
      </c>
      <c r="H1021">
        <f ca="1">IFERROR(IF(0=LEN(ReferenceData!$H$1021),"",ReferenceData!$H$1021),"")</f>
        <v>485.90731433599996</v>
      </c>
      <c r="I1021">
        <f ca="1">IFERROR(IF(0=LEN(ReferenceData!$I$1021),"",ReferenceData!$I$1021),"")</f>
        <v>513.37810615600006</v>
      </c>
      <c r="J1021">
        <f ca="1">IFERROR(IF(0=LEN(ReferenceData!$J$1021),"",ReferenceData!$J$1021),"")</f>
        <v>618.42156837799996</v>
      </c>
    </row>
    <row r="1022" spans="1:10" x14ac:dyDescent="0.25">
      <c r="A1022" t="str">
        <f>IFERROR(IF(0=LEN(ReferenceData!$A$1022),"",ReferenceData!$A$1022),"")</f>
        <v xml:space="preserve">                        A2A SpA</v>
      </c>
      <c r="B1022" t="str">
        <f>IFERROR(IF(0=LEN(ReferenceData!$B$1022),"",ReferenceData!$B$1022),"")</f>
        <v>A2A IM Equity</v>
      </c>
      <c r="C1022" t="str">
        <f>IFERROR(IF(0=LEN(ReferenceData!$C$1022),"",ReferenceData!$C$1022),"")</f>
        <v>F0946</v>
      </c>
      <c r="D1022" t="str">
        <f>IFERROR(IF(0=LEN(ReferenceData!$D$1022),"",ReferenceData!$D$1022),"")</f>
        <v>TOTAL_GHG_CO2_EMISSIONS</v>
      </c>
      <c r="E1022" t="str">
        <f>IFERROR(IF(0=LEN(ReferenceData!$E$1022),"",ReferenceData!$E$1022),"")</f>
        <v>Dynamic</v>
      </c>
      <c r="F1022">
        <f ca="1">IFERROR(IF(0=LEN(ReferenceData!$F$1022),"",ReferenceData!$F$1022),"")</f>
        <v>8.9094999999999995</v>
      </c>
      <c r="G1022">
        <f ca="1">IFERROR(IF(0=LEN(ReferenceData!$G$1022),"",ReferenceData!$G$1022),"")</f>
        <v>7.4061000979999996</v>
      </c>
      <c r="H1022">
        <f ca="1">IFERROR(IF(0=LEN(ReferenceData!$H$1022),"",ReferenceData!$H$1022),"")</f>
        <v>5.9628398440000003</v>
      </c>
      <c r="I1022">
        <f ca="1">IFERROR(IF(0=LEN(ReferenceData!$I$1022),"",ReferenceData!$I$1022),"")</f>
        <v>7.0565698240000003</v>
      </c>
      <c r="J1022">
        <f ca="1">IFERROR(IF(0=LEN(ReferenceData!$J$1022),"",ReferenceData!$J$1022),"")</f>
        <v>7.6012001949999997</v>
      </c>
    </row>
    <row r="1023" spans="1:10" x14ac:dyDescent="0.25">
      <c r="A1023" t="str">
        <f>IFERROR(IF(0=LEN(ReferenceData!$A$1023),"",ReferenceData!$A$1023),"")</f>
        <v xml:space="preserve">                        Acciona SA</v>
      </c>
      <c r="B1023" t="str">
        <f>IFERROR(IF(0=LEN(ReferenceData!$B$1023),"",ReferenceData!$B$1023),"")</f>
        <v>ANA SM Equity</v>
      </c>
      <c r="C1023" t="str">
        <f>IFERROR(IF(0=LEN(ReferenceData!$C$1023),"",ReferenceData!$C$1023),"")</f>
        <v>F0946</v>
      </c>
      <c r="D1023" t="str">
        <f>IFERROR(IF(0=LEN(ReferenceData!$D$1023),"",ReferenceData!$D$1023),"")</f>
        <v>TOTAL_GHG_CO2_EMISSIONS</v>
      </c>
      <c r="E1023" t="str">
        <f>IFERROR(IF(0=LEN(ReferenceData!$E$1023),"",ReferenceData!$E$1023),"")</f>
        <v>Dynamic</v>
      </c>
      <c r="F1023">
        <f ca="1">IFERROR(IF(0=LEN(ReferenceData!$F$1023),"",ReferenceData!$F$1023),"")</f>
        <v>0.29938501000000001</v>
      </c>
      <c r="G1023">
        <f ca="1">IFERROR(IF(0=LEN(ReferenceData!$G$1023),"",ReferenceData!$G$1023),"")</f>
        <v>0.30451098599999998</v>
      </c>
      <c r="H1023">
        <f ca="1">IFERROR(IF(0=LEN(ReferenceData!$H$1023),"",ReferenceData!$H$1023),"")</f>
        <v>0.20585699499999999</v>
      </c>
      <c r="I1023">
        <f ca="1">IFERROR(IF(0=LEN(ReferenceData!$I$1023),"",ReferenceData!$I$1023),"")</f>
        <v>0.16600000000000001</v>
      </c>
      <c r="J1023">
        <f ca="1">IFERROR(IF(0=LEN(ReferenceData!$J$1023),"",ReferenceData!$J$1023),"")</f>
        <v>0.438</v>
      </c>
    </row>
    <row r="1024" spans="1:10" x14ac:dyDescent="0.25">
      <c r="A1024" t="str">
        <f>IFERROR(IF(0=LEN(ReferenceData!$A$1024),"",ReferenceData!$A$1024),"")</f>
        <v xml:space="preserve">                        ACEA SpA</v>
      </c>
      <c r="B1024" t="str">
        <f>IFERROR(IF(0=LEN(ReferenceData!$B$1024),"",ReferenceData!$B$1024),"")</f>
        <v>ACE IM Equity</v>
      </c>
      <c r="C1024" t="str">
        <f>IFERROR(IF(0=LEN(ReferenceData!$C$1024),"",ReferenceData!$C$1024),"")</f>
        <v>F0946</v>
      </c>
      <c r="D1024" t="str">
        <f>IFERROR(IF(0=LEN(ReferenceData!$D$1024),"",ReferenceData!$D$1024),"")</f>
        <v>TOTAL_GHG_CO2_EMISSIONS</v>
      </c>
      <c r="E1024" t="str">
        <f>IFERROR(IF(0=LEN(ReferenceData!$E$1024),"",ReferenceData!$E$1024),"")</f>
        <v>Dynamic</v>
      </c>
      <c r="F1024">
        <f ca="1">IFERROR(IF(0=LEN(ReferenceData!$F$1024),"",ReferenceData!$F$1024),"")</f>
        <v>0.40435198999999999</v>
      </c>
      <c r="G1024">
        <f ca="1">IFERROR(IF(0=LEN(ReferenceData!$G$1024),"",ReferenceData!$G$1024),"")</f>
        <v>0.76522497599999995</v>
      </c>
      <c r="H1024">
        <f ca="1">IFERROR(IF(0=LEN(ReferenceData!$H$1024),"",ReferenceData!$H$1024),"")</f>
        <v>0.76391601600000003</v>
      </c>
      <c r="I1024">
        <f ca="1">IFERROR(IF(0=LEN(ReferenceData!$I$1024),"",ReferenceData!$I$1024),"")</f>
        <v>0.719270996</v>
      </c>
      <c r="J1024">
        <f ca="1">IFERROR(IF(0=LEN(ReferenceData!$J$1024),"",ReferenceData!$J$1024),"")</f>
        <v>0.679869995</v>
      </c>
    </row>
    <row r="1025" spans="1:10" x14ac:dyDescent="0.25">
      <c r="A1025" t="str">
        <f>IFERROR(IF(0=LEN(ReferenceData!$A$1025),"",ReferenceData!$A$1025),"")</f>
        <v xml:space="preserve">                        BKW AG</v>
      </c>
      <c r="B1025" t="str">
        <f>IFERROR(IF(0=LEN(ReferenceData!$B$1025),"",ReferenceData!$B$1025),"")</f>
        <v>BKW SW Equity</v>
      </c>
      <c r="C1025" t="str">
        <f>IFERROR(IF(0=LEN(ReferenceData!$C$1025),"",ReferenceData!$C$1025),"")</f>
        <v>F0946</v>
      </c>
      <c r="D1025" t="str">
        <f>IFERROR(IF(0=LEN(ReferenceData!$D$1025),"",ReferenceData!$D$1025),"")</f>
        <v>TOTAL_GHG_CO2_EMISSIONS</v>
      </c>
      <c r="E1025" t="str">
        <f>IFERROR(IF(0=LEN(ReferenceData!$E$1025),"",ReferenceData!$E$1025),"")</f>
        <v>Dynamic</v>
      </c>
      <c r="F1025">
        <f ca="1">IFERROR(IF(0=LEN(ReferenceData!$F$1025),"",ReferenceData!$F$1025),"")</f>
        <v>2.4358000000000001E-2</v>
      </c>
      <c r="G1025" t="str">
        <f ca="1">IFERROR(IF(0=LEN(ReferenceData!$G$1025),"",ReferenceData!$G$1025),"")</f>
        <v/>
      </c>
      <c r="H1025" t="str">
        <f ca="1">IFERROR(IF(0=LEN(ReferenceData!$H$1025),"",ReferenceData!$H$1025),"")</f>
        <v/>
      </c>
      <c r="I1025" t="str">
        <f ca="1">IFERROR(IF(0=LEN(ReferenceData!$I$1025),"",ReferenceData!$I$1025),"")</f>
        <v/>
      </c>
      <c r="J1025" t="str">
        <f ca="1">IFERROR(IF(0=LEN(ReferenceData!$J$1025),"",ReferenceData!$J$1025),"")</f>
        <v/>
      </c>
    </row>
    <row r="1026" spans="1:10" x14ac:dyDescent="0.25">
      <c r="A1026" t="str">
        <f>IFERROR(IF(0=LEN(ReferenceData!$A$1026),"",ReferenceData!$A$1026),"")</f>
        <v xml:space="preserve">                        Centrica PLC</v>
      </c>
      <c r="B1026" t="str">
        <f>IFERROR(IF(0=LEN(ReferenceData!$B$1026),"",ReferenceData!$B$1026),"")</f>
        <v>CNA LN Equity</v>
      </c>
      <c r="C1026" t="str">
        <f>IFERROR(IF(0=LEN(ReferenceData!$C$1026),"",ReferenceData!$C$1026),"")</f>
        <v>F0946</v>
      </c>
      <c r="D1026" t="str">
        <f>IFERROR(IF(0=LEN(ReferenceData!$D$1026),"",ReferenceData!$D$1026),"")</f>
        <v>TOTAL_GHG_CO2_EMISSIONS</v>
      </c>
      <c r="E1026" t="str">
        <f>IFERROR(IF(0=LEN(ReferenceData!$E$1026),"",ReferenceData!$E$1026),"")</f>
        <v>Dynamic</v>
      </c>
      <c r="F1026">
        <f ca="1">IFERROR(IF(0=LEN(ReferenceData!$F$1026),"",ReferenceData!$F$1026),"")</f>
        <v>2.010410034</v>
      </c>
      <c r="G1026">
        <f ca="1">IFERROR(IF(0=LEN(ReferenceData!$G$1026),"",ReferenceData!$G$1026),"")</f>
        <v>0.23611900299999999</v>
      </c>
      <c r="H1026">
        <f ca="1">IFERROR(IF(0=LEN(ReferenceData!$H$1026),"",ReferenceData!$H$1026),"")</f>
        <v>1.9257500000000001</v>
      </c>
      <c r="I1026">
        <f ca="1">IFERROR(IF(0=LEN(ReferenceData!$I$1026),"",ReferenceData!$I$1026),"")</f>
        <v>2.2835100100000001</v>
      </c>
      <c r="J1026">
        <f ca="1">IFERROR(IF(0=LEN(ReferenceData!$J$1026),"",ReferenceData!$J$1026),"")</f>
        <v>1.737119995</v>
      </c>
    </row>
    <row r="1027" spans="1:10" x14ac:dyDescent="0.25">
      <c r="A1027" t="str">
        <f>IFERROR(IF(0=LEN(ReferenceData!$A$1027),"",ReferenceData!$A$1027),"")</f>
        <v xml:space="preserve">                        CEZ AS</v>
      </c>
      <c r="B1027" t="str">
        <f>IFERROR(IF(0=LEN(ReferenceData!$B$1027),"",ReferenceData!$B$1027),"")</f>
        <v>CEZ CP Equity</v>
      </c>
      <c r="C1027" t="str">
        <f>IFERROR(IF(0=LEN(ReferenceData!$C$1027),"",ReferenceData!$C$1027),"")</f>
        <v>F0946</v>
      </c>
      <c r="D1027" t="str">
        <f>IFERROR(IF(0=LEN(ReferenceData!$D$1027),"",ReferenceData!$D$1027),"")</f>
        <v>TOTAL_GHG_CO2_EMISSIONS</v>
      </c>
      <c r="E1027" t="str">
        <f>IFERROR(IF(0=LEN(ReferenceData!$E$1027),"",ReferenceData!$E$1027),"")</f>
        <v>Dynamic</v>
      </c>
      <c r="F1027">
        <f ca="1">IFERROR(IF(0=LEN(ReferenceData!$F$1027),"",ReferenceData!$F$1027),"")</f>
        <v>18.161099610000001</v>
      </c>
      <c r="G1027">
        <f ca="1">IFERROR(IF(0=LEN(ReferenceData!$G$1027),"",ReferenceData!$G$1027),"")</f>
        <v>19.137199219999999</v>
      </c>
      <c r="H1027">
        <f ca="1">IFERROR(IF(0=LEN(ReferenceData!$H$1027),"",ReferenceData!$H$1027),"")</f>
        <v>25.065900389999999</v>
      </c>
      <c r="I1027" t="str">
        <f ca="1">IFERROR(IF(0=LEN(ReferenceData!$I$1027),"",ReferenceData!$I$1027),"")</f>
        <v/>
      </c>
      <c r="J1027" t="str">
        <f ca="1">IFERROR(IF(0=LEN(ReferenceData!$J$1027),"",ReferenceData!$J$1027),"")</f>
        <v/>
      </c>
    </row>
    <row r="1028" spans="1:10" x14ac:dyDescent="0.25">
      <c r="A1028" t="str">
        <f>IFERROR(IF(0=LEN(ReferenceData!$A$1028),"",ReferenceData!$A$1028),"")</f>
        <v xml:space="preserve">                        Drax Group PLC</v>
      </c>
      <c r="B1028" t="str">
        <f>IFERROR(IF(0=LEN(ReferenceData!$B$1028),"",ReferenceData!$B$1028),"")</f>
        <v>DRX LN Equity</v>
      </c>
      <c r="C1028" t="str">
        <f>IFERROR(IF(0=LEN(ReferenceData!$C$1028),"",ReferenceData!$C$1028),"")</f>
        <v>F0946</v>
      </c>
      <c r="D1028" t="str">
        <f>IFERROR(IF(0=LEN(ReferenceData!$D$1028),"",ReferenceData!$D$1028),"")</f>
        <v>TOTAL_GHG_CO2_EMISSIONS</v>
      </c>
      <c r="E1028" t="str">
        <f>IFERROR(IF(0=LEN(ReferenceData!$E$1028),"",ReferenceData!$E$1028),"")</f>
        <v>Dynamic</v>
      </c>
      <c r="F1028">
        <f ca="1">IFERROR(IF(0=LEN(ReferenceData!$F$1028),"",ReferenceData!$F$1028),"")</f>
        <v>0.66900000000000004</v>
      </c>
      <c r="G1028">
        <f ca="1">IFERROR(IF(0=LEN(ReferenceData!$G$1028),"",ReferenceData!$G$1028),"")</f>
        <v>1.2549999999999999</v>
      </c>
      <c r="H1028">
        <f ca="1">IFERROR(IF(0=LEN(ReferenceData!$H$1028),"",ReferenceData!$H$1028),"")</f>
        <v>3.08</v>
      </c>
      <c r="I1028">
        <f ca="1">IFERROR(IF(0=LEN(ReferenceData!$I$1028),"",ReferenceData!$I$1028),"")</f>
        <v>2.371</v>
      </c>
      <c r="J1028">
        <f ca="1">IFERROR(IF(0=LEN(ReferenceData!$J$1028),"",ReferenceData!$J$1028),"")</f>
        <v>4.484</v>
      </c>
    </row>
    <row r="1029" spans="1:10" x14ac:dyDescent="0.25">
      <c r="A1029" t="str">
        <f>IFERROR(IF(0=LEN(ReferenceData!$A$1029),"",ReferenceData!$A$1029),"")</f>
        <v xml:space="preserve">                        EDP Renovaveis SA</v>
      </c>
      <c r="B1029" t="str">
        <f>IFERROR(IF(0=LEN(ReferenceData!$B$1029),"",ReferenceData!$B$1029),"")</f>
        <v>EDPR PL Equity</v>
      </c>
      <c r="C1029" t="str">
        <f>IFERROR(IF(0=LEN(ReferenceData!$C$1029),"",ReferenceData!$C$1029),"")</f>
        <v>F0946</v>
      </c>
      <c r="D1029" t="str">
        <f>IFERROR(IF(0=LEN(ReferenceData!$D$1029),"",ReferenceData!$D$1029),"")</f>
        <v>TOTAL_GHG_CO2_EMISSIONS</v>
      </c>
      <c r="E1029" t="str">
        <f>IFERROR(IF(0=LEN(ReferenceData!$E$1029),"",ReferenceData!$E$1029),"")</f>
        <v>Dynamic</v>
      </c>
      <c r="F1029">
        <f ca="1">IFERROR(IF(0=LEN(ReferenceData!$F$1029),"",ReferenceData!$F$1029),"")</f>
        <v>3.083E-2</v>
      </c>
      <c r="G1029">
        <f ca="1">IFERROR(IF(0=LEN(ReferenceData!$G$1029),"",ReferenceData!$G$1029),"")</f>
        <v>2.9825999999999998E-2</v>
      </c>
      <c r="H1029">
        <f ca="1">IFERROR(IF(0=LEN(ReferenceData!$H$1029),"",ReferenceData!$H$1029),"")</f>
        <v>3.0834998999999998E-2</v>
      </c>
      <c r="I1029">
        <f ca="1">IFERROR(IF(0=LEN(ReferenceData!$I$1029),"",ReferenceData!$I$1029),"")</f>
        <v>2.8809000000000001E-2</v>
      </c>
      <c r="J1029">
        <f ca="1">IFERROR(IF(0=LEN(ReferenceData!$J$1029),"",ReferenceData!$J$1029),"")</f>
        <v>3.2727000999999999E-2</v>
      </c>
    </row>
    <row r="1030" spans="1:10" x14ac:dyDescent="0.25">
      <c r="A1030" t="str">
        <f>IFERROR(IF(0=LEN(ReferenceData!$A$1030),"",ReferenceData!$A$1030),"")</f>
        <v xml:space="preserve">                        Encavis AG</v>
      </c>
      <c r="B1030" t="str">
        <f>IFERROR(IF(0=LEN(ReferenceData!$B$1030),"",ReferenceData!$B$1030),"")</f>
        <v>ECV GR Equity</v>
      </c>
      <c r="C1030" t="str">
        <f>IFERROR(IF(0=LEN(ReferenceData!$C$1030),"",ReferenceData!$C$1030),"")</f>
        <v>F0946</v>
      </c>
      <c r="D1030" t="str">
        <f>IFERROR(IF(0=LEN(ReferenceData!$D$1030),"",ReferenceData!$D$1030),"")</f>
        <v>TOTAL_GHG_CO2_EMISSIONS</v>
      </c>
      <c r="E1030" t="str">
        <f>IFERROR(IF(0=LEN(ReferenceData!$E$1030),"",ReferenceData!$E$1030),"")</f>
        <v>Dynamic</v>
      </c>
      <c r="F1030" t="str">
        <f ca="1">IFERROR(IF(0=LEN(ReferenceData!$F$1030),"",ReferenceData!$F$1030),"")</f>
        <v/>
      </c>
      <c r="G1030" t="str">
        <f ca="1">IFERROR(IF(0=LEN(ReferenceData!$G$1030),"",ReferenceData!$G$1030),"")</f>
        <v/>
      </c>
      <c r="H1030" t="str">
        <f ca="1">IFERROR(IF(0=LEN(ReferenceData!$H$1030),"",ReferenceData!$H$1030),"")</f>
        <v/>
      </c>
      <c r="I1030" t="str">
        <f ca="1">IFERROR(IF(0=LEN(ReferenceData!$I$1030),"",ReferenceData!$I$1030),"")</f>
        <v/>
      </c>
      <c r="J1030" t="str">
        <f ca="1">IFERROR(IF(0=LEN(ReferenceData!$J$1030),"",ReferenceData!$J$1030),"")</f>
        <v/>
      </c>
    </row>
    <row r="1031" spans="1:10" x14ac:dyDescent="0.25">
      <c r="A1031" t="str">
        <f>IFERROR(IF(0=LEN(ReferenceData!$A$1031),"",ReferenceData!$A$1031),"")</f>
        <v xml:space="preserve">                        Endesa SA</v>
      </c>
      <c r="B1031" t="str">
        <f>IFERROR(IF(0=LEN(ReferenceData!$B$1031),"",ReferenceData!$B$1031),"")</f>
        <v>ELE SM Equity</v>
      </c>
      <c r="C1031" t="str">
        <f>IFERROR(IF(0=LEN(ReferenceData!$C$1031),"",ReferenceData!$C$1031),"")</f>
        <v>F0946</v>
      </c>
      <c r="D1031" t="str">
        <f>IFERROR(IF(0=LEN(ReferenceData!$D$1031),"",ReferenceData!$D$1031),"")</f>
        <v>TOTAL_GHG_CO2_EMISSIONS</v>
      </c>
      <c r="E1031" t="str">
        <f>IFERROR(IF(0=LEN(ReferenceData!$E$1031),"",ReferenceData!$E$1031),"")</f>
        <v>Dynamic</v>
      </c>
      <c r="F1031" t="str">
        <f ca="1">IFERROR(IF(0=LEN(ReferenceData!$F$1031),"",ReferenceData!$F$1031),"")</f>
        <v/>
      </c>
      <c r="G1031">
        <f ca="1">IFERROR(IF(0=LEN(ReferenceData!$G$1031),"",ReferenceData!$G$1031),"")</f>
        <v>11.2457998</v>
      </c>
      <c r="H1031">
        <f ca="1">IFERROR(IF(0=LEN(ReferenceData!$H$1031),"",ReferenceData!$H$1031),"")</f>
        <v>10.811700200000001</v>
      </c>
      <c r="I1031">
        <f ca="1">IFERROR(IF(0=LEN(ReferenceData!$I$1031),"",ReferenceData!$I$1031),"")</f>
        <v>18.194500000000001</v>
      </c>
      <c r="J1031">
        <f ca="1">IFERROR(IF(0=LEN(ReferenceData!$J$1031),"",ReferenceData!$J$1031),"")</f>
        <v>32.668500000000002</v>
      </c>
    </row>
    <row r="1032" spans="1:10" x14ac:dyDescent="0.25">
      <c r="A1032" t="str">
        <f>IFERROR(IF(0=LEN(ReferenceData!$A$1032),"",ReferenceData!$A$1032),"")</f>
        <v xml:space="preserve">                        Enea SA</v>
      </c>
      <c r="B1032" t="str">
        <f>IFERROR(IF(0=LEN(ReferenceData!$B$1032),"",ReferenceData!$B$1032),"")</f>
        <v>ENA PW Equity</v>
      </c>
      <c r="C1032" t="str">
        <f>IFERROR(IF(0=LEN(ReferenceData!$C$1032),"",ReferenceData!$C$1032),"")</f>
        <v>F0946</v>
      </c>
      <c r="D1032" t="str">
        <f>IFERROR(IF(0=LEN(ReferenceData!$D$1032),"",ReferenceData!$D$1032),"")</f>
        <v>TOTAL_GHG_CO2_EMISSIONS</v>
      </c>
      <c r="E1032" t="str">
        <f>IFERROR(IF(0=LEN(ReferenceData!$E$1032),"",ReferenceData!$E$1032),"")</f>
        <v>Dynamic</v>
      </c>
      <c r="F1032">
        <f ca="1">IFERROR(IF(0=LEN(ReferenceData!$F$1032),"",ReferenceData!$F$1032),"")</f>
        <v>23.392300779999999</v>
      </c>
      <c r="G1032">
        <f ca="1">IFERROR(IF(0=LEN(ReferenceData!$G$1032),"",ReferenceData!$G$1032),"")</f>
        <v>22.708400390000001</v>
      </c>
      <c r="H1032">
        <f ca="1">IFERROR(IF(0=LEN(ReferenceData!$H$1032),"",ReferenceData!$H$1032),"")</f>
        <v>18.671300779999999</v>
      </c>
      <c r="I1032">
        <f ca="1">IFERROR(IF(0=LEN(ReferenceData!$I$1032),"",ReferenceData!$I$1032),"")</f>
        <v>21.64759961</v>
      </c>
      <c r="J1032">
        <f ca="1">IFERROR(IF(0=LEN(ReferenceData!$J$1032),"",ReferenceData!$J$1032),"")</f>
        <v>14.365299800000001</v>
      </c>
    </row>
    <row r="1033" spans="1:10" x14ac:dyDescent="0.25">
      <c r="A1033" t="str">
        <f>IFERROR(IF(0=LEN(ReferenceData!$A$1033),"",ReferenceData!$A$1033),"")</f>
        <v xml:space="preserve">                        Enel SpA</v>
      </c>
      <c r="B1033" t="str">
        <f>IFERROR(IF(0=LEN(ReferenceData!$B$1033),"",ReferenceData!$B$1033),"")</f>
        <v>ENEL IM Equity</v>
      </c>
      <c r="C1033" t="str">
        <f>IFERROR(IF(0=LEN(ReferenceData!$C$1033),"",ReferenceData!$C$1033),"")</f>
        <v>F0946</v>
      </c>
      <c r="D1033" t="str">
        <f>IFERROR(IF(0=LEN(ReferenceData!$D$1033),"",ReferenceData!$D$1033),"")</f>
        <v>TOTAL_GHG_CO2_EMISSIONS</v>
      </c>
      <c r="E1033" t="str">
        <f>IFERROR(IF(0=LEN(ReferenceData!$E$1033),"",ReferenceData!$E$1033),"")</f>
        <v>Dynamic</v>
      </c>
      <c r="F1033">
        <f ca="1">IFERROR(IF(0=LEN(ReferenceData!$F$1033),"",ReferenceData!$F$1033),"")</f>
        <v>57.1</v>
      </c>
      <c r="G1033">
        <f ca="1">IFERROR(IF(0=LEN(ReferenceData!$G$1033),"",ReferenceData!$G$1033),"")</f>
        <v>55.873398440000003</v>
      </c>
      <c r="H1033">
        <f ca="1">IFERROR(IF(0=LEN(ReferenceData!$H$1033),"",ReferenceData!$H$1033),"")</f>
        <v>50.25</v>
      </c>
      <c r="I1033">
        <f ca="1">IFERROR(IF(0=LEN(ReferenceData!$I$1033),"",ReferenceData!$I$1033),"")</f>
        <v>75.349999999999994</v>
      </c>
      <c r="J1033">
        <f ca="1">IFERROR(IF(0=LEN(ReferenceData!$J$1033),"",ReferenceData!$J$1033),"")</f>
        <v>95.89</v>
      </c>
    </row>
    <row r="1034" spans="1:10" x14ac:dyDescent="0.25">
      <c r="A1034" t="str">
        <f>IFERROR(IF(0=LEN(ReferenceData!$A$1034),"",ReferenceData!$A$1034),"")</f>
        <v xml:space="preserve">                        EDP - Energias de Portugal SA</v>
      </c>
      <c r="B1034" t="str">
        <f>IFERROR(IF(0=LEN(ReferenceData!$B$1034),"",ReferenceData!$B$1034),"")</f>
        <v>EDP PL Equity</v>
      </c>
      <c r="C1034" t="str">
        <f>IFERROR(IF(0=LEN(ReferenceData!$C$1034),"",ReferenceData!$C$1034),"")</f>
        <v>F0946</v>
      </c>
      <c r="D1034" t="str">
        <f>IFERROR(IF(0=LEN(ReferenceData!$D$1034),"",ReferenceData!$D$1034),"")</f>
        <v>TOTAL_GHG_CO2_EMISSIONS</v>
      </c>
      <c r="E1034" t="str">
        <f>IFERROR(IF(0=LEN(ReferenceData!$E$1034),"",ReferenceData!$E$1034),"")</f>
        <v>Dynamic</v>
      </c>
      <c r="F1034" t="str">
        <f ca="1">IFERROR(IF(0=LEN(ReferenceData!$F$1034),"",ReferenceData!$F$1034),"")</f>
        <v/>
      </c>
      <c r="G1034">
        <f ca="1">IFERROR(IF(0=LEN(ReferenceData!$G$1034),"",ReferenceData!$G$1034),"")</f>
        <v>10.61</v>
      </c>
      <c r="H1034">
        <f ca="1">IFERROR(IF(0=LEN(ReferenceData!$H$1034),"",ReferenceData!$H$1034),"")</f>
        <v>9.9050097659999992</v>
      </c>
      <c r="I1034">
        <f ca="1">IFERROR(IF(0=LEN(ReferenceData!$I$1034),"",ReferenceData!$I$1034),"")</f>
        <v>15.20890039</v>
      </c>
      <c r="J1034">
        <f ca="1">IFERROR(IF(0=LEN(ReferenceData!$J$1034),"",ReferenceData!$J$1034),"")</f>
        <v>19.031099609999998</v>
      </c>
    </row>
    <row r="1035" spans="1:10" x14ac:dyDescent="0.25">
      <c r="A1035" t="str">
        <f>IFERROR(IF(0=LEN(ReferenceData!$A$1035),"",ReferenceData!$A$1035),"")</f>
        <v xml:space="preserve">                        Energiedienst Holding AG</v>
      </c>
      <c r="B1035" t="str">
        <f>IFERROR(IF(0=LEN(ReferenceData!$B$1035),"",ReferenceData!$B$1035),"")</f>
        <v>EDHN SW Equity</v>
      </c>
      <c r="C1035" t="str">
        <f>IFERROR(IF(0=LEN(ReferenceData!$C$1035),"",ReferenceData!$C$1035),"")</f>
        <v>F0946</v>
      </c>
      <c r="D1035" t="str">
        <f>IFERROR(IF(0=LEN(ReferenceData!$D$1035),"",ReferenceData!$D$1035),"")</f>
        <v>TOTAL_GHG_CO2_EMISSIONS</v>
      </c>
      <c r="E1035" t="str">
        <f>IFERROR(IF(0=LEN(ReferenceData!$E$1035),"",ReferenceData!$E$1035),"")</f>
        <v>Dynamic</v>
      </c>
      <c r="F1035">
        <f ca="1">IFERROR(IF(0=LEN(ReferenceData!$F$1035),"",ReferenceData!$F$1035),"")</f>
        <v>3.5689999E-2</v>
      </c>
      <c r="G1035">
        <f ca="1">IFERROR(IF(0=LEN(ReferenceData!$G$1035),"",ReferenceData!$G$1035),"")</f>
        <v>4.0742001E-2</v>
      </c>
      <c r="H1035" t="str">
        <f ca="1">IFERROR(IF(0=LEN(ReferenceData!$H$1035),"",ReferenceData!$H$1035),"")</f>
        <v/>
      </c>
      <c r="I1035" t="str">
        <f ca="1">IFERROR(IF(0=LEN(ReferenceData!$I$1035),"",ReferenceData!$I$1035),"")</f>
        <v/>
      </c>
      <c r="J1035" t="str">
        <f ca="1">IFERROR(IF(0=LEN(ReferenceData!$J$1035),"",ReferenceData!$J$1035),"")</f>
        <v/>
      </c>
    </row>
    <row r="1036" spans="1:10" x14ac:dyDescent="0.25">
      <c r="A1036" t="str">
        <f>IFERROR(IF(0=LEN(ReferenceData!$A$1036),"",ReferenceData!$A$1036),"")</f>
        <v xml:space="preserve">                        Electricite de France SA</v>
      </c>
      <c r="B1036" t="str">
        <f>IFERROR(IF(0=LEN(ReferenceData!$B$1036),"",ReferenceData!$B$1036),"")</f>
        <v>EDF FP Equity</v>
      </c>
      <c r="C1036" t="str">
        <f>IFERROR(IF(0=LEN(ReferenceData!$C$1036),"",ReferenceData!$C$1036),"")</f>
        <v>F0946</v>
      </c>
      <c r="D1036" t="str">
        <f>IFERROR(IF(0=LEN(ReferenceData!$D$1036),"",ReferenceData!$D$1036),"")</f>
        <v>TOTAL_GHG_CO2_EMISSIONS</v>
      </c>
      <c r="E1036" t="str">
        <f>IFERROR(IF(0=LEN(ReferenceData!$E$1036),"",ReferenceData!$E$1036),"")</f>
        <v>Dynamic</v>
      </c>
      <c r="F1036">
        <f ca="1">IFERROR(IF(0=LEN(ReferenceData!$F$1036),"",ReferenceData!$F$1036),"")</f>
        <v>24.39</v>
      </c>
      <c r="G1036">
        <f ca="1">IFERROR(IF(0=LEN(ReferenceData!$G$1036),"",ReferenceData!$G$1036),"")</f>
        <v>27.67</v>
      </c>
      <c r="H1036">
        <f ca="1">IFERROR(IF(0=LEN(ReferenceData!$H$1036),"",ReferenceData!$H$1036),"")</f>
        <v>28.011800780000002</v>
      </c>
      <c r="I1036">
        <f ca="1">IFERROR(IF(0=LEN(ReferenceData!$I$1036),"",ReferenceData!$I$1036),"")</f>
        <v>33.3795</v>
      </c>
      <c r="J1036">
        <f ca="1">IFERROR(IF(0=LEN(ReferenceData!$J$1036),"",ReferenceData!$J$1036),"")</f>
        <v>36.169800780000003</v>
      </c>
    </row>
    <row r="1037" spans="1:10" x14ac:dyDescent="0.25">
      <c r="A1037" t="str">
        <f>IFERROR(IF(0=LEN(ReferenceData!$A$1037),"",ReferenceData!$A$1037),"")</f>
        <v xml:space="preserve">                        Engie SA</v>
      </c>
      <c r="B1037" t="str">
        <f>IFERROR(IF(0=LEN(ReferenceData!$B$1037),"",ReferenceData!$B$1037),"")</f>
        <v>ENGI FP Equity</v>
      </c>
      <c r="C1037" t="str">
        <f>IFERROR(IF(0=LEN(ReferenceData!$C$1037),"",ReferenceData!$C$1037),"")</f>
        <v>F0946</v>
      </c>
      <c r="D1037" t="str">
        <f>IFERROR(IF(0=LEN(ReferenceData!$D$1037),"",ReferenceData!$D$1037),"")</f>
        <v>TOTAL_GHG_CO2_EMISSIONS</v>
      </c>
      <c r="E1037" t="str">
        <f>IFERROR(IF(0=LEN(ReferenceData!$E$1037),"",ReferenceData!$E$1037),"")</f>
        <v>Dynamic</v>
      </c>
      <c r="F1037">
        <f ca="1">IFERROR(IF(0=LEN(ReferenceData!$F$1037),"",ReferenceData!$F$1037),"")</f>
        <v>30.584</v>
      </c>
      <c r="G1037">
        <f ca="1">IFERROR(IF(0=LEN(ReferenceData!$G$1037),"",ReferenceData!$G$1037),"")</f>
        <v>39.451398439999998</v>
      </c>
      <c r="H1037">
        <f ca="1">IFERROR(IF(0=LEN(ReferenceData!$H$1037),"",ReferenceData!$H$1037),"")</f>
        <v>40.919601559999997</v>
      </c>
      <c r="I1037">
        <f ca="1">IFERROR(IF(0=LEN(ReferenceData!$I$1037),"",ReferenceData!$I$1037),"")</f>
        <v>56.470800779999998</v>
      </c>
      <c r="J1037">
        <f ca="1">IFERROR(IF(0=LEN(ReferenceData!$J$1037),"",ReferenceData!$J$1037),"")</f>
        <v>69.201999999999998</v>
      </c>
    </row>
    <row r="1038" spans="1:10" x14ac:dyDescent="0.25">
      <c r="A1038" t="str">
        <f>IFERROR(IF(0=LEN(ReferenceData!$A$1038),"",ReferenceData!$A$1038),"")</f>
        <v xml:space="preserve">                        EVN AG</v>
      </c>
      <c r="B1038" t="str">
        <f>IFERROR(IF(0=LEN(ReferenceData!$B$1038),"",ReferenceData!$B$1038),"")</f>
        <v>EVN AV Equity</v>
      </c>
      <c r="C1038" t="str">
        <f>IFERROR(IF(0=LEN(ReferenceData!$C$1038),"",ReferenceData!$C$1038),"")</f>
        <v>F0946</v>
      </c>
      <c r="D1038" t="str">
        <f>IFERROR(IF(0=LEN(ReferenceData!$D$1038),"",ReferenceData!$D$1038),"")</f>
        <v>TOTAL_GHG_CO2_EMISSIONS</v>
      </c>
      <c r="E1038" t="str">
        <f>IFERROR(IF(0=LEN(ReferenceData!$E$1038),"",ReferenceData!$E$1038),"")</f>
        <v>Dynamic</v>
      </c>
      <c r="F1038">
        <f ca="1">IFERROR(IF(0=LEN(ReferenceData!$F$1038),"",ReferenceData!$F$1038),"")</f>
        <v>2.4422199710000001</v>
      </c>
      <c r="G1038">
        <f ca="1">IFERROR(IF(0=LEN(ReferenceData!$G$1038),"",ReferenceData!$G$1038),"")</f>
        <v>3.4198300779999999</v>
      </c>
      <c r="H1038">
        <f ca="1">IFERROR(IF(0=LEN(ReferenceData!$H$1038),"",ReferenceData!$H$1038),"")</f>
        <v>2.43272998</v>
      </c>
      <c r="I1038">
        <f ca="1">IFERROR(IF(0=LEN(ReferenceData!$I$1038),"",ReferenceData!$I$1038),"")</f>
        <v>3.710580078</v>
      </c>
      <c r="J1038">
        <f ca="1">IFERROR(IF(0=LEN(ReferenceData!$J$1038),"",ReferenceData!$J$1038),"")</f>
        <v>2.787879883</v>
      </c>
    </row>
    <row r="1039" spans="1:10" x14ac:dyDescent="0.25">
      <c r="A1039" t="str">
        <f>IFERROR(IF(0=LEN(ReferenceData!$A$1039),"",ReferenceData!$A$1039),"")</f>
        <v xml:space="preserve">                        Falck Renewables SpA</v>
      </c>
      <c r="B1039" t="str">
        <f>IFERROR(IF(0=LEN(ReferenceData!$B$1039),"",ReferenceData!$B$1039),"")</f>
        <v>FKR IM Equity</v>
      </c>
      <c r="C1039" t="str">
        <f>IFERROR(IF(0=LEN(ReferenceData!$C$1039),"",ReferenceData!$C$1039),"")</f>
        <v>F0946</v>
      </c>
      <c r="D1039" t="str">
        <f>IFERROR(IF(0=LEN(ReferenceData!$D$1039),"",ReferenceData!$D$1039),"")</f>
        <v>TOTAL_GHG_CO2_EMISSIONS</v>
      </c>
      <c r="E1039" t="str">
        <f>IFERROR(IF(0=LEN(ReferenceData!$E$1039),"",ReferenceData!$E$1039),"")</f>
        <v>Dynamic</v>
      </c>
      <c r="F1039" t="str">
        <f ca="1">IFERROR(IF(0=LEN(ReferenceData!$F$1039),"",ReferenceData!$F$1039),"")</f>
        <v/>
      </c>
      <c r="G1039">
        <f ca="1">IFERROR(IF(0=LEN(ReferenceData!$G$1039),"",ReferenceData!$G$1039),"")</f>
        <v>0.173453995</v>
      </c>
      <c r="H1039">
        <f ca="1">IFERROR(IF(0=LEN(ReferenceData!$H$1039),"",ReferenceData!$H$1039),"")</f>
        <v>0.15849000599999999</v>
      </c>
      <c r="I1039">
        <f ca="1">IFERROR(IF(0=LEN(ReferenceData!$I$1039),"",ReferenceData!$I$1039),"")</f>
        <v>0.11262699900000001</v>
      </c>
      <c r="J1039">
        <f ca="1">IFERROR(IF(0=LEN(ReferenceData!$J$1039),"",ReferenceData!$J$1039),"")</f>
        <v>0.114427002</v>
      </c>
    </row>
    <row r="1040" spans="1:10" x14ac:dyDescent="0.25">
      <c r="A1040" t="str">
        <f>IFERROR(IF(0=LEN(ReferenceData!$A$1040),"",ReferenceData!$A$1040),"")</f>
        <v xml:space="preserve">                        Fortum Oyj</v>
      </c>
      <c r="B1040" t="str">
        <f>IFERROR(IF(0=LEN(ReferenceData!$B$1040),"",ReferenceData!$B$1040),"")</f>
        <v>FORTUM FH Equity</v>
      </c>
      <c r="C1040" t="str">
        <f>IFERROR(IF(0=LEN(ReferenceData!$C$1040),"",ReferenceData!$C$1040),"")</f>
        <v>F0946</v>
      </c>
      <c r="D1040" t="str">
        <f>IFERROR(IF(0=LEN(ReferenceData!$D$1040),"",ReferenceData!$D$1040),"")</f>
        <v>TOTAL_GHG_CO2_EMISSIONS</v>
      </c>
      <c r="E1040" t="str">
        <f>IFERROR(IF(0=LEN(ReferenceData!$E$1040),"",ReferenceData!$E$1040),"")</f>
        <v>Dynamic</v>
      </c>
      <c r="F1040">
        <f ca="1">IFERROR(IF(0=LEN(ReferenceData!$F$1040),"",ReferenceData!$F$1040),"")</f>
        <v>17.04</v>
      </c>
      <c r="G1040">
        <f ca="1">IFERROR(IF(0=LEN(ReferenceData!$G$1040),"",ReferenceData!$G$1040),"")</f>
        <v>69.732796879999995</v>
      </c>
      <c r="H1040">
        <f ca="1">IFERROR(IF(0=LEN(ReferenceData!$H$1040),"",ReferenceData!$H$1040),"")</f>
        <v>49.675800780000003</v>
      </c>
      <c r="I1040">
        <f ca="1">IFERROR(IF(0=LEN(ReferenceData!$I$1040),"",ReferenceData!$I$1040),"")</f>
        <v>19.404499999999999</v>
      </c>
      <c r="J1040">
        <f ca="1">IFERROR(IF(0=LEN(ReferenceData!$J$1040),"",ReferenceData!$J$1040),"")</f>
        <v>20.30380078</v>
      </c>
    </row>
    <row r="1041" spans="1:10" x14ac:dyDescent="0.25">
      <c r="A1041" t="str">
        <f>IFERROR(IF(0=LEN(ReferenceData!$A$1041),"",ReferenceData!$A$1041),"")</f>
        <v xml:space="preserve">                        Iren SpA</v>
      </c>
      <c r="B1041" t="str">
        <f>IFERROR(IF(0=LEN(ReferenceData!$B$1041),"",ReferenceData!$B$1041),"")</f>
        <v>IRE IM Equity</v>
      </c>
      <c r="C1041" t="str">
        <f>IFERROR(IF(0=LEN(ReferenceData!$C$1041),"",ReferenceData!$C$1041),"")</f>
        <v>F0946</v>
      </c>
      <c r="D1041" t="str">
        <f>IFERROR(IF(0=LEN(ReferenceData!$D$1041),"",ReferenceData!$D$1041),"")</f>
        <v>TOTAL_GHG_CO2_EMISSIONS</v>
      </c>
      <c r="E1041" t="str">
        <f>IFERROR(IF(0=LEN(ReferenceData!$E$1041),"",ReferenceData!$E$1041),"")</f>
        <v>Dynamic</v>
      </c>
      <c r="F1041">
        <f ca="1">IFERROR(IF(0=LEN(ReferenceData!$F$1041),"",ReferenceData!$F$1041),"")</f>
        <v>3.5690800779999998</v>
      </c>
      <c r="G1041">
        <f ca="1">IFERROR(IF(0=LEN(ReferenceData!$G$1041),"",ReferenceData!$G$1041),"")</f>
        <v>4.0902299800000002</v>
      </c>
      <c r="H1041">
        <f ca="1">IFERROR(IF(0=LEN(ReferenceData!$H$1041),"",ReferenceData!$H$1041),"")</f>
        <v>3.9813798829999998</v>
      </c>
      <c r="I1041">
        <f ca="1">IFERROR(IF(0=LEN(ReferenceData!$I$1041),"",ReferenceData!$I$1041),"")</f>
        <v>4.0485800779999996</v>
      </c>
      <c r="J1041">
        <f ca="1">IFERROR(IF(0=LEN(ReferenceData!$J$1041),"",ReferenceData!$J$1041),"")</f>
        <v>3.4540300290000001</v>
      </c>
    </row>
    <row r="1042" spans="1:10" x14ac:dyDescent="0.25">
      <c r="A1042" t="str">
        <f>IFERROR(IF(0=LEN(ReferenceData!$A$1042),"",ReferenceData!$A$1042),"")</f>
        <v xml:space="preserve">                        Iberdrola SA</v>
      </c>
      <c r="B1042" t="str">
        <f>IFERROR(IF(0=LEN(ReferenceData!$B$1042),"",ReferenceData!$B$1042),"")</f>
        <v>IBE SM Equity</v>
      </c>
      <c r="C1042" t="str">
        <f>IFERROR(IF(0=LEN(ReferenceData!$C$1042),"",ReferenceData!$C$1042),"")</f>
        <v>F0946</v>
      </c>
      <c r="D1042" t="str">
        <f>IFERROR(IF(0=LEN(ReferenceData!$D$1042),"",ReferenceData!$D$1042),"")</f>
        <v>TOTAL_GHG_CO2_EMISSIONS</v>
      </c>
      <c r="E1042" t="str">
        <f>IFERROR(IF(0=LEN(ReferenceData!$E$1042),"",ReferenceData!$E$1042),"")</f>
        <v>Dynamic</v>
      </c>
      <c r="F1042">
        <f ca="1">IFERROR(IF(0=LEN(ReferenceData!$F$1042),"",ReferenceData!$F$1042),"")</f>
        <v>13.2257002</v>
      </c>
      <c r="G1042">
        <f ca="1">IFERROR(IF(0=LEN(ReferenceData!$G$1042),"",ReferenceData!$G$1042),"")</f>
        <v>15.341200199999999</v>
      </c>
      <c r="H1042">
        <f ca="1">IFERROR(IF(0=LEN(ReferenceData!$H$1042),"",ReferenceData!$H$1042),"")</f>
        <v>14.89309961</v>
      </c>
      <c r="I1042">
        <f ca="1">IFERROR(IF(0=LEN(ReferenceData!$I$1042),"",ReferenceData!$I$1042),"")</f>
        <v>15.5087998</v>
      </c>
      <c r="J1042">
        <f ca="1">IFERROR(IF(0=LEN(ReferenceData!$J$1042),"",ReferenceData!$J$1042),"")</f>
        <v>27.11290039</v>
      </c>
    </row>
    <row r="1043" spans="1:10" x14ac:dyDescent="0.25">
      <c r="A1043" t="str">
        <f>IFERROR(IF(0=LEN(ReferenceData!$A$1043),"",ReferenceData!$A$1043),"")</f>
        <v xml:space="preserve">                        MVV Energie AG</v>
      </c>
      <c r="B1043" t="str">
        <f>IFERROR(IF(0=LEN(ReferenceData!$B$1043),"",ReferenceData!$B$1043),"")</f>
        <v>MVV1 GR Equity</v>
      </c>
      <c r="C1043" t="str">
        <f>IFERROR(IF(0=LEN(ReferenceData!$C$1043),"",ReferenceData!$C$1043),"")</f>
        <v>F0946</v>
      </c>
      <c r="D1043" t="str">
        <f>IFERROR(IF(0=LEN(ReferenceData!$D$1043),"",ReferenceData!$D$1043),"")</f>
        <v>TOTAL_GHG_CO2_EMISSIONS</v>
      </c>
      <c r="E1043" t="str">
        <f>IFERROR(IF(0=LEN(ReferenceData!$E$1043),"",ReferenceData!$E$1043),"")</f>
        <v>Dynamic</v>
      </c>
      <c r="F1043">
        <f ca="1">IFERROR(IF(0=LEN(ReferenceData!$F$1043),"",ReferenceData!$F$1043),"")</f>
        <v>3.794</v>
      </c>
      <c r="G1043">
        <f ca="1">IFERROR(IF(0=LEN(ReferenceData!$G$1043),"",ReferenceData!$G$1043),"")</f>
        <v>3.64</v>
      </c>
      <c r="H1043">
        <f ca="1">IFERROR(IF(0=LEN(ReferenceData!$H$1043),"",ReferenceData!$H$1043),"")</f>
        <v>3.5339999999999998</v>
      </c>
      <c r="I1043">
        <f ca="1">IFERROR(IF(0=LEN(ReferenceData!$I$1043),"",ReferenceData!$I$1043),"")</f>
        <v>3.59</v>
      </c>
      <c r="J1043">
        <f ca="1">IFERROR(IF(0=LEN(ReferenceData!$J$1043),"",ReferenceData!$J$1043),"")</f>
        <v>3.8769999999999998</v>
      </c>
    </row>
    <row r="1044" spans="1:10" x14ac:dyDescent="0.25">
      <c r="A1044" t="str">
        <f>IFERROR(IF(0=LEN(ReferenceData!$A$1044),"",ReferenceData!$A$1044),"")</f>
        <v xml:space="preserve">                        Naturgy Energy Group SA</v>
      </c>
      <c r="B1044" t="str">
        <f>IFERROR(IF(0=LEN(ReferenceData!$B$1044),"",ReferenceData!$B$1044),"")</f>
        <v>NTGY SM Equity</v>
      </c>
      <c r="C1044" t="str">
        <f>IFERROR(IF(0=LEN(ReferenceData!$C$1044),"",ReferenceData!$C$1044),"")</f>
        <v>F0946</v>
      </c>
      <c r="D1044" t="str">
        <f>IFERROR(IF(0=LEN(ReferenceData!$D$1044),"",ReferenceData!$D$1044),"")</f>
        <v>TOTAL_GHG_CO2_EMISSIONS</v>
      </c>
      <c r="E1044" t="str">
        <f>IFERROR(IF(0=LEN(ReferenceData!$E$1044),"",ReferenceData!$E$1044),"")</f>
        <v>Dynamic</v>
      </c>
      <c r="F1044">
        <f ca="1">IFERROR(IF(0=LEN(ReferenceData!$F$1044),"",ReferenceData!$F$1044),"")</f>
        <v>15.105</v>
      </c>
      <c r="G1044">
        <f ca="1">IFERROR(IF(0=LEN(ReferenceData!$G$1044),"",ReferenceData!$G$1044),"")</f>
        <v>13.4522998</v>
      </c>
      <c r="H1044">
        <f ca="1">IFERROR(IF(0=LEN(ReferenceData!$H$1044),"",ReferenceData!$H$1044),"")</f>
        <v>15.455500000000001</v>
      </c>
      <c r="I1044">
        <f ca="1">IFERROR(IF(0=LEN(ReferenceData!$I$1044),"",ReferenceData!$I$1044),"")</f>
        <v>16.51390039</v>
      </c>
      <c r="J1044">
        <f ca="1">IFERROR(IF(0=LEN(ReferenceData!$J$1044),"",ReferenceData!$J$1044),"")</f>
        <v>19.399000000000001</v>
      </c>
    </row>
    <row r="1045" spans="1:10" x14ac:dyDescent="0.25">
      <c r="A1045" t="str">
        <f>IFERROR(IF(0=LEN(ReferenceData!$A$1045),"",ReferenceData!$A$1045),"")</f>
        <v xml:space="preserve">                        Neoen SA</v>
      </c>
      <c r="B1045" t="str">
        <f>IFERROR(IF(0=LEN(ReferenceData!$B$1045),"",ReferenceData!$B$1045),"")</f>
        <v>NEOEN FP Equity</v>
      </c>
      <c r="C1045" t="str">
        <f>IFERROR(IF(0=LEN(ReferenceData!$C$1045),"",ReferenceData!$C$1045),"")</f>
        <v>F0946</v>
      </c>
      <c r="D1045" t="str">
        <f>IFERROR(IF(0=LEN(ReferenceData!$D$1045),"",ReferenceData!$D$1045),"")</f>
        <v>TOTAL_GHG_CO2_EMISSIONS</v>
      </c>
      <c r="E1045" t="str">
        <f>IFERROR(IF(0=LEN(ReferenceData!$E$1045),"",ReferenceData!$E$1045),"")</f>
        <v>Dynamic</v>
      </c>
      <c r="F1045" t="str">
        <f ca="1">IFERROR(IF(0=LEN(ReferenceData!$F$1045),"",ReferenceData!$F$1045),"")</f>
        <v/>
      </c>
      <c r="G1045" t="str">
        <f ca="1">IFERROR(IF(0=LEN(ReferenceData!$G$1045),"",ReferenceData!$G$1045),"")</f>
        <v/>
      </c>
      <c r="H1045" t="str">
        <f ca="1">IFERROR(IF(0=LEN(ReferenceData!$H$1045),"",ReferenceData!$H$1045),"")</f>
        <v/>
      </c>
      <c r="I1045" t="str">
        <f ca="1">IFERROR(IF(0=LEN(ReferenceData!$I$1045),"",ReferenceData!$I$1045),"")</f>
        <v/>
      </c>
      <c r="J1045" t="str">
        <f ca="1">IFERROR(IF(0=LEN(ReferenceData!$J$1045),"",ReferenceData!$J$1045),"")</f>
        <v/>
      </c>
    </row>
    <row r="1046" spans="1:10" x14ac:dyDescent="0.25">
      <c r="A1046" t="str">
        <f>IFERROR(IF(0=LEN(ReferenceData!$A$1046),"",ReferenceData!$A$1046),"")</f>
        <v xml:space="preserve">                        Orsted AS</v>
      </c>
      <c r="B1046" t="str">
        <f>IFERROR(IF(0=LEN(ReferenceData!$B$1046),"",ReferenceData!$B$1046),"")</f>
        <v>ORSTED DC Equity</v>
      </c>
      <c r="C1046" t="str">
        <f>IFERROR(IF(0=LEN(ReferenceData!$C$1046),"",ReferenceData!$C$1046),"")</f>
        <v>F0946</v>
      </c>
      <c r="D1046" t="str">
        <f>IFERROR(IF(0=LEN(ReferenceData!$D$1046),"",ReferenceData!$D$1046),"")</f>
        <v>TOTAL_GHG_CO2_EMISSIONS</v>
      </c>
      <c r="E1046" t="str">
        <f>IFERROR(IF(0=LEN(ReferenceData!$E$1046),"",ReferenceData!$E$1046),"")</f>
        <v>Dynamic</v>
      </c>
      <c r="F1046">
        <f ca="1">IFERROR(IF(0=LEN(ReferenceData!$F$1046),"",ReferenceData!$F$1046),"")</f>
        <v>2.5550000000000002</v>
      </c>
      <c r="G1046">
        <f ca="1">IFERROR(IF(0=LEN(ReferenceData!$G$1046),"",ReferenceData!$G$1046),"")</f>
        <v>2.1949999999999998</v>
      </c>
      <c r="H1046">
        <f ca="1">IFERROR(IF(0=LEN(ReferenceData!$H$1046),"",ReferenceData!$H$1046),"")</f>
        <v>1.962</v>
      </c>
      <c r="I1046">
        <f ca="1">IFERROR(IF(0=LEN(ReferenceData!$I$1046),"",ReferenceData!$I$1046),"")</f>
        <v>1.9690000000000001</v>
      </c>
      <c r="J1046">
        <f ca="1">IFERROR(IF(0=LEN(ReferenceData!$J$1046),"",ReferenceData!$J$1046),"")</f>
        <v>3.6339999999999999</v>
      </c>
    </row>
    <row r="1047" spans="1:10" x14ac:dyDescent="0.25">
      <c r="A1047" t="str">
        <f>IFERROR(IF(0=LEN(ReferenceData!$A$1047),"",ReferenceData!$A$1047),"")</f>
        <v xml:space="preserve">                        PGE Polska Grupa Energetyczna</v>
      </c>
      <c r="B1047" t="str">
        <f>IFERROR(IF(0=LEN(ReferenceData!$B$1047),"",ReferenceData!$B$1047),"")</f>
        <v>PGE PW Equity</v>
      </c>
      <c r="C1047" t="str">
        <f>IFERROR(IF(0=LEN(ReferenceData!$C$1047),"",ReferenceData!$C$1047),"")</f>
        <v>F0946</v>
      </c>
      <c r="D1047" t="str">
        <f>IFERROR(IF(0=LEN(ReferenceData!$D$1047),"",ReferenceData!$D$1047),"")</f>
        <v>TOTAL_GHG_CO2_EMISSIONS</v>
      </c>
      <c r="E1047" t="str">
        <f>IFERROR(IF(0=LEN(ReferenceData!$E$1047),"",ReferenceData!$E$1047),"")</f>
        <v>Dynamic</v>
      </c>
      <c r="F1047" t="str">
        <f ca="1">IFERROR(IF(0=LEN(ReferenceData!$F$1047),"",ReferenceData!$F$1047),"")</f>
        <v/>
      </c>
      <c r="G1047">
        <f ca="1">IFERROR(IF(0=LEN(ReferenceData!$G$1047),"",ReferenceData!$G$1047),"")</f>
        <v>73.170203130000004</v>
      </c>
      <c r="H1047">
        <f ca="1">IFERROR(IF(0=LEN(ReferenceData!$H$1047),"",ReferenceData!$H$1047),"")</f>
        <v>59.518800779999999</v>
      </c>
      <c r="I1047">
        <f ca="1">IFERROR(IF(0=LEN(ReferenceData!$I$1047),"",ReferenceData!$I$1047),"")</f>
        <v>60.66330078</v>
      </c>
      <c r="J1047">
        <f ca="1">IFERROR(IF(0=LEN(ReferenceData!$J$1047),"",ReferenceData!$J$1047),"")</f>
        <v>58.916199220000003</v>
      </c>
    </row>
    <row r="1048" spans="1:10" x14ac:dyDescent="0.25">
      <c r="A1048" t="str">
        <f>IFERROR(IF(0=LEN(ReferenceData!$A$1048),"",ReferenceData!$A$1048),"")</f>
        <v xml:space="preserve">                        Public Power Corp SA</v>
      </c>
      <c r="B1048" t="str">
        <f>IFERROR(IF(0=LEN(ReferenceData!$B$1048),"",ReferenceData!$B$1048),"")</f>
        <v>PPC GA Equity</v>
      </c>
      <c r="C1048" t="str">
        <f>IFERROR(IF(0=LEN(ReferenceData!$C$1048),"",ReferenceData!$C$1048),"")</f>
        <v>F0946</v>
      </c>
      <c r="D1048" t="str">
        <f>IFERROR(IF(0=LEN(ReferenceData!$D$1048),"",ReferenceData!$D$1048),"")</f>
        <v>TOTAL_GHG_CO2_EMISSIONS</v>
      </c>
      <c r="E1048" t="str">
        <f>IFERROR(IF(0=LEN(ReferenceData!$E$1048),"",ReferenceData!$E$1048),"")</f>
        <v>Dynamic</v>
      </c>
      <c r="F1048" t="str">
        <f ca="1">IFERROR(IF(0=LEN(ReferenceData!$F$1048),"",ReferenceData!$F$1048),"")</f>
        <v/>
      </c>
      <c r="G1048">
        <f ca="1">IFERROR(IF(0=LEN(ReferenceData!$G$1048),"",ReferenceData!$G$1048),"")</f>
        <v>13.635099609999999</v>
      </c>
      <c r="H1048">
        <f ca="1">IFERROR(IF(0=LEN(ReferenceData!$H$1048),"",ReferenceData!$H$1048),"")</f>
        <v>13.38159961</v>
      </c>
      <c r="I1048" t="str">
        <f ca="1">IFERROR(IF(0=LEN(ReferenceData!$I$1048),"",ReferenceData!$I$1048),"")</f>
        <v/>
      </c>
      <c r="J1048" t="str">
        <f ca="1">IFERROR(IF(0=LEN(ReferenceData!$J$1048),"",ReferenceData!$J$1048),"")</f>
        <v/>
      </c>
    </row>
    <row r="1049" spans="1:10" x14ac:dyDescent="0.25">
      <c r="A1049" t="str">
        <f>IFERROR(IF(0=LEN(ReferenceData!$A$1049),"",ReferenceData!$A$1049),"")</f>
        <v xml:space="preserve">                        Romande Energie Holding SA</v>
      </c>
      <c r="B1049" t="str">
        <f>IFERROR(IF(0=LEN(ReferenceData!$B$1049),"",ReferenceData!$B$1049),"")</f>
        <v>HREN SW Equity</v>
      </c>
      <c r="C1049" t="str">
        <f>IFERROR(IF(0=LEN(ReferenceData!$C$1049),"",ReferenceData!$C$1049),"")</f>
        <v>F0946</v>
      </c>
      <c r="D1049" t="str">
        <f>IFERROR(IF(0=LEN(ReferenceData!$D$1049),"",ReferenceData!$D$1049),"")</f>
        <v>TOTAL_GHG_CO2_EMISSIONS</v>
      </c>
      <c r="E1049" t="str">
        <f>IFERROR(IF(0=LEN(ReferenceData!$E$1049),"",ReferenceData!$E$1049),"")</f>
        <v>Dynamic</v>
      </c>
      <c r="F1049">
        <f ca="1">IFERROR(IF(0=LEN(ReferenceData!$F$1049),"",ReferenceData!$F$1049),"")</f>
        <v>1.0134000000000001E-2</v>
      </c>
      <c r="G1049">
        <f ca="1">IFERROR(IF(0=LEN(ReferenceData!$G$1049),"",ReferenceData!$G$1049),"")</f>
        <v>7.247E-3</v>
      </c>
      <c r="H1049">
        <f ca="1">IFERROR(IF(0=LEN(ReferenceData!$H$1049),"",ReferenceData!$H$1049),"")</f>
        <v>6.7190000000000001E-3</v>
      </c>
      <c r="I1049" t="str">
        <f ca="1">IFERROR(IF(0=LEN(ReferenceData!$I$1049),"",ReferenceData!$I$1049),"")</f>
        <v/>
      </c>
      <c r="J1049" t="str">
        <f ca="1">IFERROR(IF(0=LEN(ReferenceData!$J$1049),"",ReferenceData!$J$1049),"")</f>
        <v/>
      </c>
    </row>
    <row r="1050" spans="1:10" x14ac:dyDescent="0.25">
      <c r="A1050" t="str">
        <f>IFERROR(IF(0=LEN(ReferenceData!$A$1050),"",ReferenceData!$A$1050),"")</f>
        <v xml:space="preserve">                        RWE AG</v>
      </c>
      <c r="B1050" t="str">
        <f>IFERROR(IF(0=LEN(ReferenceData!$B$1050),"",ReferenceData!$B$1050),"")</f>
        <v>RWE GR Equity</v>
      </c>
      <c r="C1050" t="str">
        <f>IFERROR(IF(0=LEN(ReferenceData!$C$1050),"",ReferenceData!$C$1050),"")</f>
        <v>F0946</v>
      </c>
      <c r="D1050" t="str">
        <f>IFERROR(IF(0=LEN(ReferenceData!$D$1050),"",ReferenceData!$D$1050),"")</f>
        <v>TOTAL_GHG_CO2_EMISSIONS</v>
      </c>
      <c r="E1050" t="str">
        <f>IFERROR(IF(0=LEN(ReferenceData!$E$1050),"",ReferenceData!$E$1050),"")</f>
        <v>Dynamic</v>
      </c>
      <c r="F1050">
        <f ca="1">IFERROR(IF(0=LEN(ReferenceData!$F$1050),"",ReferenceData!$F$1050),"")</f>
        <v>92.4</v>
      </c>
      <c r="G1050">
        <f ca="1">IFERROR(IF(0=LEN(ReferenceData!$G$1050),"",ReferenceData!$G$1050),"")</f>
        <v>89.6</v>
      </c>
      <c r="H1050">
        <f ca="1">IFERROR(IF(0=LEN(ReferenceData!$H$1050),"",ReferenceData!$H$1050),"")</f>
        <v>72.932000000000002</v>
      </c>
      <c r="I1050">
        <f ca="1">IFERROR(IF(0=LEN(ReferenceData!$I$1050),"",ReferenceData!$I$1050),"")</f>
        <v>96.42</v>
      </c>
      <c r="J1050">
        <f ca="1">IFERROR(IF(0=LEN(ReferenceData!$J$1050),"",ReferenceData!$J$1050),"")</f>
        <v>125.4</v>
      </c>
    </row>
    <row r="1051" spans="1:10" x14ac:dyDescent="0.25">
      <c r="A1051" t="str">
        <f>IFERROR(IF(0=LEN(ReferenceData!$A$1051),"",ReferenceData!$A$1051),"")</f>
        <v xml:space="preserve">                        Scatec ASA</v>
      </c>
      <c r="B1051" t="str">
        <f>IFERROR(IF(0=LEN(ReferenceData!$B$1051),"",ReferenceData!$B$1051),"")</f>
        <v>SCATC NO Equity</v>
      </c>
      <c r="C1051" t="str">
        <f>IFERROR(IF(0=LEN(ReferenceData!$C$1051),"",ReferenceData!$C$1051),"")</f>
        <v>F0946</v>
      </c>
      <c r="D1051" t="str">
        <f>IFERROR(IF(0=LEN(ReferenceData!$D$1051),"",ReferenceData!$D$1051),"")</f>
        <v>TOTAL_GHG_CO2_EMISSIONS</v>
      </c>
      <c r="E1051" t="str">
        <f>IFERROR(IF(0=LEN(ReferenceData!$E$1051),"",ReferenceData!$E$1051),"")</f>
        <v>Dynamic</v>
      </c>
      <c r="F1051" t="str">
        <f ca="1">IFERROR(IF(0=LEN(ReferenceData!$F$1051),"",ReferenceData!$F$1051),"")</f>
        <v/>
      </c>
      <c r="G1051">
        <f ca="1">IFERROR(IF(0=LEN(ReferenceData!$G$1051),"",ReferenceData!$G$1051),"")</f>
        <v>5.868E-3</v>
      </c>
      <c r="H1051">
        <f ca="1">IFERROR(IF(0=LEN(ReferenceData!$H$1051),"",ReferenceData!$H$1051),"")</f>
        <v>6.4429999999999999E-3</v>
      </c>
      <c r="I1051">
        <f ca="1">IFERROR(IF(0=LEN(ReferenceData!$I$1051),"",ReferenceData!$I$1051),"")</f>
        <v>6.9052999999999996E-3</v>
      </c>
      <c r="J1051">
        <f ca="1">IFERROR(IF(0=LEN(ReferenceData!$J$1051),"",ReferenceData!$J$1051),"")</f>
        <v>6.0834000000000001E-3</v>
      </c>
    </row>
    <row r="1052" spans="1:10" x14ac:dyDescent="0.25">
      <c r="A1052" t="str">
        <f>IFERROR(IF(0=LEN(ReferenceData!$A$1052),"",ReferenceData!$A$1052),"")</f>
        <v xml:space="preserve">                        SSE PLC</v>
      </c>
      <c r="B1052" t="str">
        <f>IFERROR(IF(0=LEN(ReferenceData!$B$1052),"",ReferenceData!$B$1052),"")</f>
        <v>SSE LN Equity</v>
      </c>
      <c r="C1052" t="str">
        <f>IFERROR(IF(0=LEN(ReferenceData!$C$1052),"",ReferenceData!$C$1052),"")</f>
        <v>F0946</v>
      </c>
      <c r="D1052" t="str">
        <f>IFERROR(IF(0=LEN(ReferenceData!$D$1052),"",ReferenceData!$D$1052),"")</f>
        <v>TOTAL_GHG_CO2_EMISSIONS</v>
      </c>
      <c r="E1052" t="str">
        <f>IFERROR(IF(0=LEN(ReferenceData!$E$1052),"",ReferenceData!$E$1052),"")</f>
        <v>Dynamic</v>
      </c>
      <c r="F1052" t="str">
        <f ca="1">IFERROR(IF(0=LEN(ReferenceData!$F$1052),"",ReferenceData!$F$1052),"")</f>
        <v/>
      </c>
      <c r="G1052">
        <f ca="1">IFERROR(IF(0=LEN(ReferenceData!$G$1052),"",ReferenceData!$G$1052),"")</f>
        <v>6.2380898440000001</v>
      </c>
      <c r="H1052">
        <f ca="1">IFERROR(IF(0=LEN(ReferenceData!$H$1052),"",ReferenceData!$H$1052),"")</f>
        <v>7.6338500979999999</v>
      </c>
      <c r="I1052">
        <f ca="1">IFERROR(IF(0=LEN(ReferenceData!$I$1052),"",ReferenceData!$I$1052),"")</f>
        <v>8.9076601560000004</v>
      </c>
      <c r="J1052">
        <f ca="1">IFERROR(IF(0=LEN(ReferenceData!$J$1052),"",ReferenceData!$J$1052),"")</f>
        <v>9.5140302729999995</v>
      </c>
    </row>
    <row r="1053" spans="1:10" x14ac:dyDescent="0.25">
      <c r="A1053" t="str">
        <f>IFERROR(IF(0=LEN(ReferenceData!$A$1053),"",ReferenceData!$A$1053),"")</f>
        <v xml:space="preserve">                        Tauron Polska Energia SA</v>
      </c>
      <c r="B1053" t="str">
        <f>IFERROR(IF(0=LEN(ReferenceData!$B$1053),"",ReferenceData!$B$1053),"")</f>
        <v>TPE PW Equity</v>
      </c>
      <c r="C1053" t="str">
        <f>IFERROR(IF(0=LEN(ReferenceData!$C$1053),"",ReferenceData!$C$1053),"")</f>
        <v>F0946</v>
      </c>
      <c r="D1053" t="str">
        <f>IFERROR(IF(0=LEN(ReferenceData!$D$1053),"",ReferenceData!$D$1053),"")</f>
        <v>TOTAL_GHG_CO2_EMISSIONS</v>
      </c>
      <c r="E1053" t="str">
        <f>IFERROR(IF(0=LEN(ReferenceData!$E$1053),"",ReferenceData!$E$1053),"")</f>
        <v>Dynamic</v>
      </c>
      <c r="F1053">
        <f ca="1">IFERROR(IF(0=LEN(ReferenceData!$F$1053),"",ReferenceData!$F$1053),"")</f>
        <v>15.428900390000001</v>
      </c>
      <c r="G1053" t="str">
        <f ca="1">IFERROR(IF(0=LEN(ReferenceData!$G$1053),"",ReferenceData!$G$1053),"")</f>
        <v/>
      </c>
      <c r="H1053" t="str">
        <f ca="1">IFERROR(IF(0=LEN(ReferenceData!$H$1053),"",ReferenceData!$H$1053),"")</f>
        <v/>
      </c>
      <c r="I1053" t="str">
        <f ca="1">IFERROR(IF(0=LEN(ReferenceData!$I$1053),"",ReferenceData!$I$1053),"")</f>
        <v/>
      </c>
      <c r="J1053" t="str">
        <f ca="1">IFERROR(IF(0=LEN(ReferenceData!$J$1053),"",ReferenceData!$J$1053),"")</f>
        <v/>
      </c>
    </row>
    <row r="1054" spans="1:10" x14ac:dyDescent="0.25">
      <c r="A1054" t="str">
        <f>IFERROR(IF(0=LEN(ReferenceData!$A$1054),"",ReferenceData!$A$1054),"")</f>
        <v xml:space="preserve">                        Terna Energy SA</v>
      </c>
      <c r="B1054" t="str">
        <f>IFERROR(IF(0=LEN(ReferenceData!$B$1054),"",ReferenceData!$B$1054),"")</f>
        <v>TENERGY GA Equity</v>
      </c>
      <c r="C1054" t="str">
        <f>IFERROR(IF(0=LEN(ReferenceData!$C$1054),"",ReferenceData!$C$1054),"")</f>
        <v>F0946</v>
      </c>
      <c r="D1054" t="str">
        <f>IFERROR(IF(0=LEN(ReferenceData!$D$1054),"",ReferenceData!$D$1054),"")</f>
        <v>TOTAL_GHG_CO2_EMISSIONS</v>
      </c>
      <c r="E1054" t="str">
        <f>IFERROR(IF(0=LEN(ReferenceData!$E$1054),"",ReferenceData!$E$1054),"")</f>
        <v>Dynamic</v>
      </c>
      <c r="F1054">
        <f ca="1">IFERROR(IF(0=LEN(ReferenceData!$F$1054),"",ReferenceData!$F$1054),"")</f>
        <v>3.0447999999999999E-3</v>
      </c>
      <c r="G1054">
        <f ca="1">IFERROR(IF(0=LEN(ReferenceData!$G$1054),"",ReferenceData!$G$1054),"")</f>
        <v>4.2560000000000002E-3</v>
      </c>
      <c r="H1054">
        <f ca="1">IFERROR(IF(0=LEN(ReferenceData!$H$1054),"",ReferenceData!$H$1054),"")</f>
        <v>1.19682E-2</v>
      </c>
      <c r="I1054">
        <f ca="1">IFERROR(IF(0=LEN(ReferenceData!$I$1054),"",ReferenceData!$I$1054),"")</f>
        <v>9.1419899999999991E-3</v>
      </c>
      <c r="J1054" t="str">
        <f ca="1">IFERROR(IF(0=LEN(ReferenceData!$J$1054),"",ReferenceData!$J$1054),"")</f>
        <v/>
      </c>
    </row>
    <row r="1055" spans="1:10" x14ac:dyDescent="0.25">
      <c r="A1055" t="str">
        <f>IFERROR(IF(0=LEN(ReferenceData!$A$1055),"",ReferenceData!$A$1055),"")</f>
        <v xml:space="preserve">                        Uniper SE</v>
      </c>
      <c r="B1055" t="str">
        <f>IFERROR(IF(0=LEN(ReferenceData!$B$1055),"",ReferenceData!$B$1055),"")</f>
        <v>UN01 GR Equity</v>
      </c>
      <c r="C1055" t="str">
        <f>IFERROR(IF(0=LEN(ReferenceData!$C$1055),"",ReferenceData!$C$1055),"")</f>
        <v>F0946</v>
      </c>
      <c r="D1055" t="str">
        <f>IFERROR(IF(0=LEN(ReferenceData!$D$1055),"",ReferenceData!$D$1055),"")</f>
        <v>TOTAL_GHG_CO2_EMISSIONS</v>
      </c>
      <c r="E1055" t="str">
        <f>IFERROR(IF(0=LEN(ReferenceData!$E$1055),"",ReferenceData!$E$1055),"")</f>
        <v>Dynamic</v>
      </c>
      <c r="F1055">
        <f ca="1">IFERROR(IF(0=LEN(ReferenceData!$F$1055),"",ReferenceData!$F$1055),"")</f>
        <v>56.5</v>
      </c>
      <c r="G1055">
        <f ca="1">IFERROR(IF(0=LEN(ReferenceData!$G$1055),"",ReferenceData!$G$1055),"")</f>
        <v>51.809300780000001</v>
      </c>
      <c r="H1055">
        <f ca="1">IFERROR(IF(0=LEN(ReferenceData!$H$1055),"",ReferenceData!$H$1055),"")</f>
        <v>43.618499999999997</v>
      </c>
      <c r="I1055">
        <f ca="1">IFERROR(IF(0=LEN(ReferenceData!$I$1055),"",ReferenceData!$I$1055),"")</f>
        <v>48.12</v>
      </c>
      <c r="J1055">
        <f ca="1">IFERROR(IF(0=LEN(ReferenceData!$J$1055),"",ReferenceData!$J$1055),"")</f>
        <v>60.049500000000002</v>
      </c>
    </row>
    <row r="1056" spans="1:10" x14ac:dyDescent="0.25">
      <c r="A1056" t="str">
        <f>IFERROR(IF(0=LEN(ReferenceData!$A$1056),"",ReferenceData!$A$1056),"")</f>
        <v xml:space="preserve">                        Verbund AG</v>
      </c>
      <c r="B1056" t="str">
        <f>IFERROR(IF(0=LEN(ReferenceData!$B$1056),"",ReferenceData!$B$1056),"")</f>
        <v>VER AV Equity</v>
      </c>
      <c r="C1056" t="str">
        <f>IFERROR(IF(0=LEN(ReferenceData!$C$1056),"",ReferenceData!$C$1056),"")</f>
        <v>F0946</v>
      </c>
      <c r="D1056" t="str">
        <f>IFERROR(IF(0=LEN(ReferenceData!$D$1056),"",ReferenceData!$D$1056),"")</f>
        <v>TOTAL_GHG_CO2_EMISSIONS</v>
      </c>
      <c r="E1056" t="str">
        <f>IFERROR(IF(0=LEN(ReferenceData!$E$1056),"",ReferenceData!$E$1056),"")</f>
        <v>Dynamic</v>
      </c>
      <c r="F1056">
        <f ca="1">IFERROR(IF(0=LEN(ReferenceData!$F$1056),"",ReferenceData!$F$1056),"")</f>
        <v>0.81299999999999994</v>
      </c>
      <c r="G1056">
        <f ca="1">IFERROR(IF(0=LEN(ReferenceData!$G$1056),"",ReferenceData!$G$1056),"")</f>
        <v>0.6</v>
      </c>
      <c r="H1056">
        <f ca="1">IFERROR(IF(0=LEN(ReferenceData!$H$1056),"",ReferenceData!$H$1056),"")</f>
        <v>1.0603100590000001</v>
      </c>
      <c r="I1056">
        <f ca="1">IFERROR(IF(0=LEN(ReferenceData!$I$1056),"",ReferenceData!$I$1056),"")</f>
        <v>1.4643499760000001</v>
      </c>
      <c r="J1056">
        <f ca="1">IFERROR(IF(0=LEN(ReferenceData!$J$1056),"",ReferenceData!$J$1056),"")</f>
        <v>1.5054000240000001</v>
      </c>
    </row>
    <row r="1057" spans="1:10" x14ac:dyDescent="0.25">
      <c r="A1057" t="str">
        <f>IFERROR(IF(0=LEN(ReferenceData!$A$1057),"",ReferenceData!$A$1057),"")</f>
        <v xml:space="preserve">                        Voltalia SA</v>
      </c>
      <c r="B1057" t="str">
        <f>IFERROR(IF(0=LEN(ReferenceData!$B$1057),"",ReferenceData!$B$1057),"")</f>
        <v>VLTSA FP Equity</v>
      </c>
      <c r="C1057" t="str">
        <f>IFERROR(IF(0=LEN(ReferenceData!$C$1057),"",ReferenceData!$C$1057),"")</f>
        <v>F0946</v>
      </c>
      <c r="D1057" t="str">
        <f>IFERROR(IF(0=LEN(ReferenceData!$D$1057),"",ReferenceData!$D$1057),"")</f>
        <v>TOTAL_GHG_CO2_EMISSIONS</v>
      </c>
      <c r="E1057" t="str">
        <f>IFERROR(IF(0=LEN(ReferenceData!$E$1057),"",ReferenceData!$E$1057),"")</f>
        <v>Dynamic</v>
      </c>
      <c r="F1057">
        <f ca="1">IFERROR(IF(0=LEN(ReferenceData!$F$1057),"",ReferenceData!$F$1057),"")</f>
        <v>3.5700001000000002E-2</v>
      </c>
      <c r="G1057">
        <f ca="1">IFERROR(IF(0=LEN(ReferenceData!$G$1057),"",ReferenceData!$G$1057),"")</f>
        <v>3.9830002000000003E-2</v>
      </c>
      <c r="H1057">
        <f ca="1">IFERROR(IF(0=LEN(ReferenceData!$H$1057),"",ReferenceData!$H$1057),"")</f>
        <v>3.9612000000000001E-2</v>
      </c>
      <c r="I1057">
        <f ca="1">IFERROR(IF(0=LEN(ReferenceData!$I$1057),"",ReferenceData!$I$1057),"")</f>
        <v>5.2299999E-2</v>
      </c>
      <c r="J1057">
        <f ca="1">IFERROR(IF(0=LEN(ReferenceData!$J$1057),"",ReferenceData!$J$1057),"")</f>
        <v>4.7700000999999999E-2</v>
      </c>
    </row>
    <row r="1058" spans="1:10" x14ac:dyDescent="0.25">
      <c r="A1058" t="str">
        <f>IFERROR(IF(0=LEN(ReferenceData!$A$1058),"",ReferenceData!$A$1058),"")</f>
        <v xml:space="preserve">                    APAC Power Generation</v>
      </c>
      <c r="B1058" t="str">
        <f>IFERROR(IF(0=LEN(ReferenceData!$B$1058),"",ReferenceData!$B$1058),"")</f>
        <v/>
      </c>
      <c r="C1058" t="str">
        <f>IFERROR(IF(0=LEN(ReferenceData!$C$1058),"",ReferenceData!$C$1058),"")</f>
        <v/>
      </c>
      <c r="D1058" t="str">
        <f>IFERROR(IF(0=LEN(ReferenceData!$D$1058),"",ReferenceData!$D$1058),"")</f>
        <v/>
      </c>
      <c r="E1058" t="str">
        <f>IFERROR(IF(0=LEN(ReferenceData!$E$1058),"",ReferenceData!$E$1058),"")</f>
        <v>Sum</v>
      </c>
      <c r="F1058">
        <f ca="1">IFERROR(IF(0=LEN(ReferenceData!$F$1058),"",ReferenceData!$F$1058),"")</f>
        <v>1138.8323135989999</v>
      </c>
      <c r="G1058">
        <f ca="1">IFERROR(IF(0=LEN(ReferenceData!$G$1058),"",ReferenceData!$G$1058),"")</f>
        <v>1424.0773347270001</v>
      </c>
      <c r="H1058">
        <f ca="1">IFERROR(IF(0=LEN(ReferenceData!$H$1058),"",ReferenceData!$H$1058),"")</f>
        <v>1772.6864849410001</v>
      </c>
      <c r="I1058">
        <f ca="1">IFERROR(IF(0=LEN(ReferenceData!$I$1058),"",ReferenceData!$I$1058),"")</f>
        <v>1791.7487874369997</v>
      </c>
      <c r="J1058">
        <f ca="1">IFERROR(IF(0=LEN(ReferenceData!$J$1058),"",ReferenceData!$J$1058),"")</f>
        <v>2061.8656866169999</v>
      </c>
    </row>
    <row r="1059" spans="1:10" x14ac:dyDescent="0.25">
      <c r="A1059" t="str">
        <f>IFERROR(IF(0=LEN(ReferenceData!$A$1059),"",ReferenceData!$A$1059),"")</f>
        <v xml:space="preserve">                        Aboitiz Power Corp</v>
      </c>
      <c r="B1059" t="str">
        <f>IFERROR(IF(0=LEN(ReferenceData!$B$1059),"",ReferenceData!$B$1059),"")</f>
        <v>AP PM Equity</v>
      </c>
      <c r="C1059" t="str">
        <f>IFERROR(IF(0=LEN(ReferenceData!$C$1059),"",ReferenceData!$C$1059),"")</f>
        <v>F0946</v>
      </c>
      <c r="D1059" t="str">
        <f>IFERROR(IF(0=LEN(ReferenceData!$D$1059),"",ReferenceData!$D$1059),"")</f>
        <v>TOTAL_GHG_CO2_EMISSIONS</v>
      </c>
      <c r="E1059" t="str">
        <f>IFERROR(IF(0=LEN(ReferenceData!$E$1059),"",ReferenceData!$E$1059),"")</f>
        <v>Dynamic</v>
      </c>
      <c r="F1059" t="str">
        <f ca="1">IFERROR(IF(0=LEN(ReferenceData!$F$1059),"",ReferenceData!$F$1059),"")</f>
        <v/>
      </c>
      <c r="G1059" t="str">
        <f ca="1">IFERROR(IF(0=LEN(ReferenceData!$G$1059),"",ReferenceData!$G$1059),"")</f>
        <v/>
      </c>
      <c r="H1059" t="str">
        <f ca="1">IFERROR(IF(0=LEN(ReferenceData!$H$1059),"",ReferenceData!$H$1059),"")</f>
        <v/>
      </c>
      <c r="I1059" t="str">
        <f ca="1">IFERROR(IF(0=LEN(ReferenceData!$I$1059),"",ReferenceData!$I$1059),"")</f>
        <v/>
      </c>
      <c r="J1059" t="str">
        <f ca="1">IFERROR(IF(0=LEN(ReferenceData!$J$1059),"",ReferenceData!$J$1059),"")</f>
        <v/>
      </c>
    </row>
    <row r="1060" spans="1:10" x14ac:dyDescent="0.25">
      <c r="A1060" t="str">
        <f>IFERROR(IF(0=LEN(ReferenceData!$A$1060),"",ReferenceData!$A$1060),"")</f>
        <v xml:space="preserve">                        AGL Energy Ltd</v>
      </c>
      <c r="B1060" t="str">
        <f>IFERROR(IF(0=LEN(ReferenceData!$B$1060),"",ReferenceData!$B$1060),"")</f>
        <v>AGL AU Equity</v>
      </c>
      <c r="C1060" t="str">
        <f>IFERROR(IF(0=LEN(ReferenceData!$C$1060),"",ReferenceData!$C$1060),"")</f>
        <v>F0946</v>
      </c>
      <c r="D1060" t="str">
        <f>IFERROR(IF(0=LEN(ReferenceData!$D$1060),"",ReferenceData!$D$1060),"")</f>
        <v>TOTAL_GHG_CO2_EMISSIONS</v>
      </c>
      <c r="E1060" t="str">
        <f>IFERROR(IF(0=LEN(ReferenceData!$E$1060),"",ReferenceData!$E$1060),"")</f>
        <v>Dynamic</v>
      </c>
      <c r="F1060" t="str">
        <f ca="1">IFERROR(IF(0=LEN(ReferenceData!$F$1060),"",ReferenceData!$F$1060),"")</f>
        <v/>
      </c>
      <c r="G1060">
        <f ca="1">IFERROR(IF(0=LEN(ReferenceData!$G$1060),"",ReferenceData!$G$1060),"")</f>
        <v>40.052</v>
      </c>
      <c r="H1060">
        <f ca="1">IFERROR(IF(0=LEN(ReferenceData!$H$1060),"",ReferenceData!$H$1060),"")</f>
        <v>40.670999999999999</v>
      </c>
      <c r="I1060">
        <f ca="1">IFERROR(IF(0=LEN(ReferenceData!$I$1060),"",ReferenceData!$I$1060),"")</f>
        <v>42.741</v>
      </c>
      <c r="J1060">
        <f ca="1">IFERROR(IF(0=LEN(ReferenceData!$J$1060),"",ReferenceData!$J$1060),"")</f>
        <v>43.247999999999998</v>
      </c>
    </row>
    <row r="1061" spans="1:10" x14ac:dyDescent="0.25">
      <c r="A1061" t="str">
        <f>IFERROR(IF(0=LEN(ReferenceData!$A$1061),"",ReferenceData!$A$1061),"")</f>
        <v xml:space="preserve">                        CGN Power Co Ltd</v>
      </c>
      <c r="B1061" t="str">
        <f>IFERROR(IF(0=LEN(ReferenceData!$B$1061),"",ReferenceData!$B$1061),"")</f>
        <v>1816 HK Equity</v>
      </c>
      <c r="C1061" t="str">
        <f>IFERROR(IF(0=LEN(ReferenceData!$C$1061),"",ReferenceData!$C$1061),"")</f>
        <v>F0946</v>
      </c>
      <c r="D1061" t="str">
        <f>IFERROR(IF(0=LEN(ReferenceData!$D$1061),"",ReferenceData!$D$1061),"")</f>
        <v>TOTAL_GHG_CO2_EMISSIONS</v>
      </c>
      <c r="E1061" t="str">
        <f>IFERROR(IF(0=LEN(ReferenceData!$E$1061),"",ReferenceData!$E$1061),"")</f>
        <v>Dynamic</v>
      </c>
      <c r="F1061" t="str">
        <f ca="1">IFERROR(IF(0=LEN(ReferenceData!$F$1061),"",ReferenceData!$F$1061),"")</f>
        <v/>
      </c>
      <c r="G1061" t="str">
        <f ca="1">IFERROR(IF(0=LEN(ReferenceData!$G$1061),"",ReferenceData!$G$1061),"")</f>
        <v/>
      </c>
      <c r="H1061" t="str">
        <f ca="1">IFERROR(IF(0=LEN(ReferenceData!$H$1061),"",ReferenceData!$H$1061),"")</f>
        <v/>
      </c>
      <c r="I1061" t="str">
        <f ca="1">IFERROR(IF(0=LEN(ReferenceData!$I$1061),"",ReferenceData!$I$1061),"")</f>
        <v/>
      </c>
      <c r="J1061" t="str">
        <f ca="1">IFERROR(IF(0=LEN(ReferenceData!$J$1061),"",ReferenceData!$J$1061),"")</f>
        <v/>
      </c>
    </row>
    <row r="1062" spans="1:10" x14ac:dyDescent="0.25">
      <c r="A1062" t="str">
        <f>IFERROR(IF(0=LEN(ReferenceData!$A$1062),"",ReferenceData!$A$1062),"")</f>
        <v xml:space="preserve">                        China Datang Corp Renewable Po</v>
      </c>
      <c r="B1062" t="str">
        <f>IFERROR(IF(0=LEN(ReferenceData!$B$1062),"",ReferenceData!$B$1062),"")</f>
        <v>1798 HK Equity</v>
      </c>
      <c r="C1062" t="str">
        <f>IFERROR(IF(0=LEN(ReferenceData!$C$1062),"",ReferenceData!$C$1062),"")</f>
        <v>F0946</v>
      </c>
      <c r="D1062" t="str">
        <f>IFERROR(IF(0=LEN(ReferenceData!$D$1062),"",ReferenceData!$D$1062),"")</f>
        <v>TOTAL_GHG_CO2_EMISSIONS</v>
      </c>
      <c r="E1062" t="str">
        <f>IFERROR(IF(0=LEN(ReferenceData!$E$1062),"",ReferenceData!$E$1062),"")</f>
        <v>Dynamic</v>
      </c>
      <c r="F1062">
        <f ca="1">IFERROR(IF(0=LEN(ReferenceData!$F$1062),"",ReferenceData!$F$1062),"")</f>
        <v>9.7950798000000006E-2</v>
      </c>
      <c r="G1062">
        <f ca="1">IFERROR(IF(0=LEN(ReferenceData!$G$1062),"",ReferenceData!$G$1062),"")</f>
        <v>7.7724602000000004E-2</v>
      </c>
      <c r="H1062">
        <f ca="1">IFERROR(IF(0=LEN(ReferenceData!$H$1062),"",ReferenceData!$H$1062),"")</f>
        <v>6.2202201999999998E-2</v>
      </c>
      <c r="I1062">
        <f ca="1">IFERROR(IF(0=LEN(ReferenceData!$I$1062),"",ReferenceData!$I$1062),"")</f>
        <v>4.4417197999999998E-2</v>
      </c>
      <c r="J1062">
        <f ca="1">IFERROR(IF(0=LEN(ReferenceData!$J$1062),"",ReferenceData!$J$1062),"")</f>
        <v>4.49757E-2</v>
      </c>
    </row>
    <row r="1063" spans="1:10" x14ac:dyDescent="0.25">
      <c r="A1063" t="str">
        <f>IFERROR(IF(0=LEN(ReferenceData!$A$1063),"",ReferenceData!$A$1063),"")</f>
        <v xml:space="preserve">                        China Everbright Environment G</v>
      </c>
      <c r="B1063" t="str">
        <f>IFERROR(IF(0=LEN(ReferenceData!$B$1063),"",ReferenceData!$B$1063),"")</f>
        <v>257 HK Equity</v>
      </c>
      <c r="C1063" t="str">
        <f>IFERROR(IF(0=LEN(ReferenceData!$C$1063),"",ReferenceData!$C$1063),"")</f>
        <v>F0946</v>
      </c>
      <c r="D1063" t="str">
        <f>IFERROR(IF(0=LEN(ReferenceData!$D$1063),"",ReferenceData!$D$1063),"")</f>
        <v>TOTAL_GHG_CO2_EMISSIONS</v>
      </c>
      <c r="E1063" t="str">
        <f>IFERROR(IF(0=LEN(ReferenceData!$E$1063),"",ReferenceData!$E$1063),"")</f>
        <v>Dynamic</v>
      </c>
      <c r="F1063">
        <f ca="1">IFERROR(IF(0=LEN(ReferenceData!$F$1063),"",ReferenceData!$F$1063),"")</f>
        <v>13.348599610000001</v>
      </c>
      <c r="G1063">
        <f ca="1">IFERROR(IF(0=LEN(ReferenceData!$G$1063),"",ReferenceData!$G$1063),"")</f>
        <v>15.7627998</v>
      </c>
      <c r="H1063">
        <f ca="1">IFERROR(IF(0=LEN(ReferenceData!$H$1063),"",ReferenceData!$H$1063),"")</f>
        <v>11.171900389999999</v>
      </c>
      <c r="I1063">
        <f ca="1">IFERROR(IF(0=LEN(ReferenceData!$I$1063),"",ReferenceData!$I$1063),"")</f>
        <v>22.905599609999999</v>
      </c>
      <c r="J1063">
        <f ca="1">IFERROR(IF(0=LEN(ReferenceData!$J$1063),"",ReferenceData!$J$1063),"")</f>
        <v>22.49219922</v>
      </c>
    </row>
    <row r="1064" spans="1:10" x14ac:dyDescent="0.25">
      <c r="A1064" t="str">
        <f>IFERROR(IF(0=LEN(ReferenceData!$A$1064),"",ReferenceData!$A$1064),"")</f>
        <v xml:space="preserve">                        China Longyuan Power Group Cor</v>
      </c>
      <c r="B1064" t="str">
        <f>IFERROR(IF(0=LEN(ReferenceData!$B$1064),"",ReferenceData!$B$1064),"")</f>
        <v>916 HK Equity</v>
      </c>
      <c r="C1064" t="str">
        <f>IFERROR(IF(0=LEN(ReferenceData!$C$1064),"",ReferenceData!$C$1064),"")</f>
        <v>F0946</v>
      </c>
      <c r="D1064" t="str">
        <f>IFERROR(IF(0=LEN(ReferenceData!$D$1064),"",ReferenceData!$D$1064),"")</f>
        <v>TOTAL_GHG_CO2_EMISSIONS</v>
      </c>
      <c r="E1064" t="str">
        <f>IFERROR(IF(0=LEN(ReferenceData!$E$1064),"",ReferenceData!$E$1064),"")</f>
        <v>Dynamic</v>
      </c>
      <c r="F1064">
        <f ca="1">IFERROR(IF(0=LEN(ReferenceData!$F$1064),"",ReferenceData!$F$1064),"")</f>
        <v>10.230700199999999</v>
      </c>
      <c r="G1064" t="str">
        <f ca="1">IFERROR(IF(0=LEN(ReferenceData!$G$1064),"",ReferenceData!$G$1064),"")</f>
        <v/>
      </c>
      <c r="H1064" t="str">
        <f ca="1">IFERROR(IF(0=LEN(ReferenceData!$H$1064),"",ReferenceData!$H$1064),"")</f>
        <v/>
      </c>
      <c r="I1064" t="str">
        <f ca="1">IFERROR(IF(0=LEN(ReferenceData!$I$1064),"",ReferenceData!$I$1064),"")</f>
        <v/>
      </c>
      <c r="J1064" t="str">
        <f ca="1">IFERROR(IF(0=LEN(ReferenceData!$J$1064),"",ReferenceData!$J$1064),"")</f>
        <v/>
      </c>
    </row>
    <row r="1065" spans="1:10" x14ac:dyDescent="0.25">
      <c r="A1065" t="str">
        <f>IFERROR(IF(0=LEN(ReferenceData!$A$1065),"",ReferenceData!$A$1065),"")</f>
        <v xml:space="preserve">                        China Power International Deve</v>
      </c>
      <c r="B1065" t="str">
        <f>IFERROR(IF(0=LEN(ReferenceData!$B$1065),"",ReferenceData!$B$1065),"")</f>
        <v>2380 HK Equity</v>
      </c>
      <c r="C1065" t="str">
        <f>IFERROR(IF(0=LEN(ReferenceData!$C$1065),"",ReferenceData!$C$1065),"")</f>
        <v>F0946</v>
      </c>
      <c r="D1065" t="str">
        <f>IFERROR(IF(0=LEN(ReferenceData!$D$1065),"",ReferenceData!$D$1065),"")</f>
        <v>TOTAL_GHG_CO2_EMISSIONS</v>
      </c>
      <c r="E1065" t="str">
        <f>IFERROR(IF(0=LEN(ReferenceData!$E$1065),"",ReferenceData!$E$1065),"")</f>
        <v>Dynamic</v>
      </c>
      <c r="F1065">
        <f ca="1">IFERROR(IF(0=LEN(ReferenceData!$F$1065),"",ReferenceData!$F$1065),"")</f>
        <v>61.9</v>
      </c>
      <c r="G1065" t="str">
        <f ca="1">IFERROR(IF(0=LEN(ReferenceData!$G$1065),"",ReferenceData!$G$1065),"")</f>
        <v/>
      </c>
      <c r="H1065">
        <f ca="1">IFERROR(IF(0=LEN(ReferenceData!$H$1065),"",ReferenceData!$H$1065),"")</f>
        <v>46.957000000000001</v>
      </c>
      <c r="I1065">
        <f ca="1">IFERROR(IF(0=LEN(ReferenceData!$I$1065),"",ReferenceData!$I$1065),"")</f>
        <v>48.854999999999997</v>
      </c>
      <c r="J1065">
        <f ca="1">IFERROR(IF(0=LEN(ReferenceData!$J$1065),"",ReferenceData!$J$1065),"")</f>
        <v>40.802</v>
      </c>
    </row>
    <row r="1066" spans="1:10" x14ac:dyDescent="0.25">
      <c r="A1066" t="str">
        <f>IFERROR(IF(0=LEN(ReferenceData!$A$1066),"",ReferenceData!$A$1066),"")</f>
        <v xml:space="preserve">                        China Resources Power Holdings</v>
      </c>
      <c r="B1066" t="str">
        <f>IFERROR(IF(0=LEN(ReferenceData!$B$1066),"",ReferenceData!$B$1066),"")</f>
        <v>836 HK Equity</v>
      </c>
      <c r="C1066" t="str">
        <f>IFERROR(IF(0=LEN(ReferenceData!$C$1066),"",ReferenceData!$C$1066),"")</f>
        <v>F0946</v>
      </c>
      <c r="D1066" t="str">
        <f>IFERROR(IF(0=LEN(ReferenceData!$D$1066),"",ReferenceData!$D$1066),"")</f>
        <v>TOTAL_GHG_CO2_EMISSIONS</v>
      </c>
      <c r="E1066" t="str">
        <f>IFERROR(IF(0=LEN(ReferenceData!$E$1066),"",ReferenceData!$E$1066),"")</f>
        <v>Dynamic</v>
      </c>
      <c r="F1066">
        <f ca="1">IFERROR(IF(0=LEN(ReferenceData!$F$1066),"",ReferenceData!$F$1066),"")</f>
        <v>152.61500000000001</v>
      </c>
      <c r="G1066">
        <f ca="1">IFERROR(IF(0=LEN(ReferenceData!$G$1066),"",ReferenceData!$G$1066),"")</f>
        <v>153.08000000000001</v>
      </c>
      <c r="H1066">
        <f ca="1">IFERROR(IF(0=LEN(ReferenceData!$H$1066),"",ReferenceData!$H$1066),"")</f>
        <v>140.71</v>
      </c>
      <c r="I1066">
        <f ca="1">IFERROR(IF(0=LEN(ReferenceData!$I$1066),"",ReferenceData!$I$1066),"")</f>
        <v>134.02000000000001</v>
      </c>
      <c r="J1066">
        <f ca="1">IFERROR(IF(0=LEN(ReferenceData!$J$1066),"",ReferenceData!$J$1066),"")</f>
        <v>133.30500000000001</v>
      </c>
    </row>
    <row r="1067" spans="1:10" x14ac:dyDescent="0.25">
      <c r="A1067" t="str">
        <f>IFERROR(IF(0=LEN(ReferenceData!$A$1067),"",ReferenceData!$A$1067),"")</f>
        <v xml:space="preserve">                        China Yangtze Power Co Ltd</v>
      </c>
      <c r="B1067" t="str">
        <f>IFERROR(IF(0=LEN(ReferenceData!$B$1067),"",ReferenceData!$B$1067),"")</f>
        <v>600900 CH Equity</v>
      </c>
      <c r="C1067" t="str">
        <f>IFERROR(IF(0=LEN(ReferenceData!$C$1067),"",ReferenceData!$C$1067),"")</f>
        <v>F0946</v>
      </c>
      <c r="D1067" t="str">
        <f>IFERROR(IF(0=LEN(ReferenceData!$D$1067),"",ReferenceData!$D$1067),"")</f>
        <v>TOTAL_GHG_CO2_EMISSIONS</v>
      </c>
      <c r="E1067" t="str">
        <f>IFERROR(IF(0=LEN(ReferenceData!$E$1067),"",ReferenceData!$E$1067),"")</f>
        <v>Dynamic</v>
      </c>
      <c r="F1067">
        <f ca="1">IFERROR(IF(0=LEN(ReferenceData!$F$1067),"",ReferenceData!$F$1067),"")</f>
        <v>2.14834E-2</v>
      </c>
      <c r="G1067" t="str">
        <f ca="1">IFERROR(IF(0=LEN(ReferenceData!$G$1067),"",ReferenceData!$G$1067),"")</f>
        <v/>
      </c>
      <c r="H1067" t="str">
        <f ca="1">IFERROR(IF(0=LEN(ReferenceData!$H$1067),"",ReferenceData!$H$1067),"")</f>
        <v/>
      </c>
      <c r="I1067" t="str">
        <f ca="1">IFERROR(IF(0=LEN(ReferenceData!$I$1067),"",ReferenceData!$I$1067),"")</f>
        <v/>
      </c>
      <c r="J1067" t="str">
        <f ca="1">IFERROR(IF(0=LEN(ReferenceData!$J$1067),"",ReferenceData!$J$1067),"")</f>
        <v/>
      </c>
    </row>
    <row r="1068" spans="1:10" x14ac:dyDescent="0.25">
      <c r="A1068" t="str">
        <f>IFERROR(IF(0=LEN(ReferenceData!$A$1068),"",ReferenceData!$A$1068),"")</f>
        <v xml:space="preserve">                        CK Infrastructure Holdings Ltd</v>
      </c>
      <c r="B1068" t="str">
        <f>IFERROR(IF(0=LEN(ReferenceData!$B$1068),"",ReferenceData!$B$1068),"")</f>
        <v>1038 HK Equity</v>
      </c>
      <c r="C1068" t="str">
        <f>IFERROR(IF(0=LEN(ReferenceData!$C$1068),"",ReferenceData!$C$1068),"")</f>
        <v>F0946</v>
      </c>
      <c r="D1068" t="str">
        <f>IFERROR(IF(0=LEN(ReferenceData!$D$1068),"",ReferenceData!$D$1068),"")</f>
        <v>TOTAL_GHG_CO2_EMISSIONS</v>
      </c>
      <c r="E1068" t="str">
        <f>IFERROR(IF(0=LEN(ReferenceData!$E$1068),"",ReferenceData!$E$1068),"")</f>
        <v>Dynamic</v>
      </c>
      <c r="F1068">
        <f ca="1">IFERROR(IF(0=LEN(ReferenceData!$F$1068),"",ReferenceData!$F$1068),"")</f>
        <v>9.1859003910000006</v>
      </c>
      <c r="G1068">
        <f ca="1">IFERROR(IF(0=LEN(ReferenceData!$G$1068),"",ReferenceData!$G$1068),"")</f>
        <v>8.4994199219999995</v>
      </c>
      <c r="H1068">
        <f ca="1">IFERROR(IF(0=LEN(ReferenceData!$H$1068),"",ReferenceData!$H$1068),"")</f>
        <v>9.923679688</v>
      </c>
      <c r="I1068">
        <f ca="1">IFERROR(IF(0=LEN(ReferenceData!$I$1068),"",ReferenceData!$I$1068),"")</f>
        <v>10.3137002</v>
      </c>
      <c r="J1068">
        <f ca="1">IFERROR(IF(0=LEN(ReferenceData!$J$1068),"",ReferenceData!$J$1068),"")</f>
        <v>10.864900390000001</v>
      </c>
    </row>
    <row r="1069" spans="1:10" x14ac:dyDescent="0.25">
      <c r="A1069" t="str">
        <f>IFERROR(IF(0=LEN(ReferenceData!$A$1069),"",ReferenceData!$A$1069),"")</f>
        <v xml:space="preserve">                        CLP Holdings Ltd</v>
      </c>
      <c r="B1069" t="str">
        <f>IFERROR(IF(0=LEN(ReferenceData!$B$1069),"",ReferenceData!$B$1069),"")</f>
        <v>2 HK Equity</v>
      </c>
      <c r="C1069" t="str">
        <f>IFERROR(IF(0=LEN(ReferenceData!$C$1069),"",ReferenceData!$C$1069),"")</f>
        <v>F0946</v>
      </c>
      <c r="D1069" t="str">
        <f>IFERROR(IF(0=LEN(ReferenceData!$D$1069),"",ReferenceData!$D$1069),"")</f>
        <v>TOTAL_GHG_CO2_EMISSIONS</v>
      </c>
      <c r="E1069" t="str">
        <f>IFERROR(IF(0=LEN(ReferenceData!$E$1069),"",ReferenceData!$E$1069),"")</f>
        <v>Dynamic</v>
      </c>
      <c r="F1069">
        <f ca="1">IFERROR(IF(0=LEN(ReferenceData!$F$1069),"",ReferenceData!$F$1069),"")</f>
        <v>44.360999999999997</v>
      </c>
      <c r="G1069">
        <f ca="1">IFERROR(IF(0=LEN(ReferenceData!$G$1069),"",ReferenceData!$G$1069),"")</f>
        <v>47.926000000000002</v>
      </c>
      <c r="H1069">
        <f ca="1">IFERROR(IF(0=LEN(ReferenceData!$H$1069),"",ReferenceData!$H$1069),"")</f>
        <v>45.348999999999997</v>
      </c>
      <c r="I1069">
        <f ca="1">IFERROR(IF(0=LEN(ReferenceData!$I$1069),"",ReferenceData!$I$1069),"")</f>
        <v>50.676499999999997</v>
      </c>
      <c r="J1069">
        <f ca="1">IFERROR(IF(0=LEN(ReferenceData!$J$1069),"",ReferenceData!$J$1069),"")</f>
        <v>52.304499999999997</v>
      </c>
    </row>
    <row r="1070" spans="1:10" x14ac:dyDescent="0.25">
      <c r="A1070" t="str">
        <f>IFERROR(IF(0=LEN(ReferenceData!$A$1070),"",ReferenceData!$A$1070),"")</f>
        <v xml:space="preserve">                        China National Nuclear Power C</v>
      </c>
      <c r="B1070" t="str">
        <f>IFERROR(IF(0=LEN(ReferenceData!$B$1070),"",ReferenceData!$B$1070),"")</f>
        <v>601985 CH Equity</v>
      </c>
      <c r="C1070" t="str">
        <f>IFERROR(IF(0=LEN(ReferenceData!$C$1070),"",ReferenceData!$C$1070),"")</f>
        <v>F0946</v>
      </c>
      <c r="D1070" t="str">
        <f>IFERROR(IF(0=LEN(ReferenceData!$D$1070),"",ReferenceData!$D$1070),"")</f>
        <v>TOTAL_GHG_CO2_EMISSIONS</v>
      </c>
      <c r="E1070" t="str">
        <f>IFERROR(IF(0=LEN(ReferenceData!$E$1070),"",ReferenceData!$E$1070),"")</f>
        <v>Dynamic</v>
      </c>
      <c r="F1070" t="str">
        <f ca="1">IFERROR(IF(0=LEN(ReferenceData!$F$1070),"",ReferenceData!$F$1070),"")</f>
        <v/>
      </c>
      <c r="G1070" t="str">
        <f ca="1">IFERROR(IF(0=LEN(ReferenceData!$G$1070),"",ReferenceData!$G$1070),"")</f>
        <v/>
      </c>
      <c r="H1070" t="str">
        <f ca="1">IFERROR(IF(0=LEN(ReferenceData!$H$1070),"",ReferenceData!$H$1070),"")</f>
        <v/>
      </c>
      <c r="I1070" t="str">
        <f ca="1">IFERROR(IF(0=LEN(ReferenceData!$I$1070),"",ReferenceData!$I$1070),"")</f>
        <v/>
      </c>
      <c r="J1070" t="str">
        <f ca="1">IFERROR(IF(0=LEN(ReferenceData!$J$1070),"",ReferenceData!$J$1070),"")</f>
        <v/>
      </c>
    </row>
    <row r="1071" spans="1:10" x14ac:dyDescent="0.25">
      <c r="A1071" t="str">
        <f>IFERROR(IF(0=LEN(ReferenceData!$A$1071),"",ReferenceData!$A$1071),"")</f>
        <v xml:space="preserve">                        Contact Energy Ltd</v>
      </c>
      <c r="B1071" t="str">
        <f>IFERROR(IF(0=LEN(ReferenceData!$B$1071),"",ReferenceData!$B$1071),"")</f>
        <v>CEN NZ Equity</v>
      </c>
      <c r="C1071" t="str">
        <f>IFERROR(IF(0=LEN(ReferenceData!$C$1071),"",ReferenceData!$C$1071),"")</f>
        <v>F0946</v>
      </c>
      <c r="D1071" t="str">
        <f>IFERROR(IF(0=LEN(ReferenceData!$D$1071),"",ReferenceData!$D$1071),"")</f>
        <v>TOTAL_GHG_CO2_EMISSIONS</v>
      </c>
      <c r="E1071" t="str">
        <f>IFERROR(IF(0=LEN(ReferenceData!$E$1071),"",ReferenceData!$E$1071),"")</f>
        <v>Dynamic</v>
      </c>
      <c r="F1071" t="str">
        <f ca="1">IFERROR(IF(0=LEN(ReferenceData!$F$1071),"",ReferenceData!$F$1071),"")</f>
        <v/>
      </c>
      <c r="G1071">
        <f ca="1">IFERROR(IF(0=LEN(ReferenceData!$G$1071),"",ReferenceData!$G$1071),"")</f>
        <v>0.78824102799999995</v>
      </c>
      <c r="H1071">
        <f ca="1">IFERROR(IF(0=LEN(ReferenceData!$H$1071),"",ReferenceData!$H$1071),"")</f>
        <v>1.0458800049999999</v>
      </c>
      <c r="I1071">
        <f ca="1">IFERROR(IF(0=LEN(ReferenceData!$I$1071),"",ReferenceData!$I$1071),"")</f>
        <v>0.92433001699999995</v>
      </c>
      <c r="J1071">
        <f ca="1">IFERROR(IF(0=LEN(ReferenceData!$J$1071),"",ReferenceData!$J$1071),"")</f>
        <v>0.98727899200000002</v>
      </c>
    </row>
    <row r="1072" spans="1:10" x14ac:dyDescent="0.25">
      <c r="A1072" t="str">
        <f>IFERROR(IF(0=LEN(ReferenceData!$A$1072),"",ReferenceData!$A$1072),"")</f>
        <v xml:space="preserve">                        Chugoku Electric Power Co Inc/</v>
      </c>
      <c r="B1072" t="str">
        <f>IFERROR(IF(0=LEN(ReferenceData!$B$1072),"",ReferenceData!$B$1072),"")</f>
        <v>9504 JP Equity</v>
      </c>
      <c r="C1072" t="str">
        <f>IFERROR(IF(0=LEN(ReferenceData!$C$1072),"",ReferenceData!$C$1072),"")</f>
        <v>F0946</v>
      </c>
      <c r="D1072" t="str">
        <f>IFERROR(IF(0=LEN(ReferenceData!$D$1072),"",ReferenceData!$D$1072),"")</f>
        <v>TOTAL_GHG_CO2_EMISSIONS</v>
      </c>
      <c r="E1072" t="str">
        <f>IFERROR(IF(0=LEN(ReferenceData!$E$1072),"",ReferenceData!$E$1072),"")</f>
        <v>Dynamic</v>
      </c>
      <c r="F1072" t="str">
        <f ca="1">IFERROR(IF(0=LEN(ReferenceData!$F$1072),"",ReferenceData!$F$1072),"")</f>
        <v/>
      </c>
      <c r="G1072">
        <f ca="1">IFERROR(IF(0=LEN(ReferenceData!$G$1072),"",ReferenceData!$G$1072),"")</f>
        <v>18.5</v>
      </c>
      <c r="H1072">
        <f ca="1">IFERROR(IF(0=LEN(ReferenceData!$H$1072),"",ReferenceData!$H$1072),"")</f>
        <v>17.39</v>
      </c>
      <c r="I1072">
        <f ca="1">IFERROR(IF(0=LEN(ReferenceData!$I$1072),"",ReferenceData!$I$1072),"")</f>
        <v>19.110099609999999</v>
      </c>
      <c r="J1072">
        <f ca="1">IFERROR(IF(0=LEN(ReferenceData!$J$1072),"",ReferenceData!$J$1072),"")</f>
        <v>20.34</v>
      </c>
    </row>
    <row r="1073" spans="1:10" x14ac:dyDescent="0.25">
      <c r="A1073" t="str">
        <f>IFERROR(IF(0=LEN(ReferenceData!$A$1073),"",ReferenceData!$A$1073),"")</f>
        <v xml:space="preserve">                        Datang International Power Gen</v>
      </c>
      <c r="B1073" t="str">
        <f>IFERROR(IF(0=LEN(ReferenceData!$B$1073),"",ReferenceData!$B$1073),"")</f>
        <v>991 HK Equity</v>
      </c>
      <c r="C1073" t="str">
        <f>IFERROR(IF(0=LEN(ReferenceData!$C$1073),"",ReferenceData!$C$1073),"")</f>
        <v>F0946</v>
      </c>
      <c r="D1073" t="str">
        <f>IFERROR(IF(0=LEN(ReferenceData!$D$1073),"",ReferenceData!$D$1073),"")</f>
        <v>TOTAL_GHG_CO2_EMISSIONS</v>
      </c>
      <c r="E1073" t="str">
        <f>IFERROR(IF(0=LEN(ReferenceData!$E$1073),"",ReferenceData!$E$1073),"")</f>
        <v>Dynamic</v>
      </c>
      <c r="F1073">
        <f ca="1">IFERROR(IF(0=LEN(ReferenceData!$F$1073),"",ReferenceData!$F$1073),"")</f>
        <v>191.95699999999999</v>
      </c>
      <c r="G1073">
        <f ca="1">IFERROR(IF(0=LEN(ReferenceData!$G$1073),"",ReferenceData!$G$1073),"")</f>
        <v>200.708</v>
      </c>
      <c r="H1073">
        <f ca="1">IFERROR(IF(0=LEN(ReferenceData!$H$1073),"",ReferenceData!$H$1073),"")</f>
        <v>232.97800000000001</v>
      </c>
      <c r="I1073">
        <f ca="1">IFERROR(IF(0=LEN(ReferenceData!$I$1073),"",ReferenceData!$I$1073),"")</f>
        <v>198.53</v>
      </c>
      <c r="J1073">
        <f ca="1">IFERROR(IF(0=LEN(ReferenceData!$J$1073),"",ReferenceData!$J$1073),"")</f>
        <v>377.67</v>
      </c>
    </row>
    <row r="1074" spans="1:10" x14ac:dyDescent="0.25">
      <c r="A1074" t="str">
        <f>IFERROR(IF(0=LEN(ReferenceData!$A$1074),"",ReferenceData!$A$1074),"")</f>
        <v xml:space="preserve">                        Electric Power Development Co</v>
      </c>
      <c r="B1074" t="str">
        <f>IFERROR(IF(0=LEN(ReferenceData!$B$1074),"",ReferenceData!$B$1074),"")</f>
        <v>9513 JP Equity</v>
      </c>
      <c r="C1074" t="str">
        <f>IFERROR(IF(0=LEN(ReferenceData!$C$1074),"",ReferenceData!$C$1074),"")</f>
        <v>F0946</v>
      </c>
      <c r="D1074" t="str">
        <f>IFERROR(IF(0=LEN(ReferenceData!$D$1074),"",ReferenceData!$D$1074),"")</f>
        <v>TOTAL_GHG_CO2_EMISSIONS</v>
      </c>
      <c r="E1074" t="str">
        <f>IFERROR(IF(0=LEN(ReferenceData!$E$1074),"",ReferenceData!$E$1074),"")</f>
        <v>Dynamic</v>
      </c>
      <c r="F1074" t="str">
        <f ca="1">IFERROR(IF(0=LEN(ReferenceData!$F$1074),"",ReferenceData!$F$1074),"")</f>
        <v/>
      </c>
      <c r="G1074">
        <f ca="1">IFERROR(IF(0=LEN(ReferenceData!$G$1074),"",ReferenceData!$G$1074),"")</f>
        <v>48.09</v>
      </c>
      <c r="H1074">
        <f ca="1">IFERROR(IF(0=LEN(ReferenceData!$H$1074),"",ReferenceData!$H$1074),"")</f>
        <v>52.552300780000003</v>
      </c>
      <c r="I1074">
        <f ca="1">IFERROR(IF(0=LEN(ReferenceData!$I$1074),"",ReferenceData!$I$1074),"")</f>
        <v>52.311999999999998</v>
      </c>
      <c r="J1074">
        <f ca="1">IFERROR(IF(0=LEN(ReferenceData!$J$1074),"",ReferenceData!$J$1074),"")</f>
        <v>53.959101560000001</v>
      </c>
    </row>
    <row r="1075" spans="1:10" x14ac:dyDescent="0.25">
      <c r="A1075" t="str">
        <f>IFERROR(IF(0=LEN(ReferenceData!$A$1075),"",ReferenceData!$A$1075),"")</f>
        <v xml:space="preserve">                        Electricity Generating PCL</v>
      </c>
      <c r="B1075" t="str">
        <f>IFERROR(IF(0=LEN(ReferenceData!$B$1075),"",ReferenceData!$B$1075),"")</f>
        <v>EGCO TB Equity</v>
      </c>
      <c r="C1075" t="str">
        <f>IFERROR(IF(0=LEN(ReferenceData!$C$1075),"",ReferenceData!$C$1075),"")</f>
        <v>F0946</v>
      </c>
      <c r="D1075" t="str">
        <f>IFERROR(IF(0=LEN(ReferenceData!$D$1075),"",ReferenceData!$D$1075),"")</f>
        <v>TOTAL_GHG_CO2_EMISSIONS</v>
      </c>
      <c r="E1075" t="str">
        <f>IFERROR(IF(0=LEN(ReferenceData!$E$1075),"",ReferenceData!$E$1075),"")</f>
        <v>Dynamic</v>
      </c>
      <c r="F1075" t="str">
        <f ca="1">IFERROR(IF(0=LEN(ReferenceData!$F$1075),"",ReferenceData!$F$1075),"")</f>
        <v/>
      </c>
      <c r="G1075">
        <f ca="1">IFERROR(IF(0=LEN(ReferenceData!$G$1075),"",ReferenceData!$G$1075),"")</f>
        <v>6.2519799799999998</v>
      </c>
      <c r="H1075">
        <f ca="1">IFERROR(IF(0=LEN(ReferenceData!$H$1075),"",ReferenceData!$H$1075),"")</f>
        <v>6.5398901370000004</v>
      </c>
      <c r="I1075">
        <f ca="1">IFERROR(IF(0=LEN(ReferenceData!$I$1075),"",ReferenceData!$I$1075),"")</f>
        <v>6.8015498049999996</v>
      </c>
      <c r="J1075">
        <f ca="1">IFERROR(IF(0=LEN(ReferenceData!$J$1075),"",ReferenceData!$J$1075),"")</f>
        <v>6.6735200199999998</v>
      </c>
    </row>
    <row r="1076" spans="1:10" x14ac:dyDescent="0.25">
      <c r="A1076" t="str">
        <f>IFERROR(IF(0=LEN(ReferenceData!$A$1076),"",ReferenceData!$A$1076),"")</f>
        <v xml:space="preserve">                        First Gen Corp</v>
      </c>
      <c r="B1076" t="str">
        <f>IFERROR(IF(0=LEN(ReferenceData!$B$1076),"",ReferenceData!$B$1076),"")</f>
        <v>FGEN PM Equity</v>
      </c>
      <c r="C1076" t="str">
        <f>IFERROR(IF(0=LEN(ReferenceData!$C$1076),"",ReferenceData!$C$1076),"")</f>
        <v>F0946</v>
      </c>
      <c r="D1076" t="str">
        <f>IFERROR(IF(0=LEN(ReferenceData!$D$1076),"",ReferenceData!$D$1076),"")</f>
        <v>TOTAL_GHG_CO2_EMISSIONS</v>
      </c>
      <c r="E1076" t="str">
        <f>IFERROR(IF(0=LEN(ReferenceData!$E$1076),"",ReferenceData!$E$1076),"")</f>
        <v>Dynamic</v>
      </c>
      <c r="F1076">
        <f ca="1">IFERROR(IF(0=LEN(ReferenceData!$F$1076),"",ReferenceData!$F$1076),"")</f>
        <v>6.699649902</v>
      </c>
      <c r="G1076">
        <f ca="1">IFERROR(IF(0=LEN(ReferenceData!$G$1076),"",ReferenceData!$G$1076),"")</f>
        <v>5.8272402339999996</v>
      </c>
      <c r="H1076" t="str">
        <f ca="1">IFERROR(IF(0=LEN(ReferenceData!$H$1076),"",ReferenceData!$H$1076),"")</f>
        <v/>
      </c>
      <c r="I1076">
        <f ca="1">IFERROR(IF(0=LEN(ReferenceData!$I$1076),"",ReferenceData!$I$1076),"")</f>
        <v>5.2452597660000002</v>
      </c>
      <c r="J1076">
        <f ca="1">IFERROR(IF(0=LEN(ReferenceData!$J$1076),"",ReferenceData!$J$1076),"")</f>
        <v>5.6811899410000004</v>
      </c>
    </row>
    <row r="1077" spans="1:10" x14ac:dyDescent="0.25">
      <c r="A1077" t="str">
        <f>IFERROR(IF(0=LEN(ReferenceData!$A$1077),"",ReferenceData!$A$1077),"")</f>
        <v xml:space="preserve">                        First Philippine Holdings Corp</v>
      </c>
      <c r="B1077" t="str">
        <f>IFERROR(IF(0=LEN(ReferenceData!$B$1077),"",ReferenceData!$B$1077),"")</f>
        <v>FPH PM Equity</v>
      </c>
      <c r="C1077" t="str">
        <f>IFERROR(IF(0=LEN(ReferenceData!$C$1077),"",ReferenceData!$C$1077),"")</f>
        <v>F0946</v>
      </c>
      <c r="D1077" t="str">
        <f>IFERROR(IF(0=LEN(ReferenceData!$D$1077),"",ReferenceData!$D$1077),"")</f>
        <v>TOTAL_GHG_CO2_EMISSIONS</v>
      </c>
      <c r="E1077" t="str">
        <f>IFERROR(IF(0=LEN(ReferenceData!$E$1077),"",ReferenceData!$E$1077),"")</f>
        <v>Dynamic</v>
      </c>
      <c r="F1077" t="str">
        <f ca="1">IFERROR(IF(0=LEN(ReferenceData!$F$1077),"",ReferenceData!$F$1077),"")</f>
        <v/>
      </c>
      <c r="G1077">
        <f ca="1">IFERROR(IF(0=LEN(ReferenceData!$G$1077),"",ReferenceData!$G$1077),"")</f>
        <v>6.5586401370000003</v>
      </c>
      <c r="H1077">
        <f ca="1">IFERROR(IF(0=LEN(ReferenceData!$H$1077),"",ReferenceData!$H$1077),"")</f>
        <v>5.5638500979999996</v>
      </c>
      <c r="I1077">
        <f ca="1">IFERROR(IF(0=LEN(ReferenceData!$I$1077),"",ReferenceData!$I$1077),"")</f>
        <v>5.7647299800000003</v>
      </c>
      <c r="J1077">
        <f ca="1">IFERROR(IF(0=LEN(ReferenceData!$J$1077),"",ReferenceData!$J$1077),"")</f>
        <v>5.7248100590000002</v>
      </c>
    </row>
    <row r="1078" spans="1:10" x14ac:dyDescent="0.25">
      <c r="A1078" t="str">
        <f>IFERROR(IF(0=LEN(ReferenceData!$A$1078),"",ReferenceData!$A$1078),"")</f>
        <v xml:space="preserve">                        GD Power Development Co Ltd</v>
      </c>
      <c r="B1078" t="str">
        <f>IFERROR(IF(0=LEN(ReferenceData!$B$1078),"",ReferenceData!$B$1078),"")</f>
        <v>600795 CH Equity</v>
      </c>
      <c r="C1078" t="str">
        <f>IFERROR(IF(0=LEN(ReferenceData!$C$1078),"",ReferenceData!$C$1078),"")</f>
        <v>F0946</v>
      </c>
      <c r="D1078" t="str">
        <f>IFERROR(IF(0=LEN(ReferenceData!$D$1078),"",ReferenceData!$D$1078),"")</f>
        <v>TOTAL_GHG_CO2_EMISSIONS</v>
      </c>
      <c r="E1078" t="str">
        <f>IFERROR(IF(0=LEN(ReferenceData!$E$1078),"",ReferenceData!$E$1078),"")</f>
        <v>Dynamic</v>
      </c>
      <c r="F1078">
        <f ca="1">IFERROR(IF(0=LEN(ReferenceData!$F$1078),"",ReferenceData!$F$1078),"")</f>
        <v>378.96</v>
      </c>
      <c r="G1078" t="str">
        <f ca="1">IFERROR(IF(0=LEN(ReferenceData!$G$1078),"",ReferenceData!$G$1078),"")</f>
        <v/>
      </c>
      <c r="H1078" t="str">
        <f ca="1">IFERROR(IF(0=LEN(ReferenceData!$H$1078),"",ReferenceData!$H$1078),"")</f>
        <v/>
      </c>
      <c r="I1078" t="str">
        <f ca="1">IFERROR(IF(0=LEN(ReferenceData!$I$1078),"",ReferenceData!$I$1078),"")</f>
        <v/>
      </c>
      <c r="J1078" t="str">
        <f ca="1">IFERROR(IF(0=LEN(ReferenceData!$J$1078),"",ReferenceData!$J$1078),"")</f>
        <v/>
      </c>
    </row>
    <row r="1079" spans="1:10" x14ac:dyDescent="0.25">
      <c r="A1079" t="str">
        <f>IFERROR(IF(0=LEN(ReferenceData!$A$1079),"",ReferenceData!$A$1079),"")</f>
        <v xml:space="preserve">                        HK Electric Investments &amp; HK E</v>
      </c>
      <c r="B1079" t="str">
        <f>IFERROR(IF(0=LEN(ReferenceData!$B$1079),"",ReferenceData!$B$1079),"")</f>
        <v>2638 HK Equity</v>
      </c>
      <c r="C1079" t="str">
        <f>IFERROR(IF(0=LEN(ReferenceData!$C$1079),"",ReferenceData!$C$1079),"")</f>
        <v>F0946</v>
      </c>
      <c r="D1079" t="str">
        <f>IFERROR(IF(0=LEN(ReferenceData!$D$1079),"",ReferenceData!$D$1079),"")</f>
        <v>TOTAL_GHG_CO2_EMISSIONS</v>
      </c>
      <c r="E1079" t="str">
        <f>IFERROR(IF(0=LEN(ReferenceData!$E$1079),"",ReferenceData!$E$1079),"")</f>
        <v>Dynamic</v>
      </c>
      <c r="F1079">
        <f ca="1">IFERROR(IF(0=LEN(ReferenceData!$F$1079),"",ReferenceData!$F$1079),"")</f>
        <v>6.77</v>
      </c>
      <c r="G1079">
        <f ca="1">IFERROR(IF(0=LEN(ReferenceData!$G$1079),"",ReferenceData!$G$1079),"")</f>
        <v>7.39</v>
      </c>
      <c r="H1079">
        <f ca="1">IFERROR(IF(0=LEN(ReferenceData!$H$1079),"",ReferenceData!$H$1079),"")</f>
        <v>7.19</v>
      </c>
      <c r="I1079">
        <f ca="1">IFERROR(IF(0=LEN(ReferenceData!$I$1079),"",ReferenceData!$I$1079),"")</f>
        <v>8.51</v>
      </c>
      <c r="J1079">
        <f ca="1">IFERROR(IF(0=LEN(ReferenceData!$J$1079),"",ReferenceData!$J$1079),"")</f>
        <v>8.41</v>
      </c>
    </row>
    <row r="1080" spans="1:10" x14ac:dyDescent="0.25">
      <c r="A1080" t="str">
        <f>IFERROR(IF(0=LEN(ReferenceData!$A$1080),"",ReferenceData!$A$1080),"")</f>
        <v xml:space="preserve">                        Huadian Power International Co</v>
      </c>
      <c r="B1080" t="str">
        <f>IFERROR(IF(0=LEN(ReferenceData!$B$1080),"",ReferenceData!$B$1080),"")</f>
        <v>1071 HK Equity</v>
      </c>
      <c r="C1080" t="str">
        <f>IFERROR(IF(0=LEN(ReferenceData!$C$1080),"",ReferenceData!$C$1080),"")</f>
        <v>F0946</v>
      </c>
      <c r="D1080" t="str">
        <f>IFERROR(IF(0=LEN(ReferenceData!$D$1080),"",ReferenceData!$D$1080),"")</f>
        <v>TOTAL_GHG_CO2_EMISSIONS</v>
      </c>
      <c r="E1080" t="str">
        <f>IFERROR(IF(0=LEN(ReferenceData!$E$1080),"",ReferenceData!$E$1080),"")</f>
        <v>Dynamic</v>
      </c>
      <c r="F1080">
        <f ca="1">IFERROR(IF(0=LEN(ReferenceData!$F$1080),"",ReferenceData!$F$1080),"")</f>
        <v>170.072</v>
      </c>
      <c r="G1080">
        <f ca="1">IFERROR(IF(0=LEN(ReferenceData!$G$1080),"",ReferenceData!$G$1080),"")</f>
        <v>172.05</v>
      </c>
      <c r="H1080">
        <f ca="1">IFERROR(IF(0=LEN(ReferenceData!$H$1080),"",ReferenceData!$H$1080),"")</f>
        <v>152.71199999999999</v>
      </c>
      <c r="I1080">
        <f ca="1">IFERROR(IF(0=LEN(ReferenceData!$I$1080),"",ReferenceData!$I$1080),"")</f>
        <v>167.93100000000001</v>
      </c>
      <c r="J1080">
        <f ca="1">IFERROR(IF(0=LEN(ReferenceData!$J$1080),"",ReferenceData!$J$1080),"")</f>
        <v>164.34800000000001</v>
      </c>
    </row>
    <row r="1081" spans="1:10" x14ac:dyDescent="0.25">
      <c r="A1081" t="str">
        <f>IFERROR(IF(0=LEN(ReferenceData!$A$1081),"",ReferenceData!$A$1081),"")</f>
        <v xml:space="preserve">                        Huaneng Power International In</v>
      </c>
      <c r="B1081" t="str">
        <f>IFERROR(IF(0=LEN(ReferenceData!$B$1081),"",ReferenceData!$B$1081),"")</f>
        <v>902 HK Equity</v>
      </c>
      <c r="C1081" t="str">
        <f>IFERROR(IF(0=LEN(ReferenceData!$C$1081),"",ReferenceData!$C$1081),"")</f>
        <v>F0946</v>
      </c>
      <c r="D1081" t="str">
        <f>IFERROR(IF(0=LEN(ReferenceData!$D$1081),"",ReferenceData!$D$1081),"")</f>
        <v>TOTAL_GHG_CO2_EMISSIONS</v>
      </c>
      <c r="E1081" t="str">
        <f>IFERROR(IF(0=LEN(ReferenceData!$E$1081),"",ReferenceData!$E$1081),"")</f>
        <v>Dynamic</v>
      </c>
      <c r="F1081" t="str">
        <f ca="1">IFERROR(IF(0=LEN(ReferenceData!$F$1081),"",ReferenceData!$F$1081),"")</f>
        <v/>
      </c>
      <c r="G1081" t="str">
        <f ca="1">IFERROR(IF(0=LEN(ReferenceData!$G$1081),"",ReferenceData!$G$1081),"")</f>
        <v/>
      </c>
      <c r="H1081">
        <f ca="1">IFERROR(IF(0=LEN(ReferenceData!$H$1081),"",ReferenceData!$H$1081),"")</f>
        <v>333.40199999999999</v>
      </c>
      <c r="I1081">
        <f ca="1">IFERROR(IF(0=LEN(ReferenceData!$I$1081),"",ReferenceData!$I$1081),"")</f>
        <v>336.30099999999999</v>
      </c>
      <c r="J1081">
        <f ca="1">IFERROR(IF(0=LEN(ReferenceData!$J$1081),"",ReferenceData!$J$1081),"")</f>
        <v>348.22399999999999</v>
      </c>
    </row>
    <row r="1082" spans="1:10" x14ac:dyDescent="0.25">
      <c r="A1082" t="str">
        <f>IFERROR(IF(0=LEN(ReferenceData!$A$1082),"",ReferenceData!$A$1082),"")</f>
        <v xml:space="preserve">                        Hokuriku Electric Power Co</v>
      </c>
      <c r="B1082" t="str">
        <f>IFERROR(IF(0=LEN(ReferenceData!$B$1082),"",ReferenceData!$B$1082),"")</f>
        <v>9505 JP Equity</v>
      </c>
      <c r="C1082" t="str">
        <f>IFERROR(IF(0=LEN(ReferenceData!$C$1082),"",ReferenceData!$C$1082),"")</f>
        <v>F0946</v>
      </c>
      <c r="D1082" t="str">
        <f>IFERROR(IF(0=LEN(ReferenceData!$D$1082),"",ReferenceData!$D$1082),"")</f>
        <v>TOTAL_GHG_CO2_EMISSIONS</v>
      </c>
      <c r="E1082" t="str">
        <f>IFERROR(IF(0=LEN(ReferenceData!$E$1082),"",ReferenceData!$E$1082),"")</f>
        <v>Dynamic</v>
      </c>
      <c r="F1082" t="str">
        <f ca="1">IFERROR(IF(0=LEN(ReferenceData!$F$1082),"",ReferenceData!$F$1082),"")</f>
        <v/>
      </c>
      <c r="G1082" t="str">
        <f ca="1">IFERROR(IF(0=LEN(ReferenceData!$G$1082),"",ReferenceData!$G$1082),"")</f>
        <v/>
      </c>
      <c r="H1082" t="str">
        <f ca="1">IFERROR(IF(0=LEN(ReferenceData!$H$1082),"",ReferenceData!$H$1082),"")</f>
        <v/>
      </c>
      <c r="I1082" t="str">
        <f ca="1">IFERROR(IF(0=LEN(ReferenceData!$I$1082),"",ReferenceData!$I$1082),"")</f>
        <v/>
      </c>
      <c r="J1082">
        <f ca="1">IFERROR(IF(0=LEN(ReferenceData!$J$1082),"",ReferenceData!$J$1082),"")</f>
        <v>15.4592002</v>
      </c>
    </row>
    <row r="1083" spans="1:10" x14ac:dyDescent="0.25">
      <c r="A1083" t="str">
        <f>IFERROR(IF(0=LEN(ReferenceData!$A$1083),"",ReferenceData!$A$1083),"")</f>
        <v xml:space="preserve">                        Kansai Electric Power Co Inc/T</v>
      </c>
      <c r="B1083" t="str">
        <f>IFERROR(IF(0=LEN(ReferenceData!$B$1083),"",ReferenceData!$B$1083),"")</f>
        <v>9503 JP Equity</v>
      </c>
      <c r="C1083" t="str">
        <f>IFERROR(IF(0=LEN(ReferenceData!$C$1083),"",ReferenceData!$C$1083),"")</f>
        <v>F0946</v>
      </c>
      <c r="D1083" t="str">
        <f>IFERROR(IF(0=LEN(ReferenceData!$D$1083),"",ReferenceData!$D$1083),"")</f>
        <v>TOTAL_GHG_CO2_EMISSIONS</v>
      </c>
      <c r="E1083" t="str">
        <f>IFERROR(IF(0=LEN(ReferenceData!$E$1083),"",ReferenceData!$E$1083),"")</f>
        <v>Dynamic</v>
      </c>
      <c r="F1083" t="str">
        <f ca="1">IFERROR(IF(0=LEN(ReferenceData!$F$1083),"",ReferenceData!$F$1083),"")</f>
        <v/>
      </c>
      <c r="G1083">
        <f ca="1">IFERROR(IF(0=LEN(ReferenceData!$G$1083),"",ReferenceData!$G$1083),"")</f>
        <v>30.14940039</v>
      </c>
      <c r="H1083">
        <f ca="1">IFERROR(IF(0=LEN(ReferenceData!$H$1083),"",ReferenceData!$H$1083),"")</f>
        <v>37.111800780000003</v>
      </c>
      <c r="I1083">
        <f ca="1">IFERROR(IF(0=LEN(ReferenceData!$I$1083),"",ReferenceData!$I$1083),"")</f>
        <v>38.529800780000002</v>
      </c>
      <c r="J1083">
        <f ca="1">IFERROR(IF(0=LEN(ReferenceData!$J$1083),"",ReferenceData!$J$1083),"")</f>
        <v>42.106199220000001</v>
      </c>
    </row>
    <row r="1084" spans="1:10" x14ac:dyDescent="0.25">
      <c r="A1084" t="str">
        <f>IFERROR(IF(0=LEN(ReferenceData!$A$1084),"",ReferenceData!$A$1084),"")</f>
        <v xml:space="preserve">                        Korea Electric Power Corp</v>
      </c>
      <c r="B1084" t="str">
        <f>IFERROR(IF(0=LEN(ReferenceData!$B$1084),"",ReferenceData!$B$1084),"")</f>
        <v>015760 KS Equity</v>
      </c>
      <c r="C1084" t="str">
        <f>IFERROR(IF(0=LEN(ReferenceData!$C$1084),"",ReferenceData!$C$1084),"")</f>
        <v>F0946</v>
      </c>
      <c r="D1084" t="str">
        <f>IFERROR(IF(0=LEN(ReferenceData!$D$1084),"",ReferenceData!$D$1084),"")</f>
        <v>TOTAL_GHG_CO2_EMISSIONS</v>
      </c>
      <c r="E1084" t="str">
        <f>IFERROR(IF(0=LEN(ReferenceData!$E$1084),"",ReferenceData!$E$1084),"")</f>
        <v>Dynamic</v>
      </c>
      <c r="F1084" t="str">
        <f ca="1">IFERROR(IF(0=LEN(ReferenceData!$F$1084),"",ReferenceData!$F$1084),"")</f>
        <v/>
      </c>
      <c r="G1084">
        <f ca="1">IFERROR(IF(0=LEN(ReferenceData!$G$1084),"",ReferenceData!$G$1084),"")</f>
        <v>175.08500000000001</v>
      </c>
      <c r="H1084">
        <f ca="1">IFERROR(IF(0=LEN(ReferenceData!$H$1084),"",ReferenceData!$H$1084),"")</f>
        <v>175.59700000000001</v>
      </c>
      <c r="I1084">
        <f ca="1">IFERROR(IF(0=LEN(ReferenceData!$I$1084),"",ReferenceData!$I$1084),"")</f>
        <v>202.20599999999999</v>
      </c>
      <c r="J1084">
        <f ca="1">IFERROR(IF(0=LEN(ReferenceData!$J$1084),"",ReferenceData!$J$1084),"")</f>
        <v>216.006</v>
      </c>
    </row>
    <row r="1085" spans="1:10" x14ac:dyDescent="0.25">
      <c r="A1085" t="str">
        <f>IFERROR(IF(0=LEN(ReferenceData!$A$1085),"",ReferenceData!$A$1085),"")</f>
        <v xml:space="preserve">                        Kyushu Electric Power Co Inc</v>
      </c>
      <c r="B1085" t="str">
        <f>IFERROR(IF(0=LEN(ReferenceData!$B$1085),"",ReferenceData!$B$1085),"")</f>
        <v>9508 JP Equity</v>
      </c>
      <c r="C1085" t="str">
        <f>IFERROR(IF(0=LEN(ReferenceData!$C$1085),"",ReferenceData!$C$1085),"")</f>
        <v>F0946</v>
      </c>
      <c r="D1085" t="str">
        <f>IFERROR(IF(0=LEN(ReferenceData!$D$1085),"",ReferenceData!$D$1085),"")</f>
        <v>TOTAL_GHG_CO2_EMISSIONS</v>
      </c>
      <c r="E1085" t="str">
        <f>IFERROR(IF(0=LEN(ReferenceData!$E$1085),"",ReferenceData!$E$1085),"")</f>
        <v>Dynamic</v>
      </c>
      <c r="F1085" t="str">
        <f ca="1">IFERROR(IF(0=LEN(ReferenceData!$F$1085),"",ReferenceData!$F$1085),"")</f>
        <v/>
      </c>
      <c r="G1085">
        <f ca="1">IFERROR(IF(0=LEN(ReferenceData!$G$1085),"",ReferenceData!$G$1085),"")</f>
        <v>17.490099610000001</v>
      </c>
      <c r="H1085">
        <f ca="1">IFERROR(IF(0=LEN(ReferenceData!$H$1085),"",ReferenceData!$H$1085),"")</f>
        <v>22.110099609999999</v>
      </c>
      <c r="I1085">
        <f ca="1">IFERROR(IF(0=LEN(ReferenceData!$I$1085),"",ReferenceData!$I$1085),"")</f>
        <v>19.040099609999999</v>
      </c>
      <c r="J1085">
        <f ca="1">IFERROR(IF(0=LEN(ReferenceData!$J$1085),"",ReferenceData!$J$1085),"")</f>
        <v>17.560099610000002</v>
      </c>
    </row>
    <row r="1086" spans="1:10" x14ac:dyDescent="0.25">
      <c r="A1086" t="str">
        <f>IFERROR(IF(0=LEN(ReferenceData!$A$1086),"",ReferenceData!$A$1086),"")</f>
        <v xml:space="preserve">                        Malakoff Corp Bhd</v>
      </c>
      <c r="B1086" t="str">
        <f>IFERROR(IF(0=LEN(ReferenceData!$B$1086),"",ReferenceData!$B$1086),"")</f>
        <v>MLK MK Equity</v>
      </c>
      <c r="C1086" t="str">
        <f>IFERROR(IF(0=LEN(ReferenceData!$C$1086),"",ReferenceData!$C$1086),"")</f>
        <v>F0946</v>
      </c>
      <c r="D1086" t="str">
        <f>IFERROR(IF(0=LEN(ReferenceData!$D$1086),"",ReferenceData!$D$1086),"")</f>
        <v>TOTAL_GHG_CO2_EMISSIONS</v>
      </c>
      <c r="E1086" t="str">
        <f>IFERROR(IF(0=LEN(ReferenceData!$E$1086),"",ReferenceData!$E$1086),"")</f>
        <v>Dynamic</v>
      </c>
      <c r="F1086">
        <f ca="1">IFERROR(IF(0=LEN(ReferenceData!$F$1086),"",ReferenceData!$F$1086),"")</f>
        <v>16.885199220000001</v>
      </c>
      <c r="G1086">
        <f ca="1">IFERROR(IF(0=LEN(ReferenceData!$G$1086),"",ReferenceData!$G$1086),"")</f>
        <v>16.36</v>
      </c>
      <c r="H1086">
        <f ca="1">IFERROR(IF(0=LEN(ReferenceData!$H$1086),"",ReferenceData!$H$1086),"")</f>
        <v>19.84</v>
      </c>
      <c r="I1086">
        <f ca="1">IFERROR(IF(0=LEN(ReferenceData!$I$1086),"",ReferenceData!$I$1086),"")</f>
        <v>20.13</v>
      </c>
      <c r="J1086" t="str">
        <f ca="1">IFERROR(IF(0=LEN(ReferenceData!$J$1086),"",ReferenceData!$J$1086),"")</f>
        <v/>
      </c>
    </row>
    <row r="1087" spans="1:10" x14ac:dyDescent="0.25">
      <c r="A1087" t="str">
        <f>IFERROR(IF(0=LEN(ReferenceData!$A$1087),"",ReferenceData!$A$1087),"")</f>
        <v xml:space="preserve">                        Manila Electric Co</v>
      </c>
      <c r="B1087" t="str">
        <f>IFERROR(IF(0=LEN(ReferenceData!$B$1087),"",ReferenceData!$B$1087),"")</f>
        <v>MER PM Equity</v>
      </c>
      <c r="C1087" t="str">
        <f>IFERROR(IF(0=LEN(ReferenceData!$C$1087),"",ReferenceData!$C$1087),"")</f>
        <v>F0946</v>
      </c>
      <c r="D1087" t="str">
        <f>IFERROR(IF(0=LEN(ReferenceData!$D$1087),"",ReferenceData!$D$1087),"")</f>
        <v>TOTAL_GHG_CO2_EMISSIONS</v>
      </c>
      <c r="E1087" t="str">
        <f>IFERROR(IF(0=LEN(ReferenceData!$E$1087),"",ReferenceData!$E$1087),"")</f>
        <v>Dynamic</v>
      </c>
      <c r="F1087" t="str">
        <f ca="1">IFERROR(IF(0=LEN(ReferenceData!$F$1087),"",ReferenceData!$F$1087),"")</f>
        <v/>
      </c>
      <c r="G1087">
        <f ca="1">IFERROR(IF(0=LEN(ReferenceData!$G$1087),"",ReferenceData!$G$1087),"")</f>
        <v>8.5940097659999992</v>
      </c>
      <c r="H1087">
        <f ca="1">IFERROR(IF(0=LEN(ReferenceData!$H$1087),"",ReferenceData!$H$1087),"")</f>
        <v>4.4239301759999998</v>
      </c>
      <c r="I1087">
        <f ca="1">IFERROR(IF(0=LEN(ReferenceData!$I$1087),"",ReferenceData!$I$1087),"")</f>
        <v>3.4848200679999999</v>
      </c>
      <c r="J1087">
        <f ca="1">IFERROR(IF(0=LEN(ReferenceData!$J$1087),"",ReferenceData!$J$1087),"")</f>
        <v>2.5999399410000001</v>
      </c>
    </row>
    <row r="1088" spans="1:10" x14ac:dyDescent="0.25">
      <c r="A1088" t="str">
        <f>IFERROR(IF(0=LEN(ReferenceData!$A$1088),"",ReferenceData!$A$1088),"")</f>
        <v xml:space="preserve">                        Mercury NZ Ltd</v>
      </c>
      <c r="B1088" t="str">
        <f>IFERROR(IF(0=LEN(ReferenceData!$B$1088),"",ReferenceData!$B$1088),"")</f>
        <v>MCY NZ Equity</v>
      </c>
      <c r="C1088" t="str">
        <f>IFERROR(IF(0=LEN(ReferenceData!$C$1088),"",ReferenceData!$C$1088),"")</f>
        <v>F0946</v>
      </c>
      <c r="D1088" t="str">
        <f>IFERROR(IF(0=LEN(ReferenceData!$D$1088),"",ReferenceData!$D$1088),"")</f>
        <v>TOTAL_GHG_CO2_EMISSIONS</v>
      </c>
      <c r="E1088" t="str">
        <f>IFERROR(IF(0=LEN(ReferenceData!$E$1088),"",ReferenceData!$E$1088),"")</f>
        <v>Dynamic</v>
      </c>
      <c r="F1088" t="str">
        <f ca="1">IFERROR(IF(0=LEN(ReferenceData!$F$1088),"",ReferenceData!$F$1088),"")</f>
        <v/>
      </c>
      <c r="G1088" t="str">
        <f ca="1">IFERROR(IF(0=LEN(ReferenceData!$G$1088),"",ReferenceData!$G$1088),"")</f>
        <v/>
      </c>
      <c r="H1088">
        <f ca="1">IFERROR(IF(0=LEN(ReferenceData!$H$1088),"",ReferenceData!$H$1088),"")</f>
        <v>0.201764999</v>
      </c>
      <c r="I1088">
        <f ca="1">IFERROR(IF(0=LEN(ReferenceData!$I$1088),"",ReferenceData!$I$1088),"")</f>
        <v>0.22500700400000001</v>
      </c>
      <c r="J1088">
        <f ca="1">IFERROR(IF(0=LEN(ReferenceData!$J$1088),"",ReferenceData!$J$1088),"")</f>
        <v>0.24894000199999999</v>
      </c>
    </row>
    <row r="1089" spans="1:10" x14ac:dyDescent="0.25">
      <c r="A1089" t="str">
        <f>IFERROR(IF(0=LEN(ReferenceData!$A$1089),"",ReferenceData!$A$1089),"")</f>
        <v xml:space="preserve">                        Meridian Energy Ltd</v>
      </c>
      <c r="B1089" t="str">
        <f>IFERROR(IF(0=LEN(ReferenceData!$B$1089),"",ReferenceData!$B$1089),"")</f>
        <v>MEL NZ Equity</v>
      </c>
      <c r="C1089" t="str">
        <f>IFERROR(IF(0=LEN(ReferenceData!$C$1089),"",ReferenceData!$C$1089),"")</f>
        <v>F0946</v>
      </c>
      <c r="D1089" t="str">
        <f>IFERROR(IF(0=LEN(ReferenceData!$D$1089),"",ReferenceData!$D$1089),"")</f>
        <v>TOTAL_GHG_CO2_EMISSIONS</v>
      </c>
      <c r="E1089" t="str">
        <f>IFERROR(IF(0=LEN(ReferenceData!$E$1089),"",ReferenceData!$E$1089),"")</f>
        <v>Dynamic</v>
      </c>
      <c r="F1089" t="str">
        <f ca="1">IFERROR(IF(0=LEN(ReferenceData!$F$1089),"",ReferenceData!$F$1089),"")</f>
        <v/>
      </c>
      <c r="G1089">
        <f ca="1">IFERROR(IF(0=LEN(ReferenceData!$G$1089),"",ReferenceData!$G$1089),"")</f>
        <v>9.2699999999999998E-4</v>
      </c>
      <c r="H1089">
        <f ca="1">IFERROR(IF(0=LEN(ReferenceData!$H$1089),"",ReferenceData!$H$1089),"")</f>
        <v>4.5059999999999996E-3</v>
      </c>
      <c r="I1089">
        <f ca="1">IFERROR(IF(0=LEN(ReferenceData!$I$1089),"",ReferenceData!$I$1089),"")</f>
        <v>3.6449999999999998E-3</v>
      </c>
      <c r="J1089">
        <f ca="1">IFERROR(IF(0=LEN(ReferenceData!$J$1089),"",ReferenceData!$J$1089),"")</f>
        <v>3.4169999999999999E-3</v>
      </c>
    </row>
    <row r="1090" spans="1:10" x14ac:dyDescent="0.25">
      <c r="A1090" t="str">
        <f>IFERROR(IF(0=LEN(ReferenceData!$A$1090),"",ReferenceData!$A$1090),"")</f>
        <v xml:space="preserve">                        NTPC Ltd</v>
      </c>
      <c r="B1090" t="str">
        <f>IFERROR(IF(0=LEN(ReferenceData!$B$1090),"",ReferenceData!$B$1090),"")</f>
        <v>NTPC IN Equity</v>
      </c>
      <c r="C1090" t="str">
        <f>IFERROR(IF(0=LEN(ReferenceData!$C$1090),"",ReferenceData!$C$1090),"")</f>
        <v>F0946</v>
      </c>
      <c r="D1090" t="str">
        <f>IFERROR(IF(0=LEN(ReferenceData!$D$1090),"",ReferenceData!$D$1090),"")</f>
        <v>TOTAL_GHG_CO2_EMISSIONS</v>
      </c>
      <c r="E1090" t="str">
        <f>IFERROR(IF(0=LEN(ReferenceData!$E$1090),"",ReferenceData!$E$1090),"")</f>
        <v>Dynamic</v>
      </c>
      <c r="F1090" t="str">
        <f ca="1">IFERROR(IF(0=LEN(ReferenceData!$F$1090),"",ReferenceData!$F$1090),"")</f>
        <v/>
      </c>
      <c r="G1090">
        <f ca="1">IFERROR(IF(0=LEN(ReferenceData!$G$1090),"",ReferenceData!$G$1090),"")</f>
        <v>304.15600000000001</v>
      </c>
      <c r="H1090">
        <f ca="1">IFERROR(IF(0=LEN(ReferenceData!$H$1090),"",ReferenceData!$H$1090),"")</f>
        <v>263.92200000000003</v>
      </c>
      <c r="I1090">
        <f ca="1">IFERROR(IF(0=LEN(ReferenceData!$I$1090),"",ReferenceData!$I$1090),"")</f>
        <v>252.511</v>
      </c>
      <c r="J1090">
        <f ca="1">IFERROR(IF(0=LEN(ReferenceData!$J$1090),"",ReferenceData!$J$1090),"")</f>
        <v>240.392</v>
      </c>
    </row>
    <row r="1091" spans="1:10" x14ac:dyDescent="0.25">
      <c r="A1091" t="str">
        <f>IFERROR(IF(0=LEN(ReferenceData!$A$1091),"",ReferenceData!$A$1091),"")</f>
        <v xml:space="preserve">                        Origin Energy Ltd</v>
      </c>
      <c r="B1091" t="str">
        <f>IFERROR(IF(0=LEN(ReferenceData!$B$1091),"",ReferenceData!$B$1091),"")</f>
        <v>ORG AU Equity</v>
      </c>
      <c r="C1091" t="str">
        <f>IFERROR(IF(0=LEN(ReferenceData!$C$1091),"",ReferenceData!$C$1091),"")</f>
        <v>F0946</v>
      </c>
      <c r="D1091" t="str">
        <f>IFERROR(IF(0=LEN(ReferenceData!$D$1091),"",ReferenceData!$D$1091),"")</f>
        <v>TOTAL_GHG_CO2_EMISSIONS</v>
      </c>
      <c r="E1091" t="str">
        <f>IFERROR(IF(0=LEN(ReferenceData!$E$1091),"",ReferenceData!$E$1091),"")</f>
        <v>Dynamic</v>
      </c>
      <c r="F1091" t="str">
        <f ca="1">IFERROR(IF(0=LEN(ReferenceData!$F$1091),"",ReferenceData!$F$1091),"")</f>
        <v/>
      </c>
      <c r="G1091">
        <f ca="1">IFERROR(IF(0=LEN(ReferenceData!$G$1091),"",ReferenceData!$G$1091),"")</f>
        <v>15.3</v>
      </c>
      <c r="H1091">
        <f ca="1">IFERROR(IF(0=LEN(ReferenceData!$H$1091),"",ReferenceData!$H$1091),"")</f>
        <v>17.194900390000001</v>
      </c>
      <c r="I1091">
        <f ca="1">IFERROR(IF(0=LEN(ReferenceData!$I$1091),"",ReferenceData!$I$1091),"")</f>
        <v>18.468</v>
      </c>
      <c r="J1091">
        <f ca="1">IFERROR(IF(0=LEN(ReferenceData!$J$1091),"",ReferenceData!$J$1091),"")</f>
        <v>20.359000000000002</v>
      </c>
    </row>
    <row r="1092" spans="1:10" x14ac:dyDescent="0.25">
      <c r="A1092" t="str">
        <f>IFERROR(IF(0=LEN(ReferenceData!$A$1092),"",ReferenceData!$A$1092),"")</f>
        <v xml:space="preserve">                        Power Assets Holdings Ltd</v>
      </c>
      <c r="B1092" t="str">
        <f>IFERROR(IF(0=LEN(ReferenceData!$B$1092),"",ReferenceData!$B$1092),"")</f>
        <v>6 HK Equity</v>
      </c>
      <c r="C1092" t="str">
        <f>IFERROR(IF(0=LEN(ReferenceData!$C$1092),"",ReferenceData!$C$1092),"")</f>
        <v>F0946</v>
      </c>
      <c r="D1092" t="str">
        <f>IFERROR(IF(0=LEN(ReferenceData!$D$1092),"",ReferenceData!$D$1092),"")</f>
        <v>TOTAL_GHG_CO2_EMISSIONS</v>
      </c>
      <c r="E1092" t="str">
        <f>IFERROR(IF(0=LEN(ReferenceData!$E$1092),"",ReferenceData!$E$1092),"")</f>
        <v>Dynamic</v>
      </c>
      <c r="F1092">
        <f ca="1">IFERROR(IF(0=LEN(ReferenceData!$F$1092),"",ReferenceData!$F$1092),"")</f>
        <v>8.0408300780000008</v>
      </c>
      <c r="G1092">
        <f ca="1">IFERROR(IF(0=LEN(ReferenceData!$G$1092),"",ReferenceData!$G$1092),"")</f>
        <v>8.2948300780000004</v>
      </c>
      <c r="H1092">
        <f ca="1">IFERROR(IF(0=LEN(ReferenceData!$H$1092),"",ReferenceData!$H$1092),"")</f>
        <v>8.0046699219999997</v>
      </c>
      <c r="I1092">
        <f ca="1">IFERROR(IF(0=LEN(ReferenceData!$I$1092),"",ReferenceData!$I$1092),"")</f>
        <v>10.885</v>
      </c>
      <c r="J1092">
        <f ca="1">IFERROR(IF(0=LEN(ReferenceData!$J$1092),"",ReferenceData!$J$1092),"")</f>
        <v>12.643000000000001</v>
      </c>
    </row>
    <row r="1093" spans="1:10" x14ac:dyDescent="0.25">
      <c r="A1093" t="str">
        <f>IFERROR(IF(0=LEN(ReferenceData!$A$1093),"",ReferenceData!$A$1093),"")</f>
        <v xml:space="preserve">                        Power Grid Corp of India Ltd</v>
      </c>
      <c r="B1093" t="str">
        <f>IFERROR(IF(0=LEN(ReferenceData!$B$1093),"",ReferenceData!$B$1093),"")</f>
        <v>PWGR IN Equity</v>
      </c>
      <c r="C1093" t="str">
        <f>IFERROR(IF(0=LEN(ReferenceData!$C$1093),"",ReferenceData!$C$1093),"")</f>
        <v>F0946</v>
      </c>
      <c r="D1093" t="str">
        <f>IFERROR(IF(0=LEN(ReferenceData!$D$1093),"",ReferenceData!$D$1093),"")</f>
        <v>TOTAL_GHG_CO2_EMISSIONS</v>
      </c>
      <c r="E1093" t="str">
        <f>IFERROR(IF(0=LEN(ReferenceData!$E$1093),"",ReferenceData!$E$1093),"")</f>
        <v>Dynamic</v>
      </c>
      <c r="F1093" t="str">
        <f ca="1">IFERROR(IF(0=LEN(ReferenceData!$F$1093),"",ReferenceData!$F$1093),"")</f>
        <v/>
      </c>
      <c r="G1093" t="str">
        <f ca="1">IFERROR(IF(0=LEN(ReferenceData!$G$1093),"",ReferenceData!$G$1093),"")</f>
        <v/>
      </c>
      <c r="H1093" t="str">
        <f ca="1">IFERROR(IF(0=LEN(ReferenceData!$H$1093),"",ReferenceData!$H$1093),"")</f>
        <v/>
      </c>
      <c r="I1093" t="str">
        <f ca="1">IFERROR(IF(0=LEN(ReferenceData!$I$1093),"",ReferenceData!$I$1093),"")</f>
        <v/>
      </c>
      <c r="J1093" t="str">
        <f ca="1">IFERROR(IF(0=LEN(ReferenceData!$J$1093),"",ReferenceData!$J$1093),"")</f>
        <v/>
      </c>
    </row>
    <row r="1094" spans="1:10" x14ac:dyDescent="0.25">
      <c r="A1094" t="str">
        <f>IFERROR(IF(0=LEN(ReferenceData!$A$1094),"",ReferenceData!$A$1094),"")</f>
        <v xml:space="preserve">                        Ratch Group PCL</v>
      </c>
      <c r="B1094" t="str">
        <f>IFERROR(IF(0=LEN(ReferenceData!$B$1094),"",ReferenceData!$B$1094),"")</f>
        <v>RATCH TB Equity</v>
      </c>
      <c r="C1094" t="str">
        <f>IFERROR(IF(0=LEN(ReferenceData!$C$1094),"",ReferenceData!$C$1094),"")</f>
        <v>F0946</v>
      </c>
      <c r="D1094" t="str">
        <f>IFERROR(IF(0=LEN(ReferenceData!$D$1094),"",ReferenceData!$D$1094),"")</f>
        <v>TOTAL_GHG_CO2_EMISSIONS</v>
      </c>
      <c r="E1094" t="str">
        <f>IFERROR(IF(0=LEN(ReferenceData!$E$1094),"",ReferenceData!$E$1094),"")</f>
        <v>Dynamic</v>
      </c>
      <c r="F1094" t="str">
        <f ca="1">IFERROR(IF(0=LEN(ReferenceData!$F$1094),"",ReferenceData!$F$1094),"")</f>
        <v/>
      </c>
      <c r="G1094">
        <f ca="1">IFERROR(IF(0=LEN(ReferenceData!$G$1094),"",ReferenceData!$G$1094),"")</f>
        <v>6.475959961</v>
      </c>
      <c r="H1094">
        <f ca="1">IFERROR(IF(0=LEN(ReferenceData!$H$1094),"",ReferenceData!$H$1094),"")</f>
        <v>6.2882597660000004</v>
      </c>
      <c r="I1094">
        <f ca="1">IFERROR(IF(0=LEN(ReferenceData!$I$1094),"",ReferenceData!$I$1094),"")</f>
        <v>5.9192499999999999</v>
      </c>
      <c r="J1094">
        <f ca="1">IFERROR(IF(0=LEN(ReferenceData!$J$1094),"",ReferenceData!$J$1094),"")</f>
        <v>6.9693701170000004</v>
      </c>
    </row>
    <row r="1095" spans="1:10" x14ac:dyDescent="0.25">
      <c r="A1095" t="str">
        <f>IFERROR(IF(0=LEN(ReferenceData!$A$1095),"",ReferenceData!$A$1095),"")</f>
        <v xml:space="preserve">                        Spark Infrastructure Group</v>
      </c>
      <c r="B1095" t="str">
        <f>IFERROR(IF(0=LEN(ReferenceData!$B$1095),"",ReferenceData!$B$1095),"")</f>
        <v>SKI AU Equity</v>
      </c>
      <c r="C1095" t="str">
        <f>IFERROR(IF(0=LEN(ReferenceData!$C$1095),"",ReferenceData!$C$1095),"")</f>
        <v>F0946</v>
      </c>
      <c r="D1095" t="str">
        <f>IFERROR(IF(0=LEN(ReferenceData!$D$1095),"",ReferenceData!$D$1095),"")</f>
        <v>TOTAL_GHG_CO2_EMISSIONS</v>
      </c>
      <c r="E1095" t="str">
        <f>IFERROR(IF(0=LEN(ReferenceData!$E$1095),"",ReferenceData!$E$1095),"")</f>
        <v>Dynamic</v>
      </c>
      <c r="F1095" t="str">
        <f ca="1">IFERROR(IF(0=LEN(ReferenceData!$F$1095),"",ReferenceData!$F$1095),"")</f>
        <v/>
      </c>
      <c r="G1095" t="str">
        <f ca="1">IFERROR(IF(0=LEN(ReferenceData!$G$1095),"",ReferenceData!$G$1095),"")</f>
        <v/>
      </c>
      <c r="H1095" t="str">
        <f ca="1">IFERROR(IF(0=LEN(ReferenceData!$H$1095),"",ReferenceData!$H$1095),"")</f>
        <v/>
      </c>
      <c r="I1095" t="str">
        <f ca="1">IFERROR(IF(0=LEN(ReferenceData!$I$1095),"",ReferenceData!$I$1095),"")</f>
        <v/>
      </c>
      <c r="J1095">
        <f ca="1">IFERROR(IF(0=LEN(ReferenceData!$J$1095),"",ReferenceData!$J$1095),"")</f>
        <v>2.557600098</v>
      </c>
    </row>
    <row r="1096" spans="1:10" x14ac:dyDescent="0.25">
      <c r="A1096" t="str">
        <f>IFERROR(IF(0=LEN(ReferenceData!$A$1096),"",ReferenceData!$A$1096),"")</f>
        <v xml:space="preserve">                        Tata Power Co Ltd/The</v>
      </c>
      <c r="B1096" t="str">
        <f>IFERROR(IF(0=LEN(ReferenceData!$B$1096),"",ReferenceData!$B$1096),"")</f>
        <v>TPWR IN Equity</v>
      </c>
      <c r="C1096" t="str">
        <f>IFERROR(IF(0=LEN(ReferenceData!$C$1096),"",ReferenceData!$C$1096),"")</f>
        <v>F0946</v>
      </c>
      <c r="D1096" t="str">
        <f>IFERROR(IF(0=LEN(ReferenceData!$D$1096),"",ReferenceData!$D$1096),"")</f>
        <v>TOTAL_GHG_CO2_EMISSIONS</v>
      </c>
      <c r="E1096" t="str">
        <f>IFERROR(IF(0=LEN(ReferenceData!$E$1096),"",ReferenceData!$E$1096),"")</f>
        <v>Dynamic</v>
      </c>
      <c r="F1096">
        <f ca="1">IFERROR(IF(0=LEN(ReferenceData!$F$1096),"",ReferenceData!$F$1096),"")</f>
        <v>28.786999999999999</v>
      </c>
      <c r="G1096">
        <f ca="1">IFERROR(IF(0=LEN(ReferenceData!$G$1096),"",ReferenceData!$G$1096),"")</f>
        <v>27.614999999999998</v>
      </c>
      <c r="H1096">
        <f ca="1">IFERROR(IF(0=LEN(ReferenceData!$H$1096),"",ReferenceData!$H$1096),"")</f>
        <v>34.530999999999999</v>
      </c>
      <c r="I1096">
        <f ca="1">IFERROR(IF(0=LEN(ReferenceData!$I$1096),"",ReferenceData!$I$1096),"")</f>
        <v>34.975000000000001</v>
      </c>
      <c r="J1096">
        <f ca="1">IFERROR(IF(0=LEN(ReferenceData!$J$1096),"",ReferenceData!$J$1096),"")</f>
        <v>36.067500000000003</v>
      </c>
    </row>
    <row r="1097" spans="1:10" x14ac:dyDescent="0.25">
      <c r="A1097" t="str">
        <f>IFERROR(IF(0=LEN(ReferenceData!$A$1097),"",ReferenceData!$A$1097),"")</f>
        <v xml:space="preserve">                        Tokyo Electric Power Co Holdin</v>
      </c>
      <c r="B1097" t="str">
        <f>IFERROR(IF(0=LEN(ReferenceData!$B$1097),"",ReferenceData!$B$1097),"")</f>
        <v>9501 JP Equity</v>
      </c>
      <c r="C1097" t="str">
        <f>IFERROR(IF(0=LEN(ReferenceData!$C$1097),"",ReferenceData!$C$1097),"")</f>
        <v>F0946</v>
      </c>
      <c r="D1097" t="str">
        <f>IFERROR(IF(0=LEN(ReferenceData!$D$1097),"",ReferenceData!$D$1097),"")</f>
        <v>TOTAL_GHG_CO2_EMISSIONS</v>
      </c>
      <c r="E1097" t="str">
        <f>IFERROR(IF(0=LEN(ReferenceData!$E$1097),"",ReferenceData!$E$1097),"")</f>
        <v>Dynamic</v>
      </c>
      <c r="F1097" t="str">
        <f ca="1">IFERROR(IF(0=LEN(ReferenceData!$F$1097),"",ReferenceData!$F$1097),"")</f>
        <v/>
      </c>
      <c r="G1097">
        <f ca="1">IFERROR(IF(0=LEN(ReferenceData!$G$1097),"",ReferenceData!$G$1097),"")</f>
        <v>6.29</v>
      </c>
      <c r="H1097">
        <f ca="1">IFERROR(IF(0=LEN(ReferenceData!$H$1097),"",ReferenceData!$H$1097),"")</f>
        <v>5.4</v>
      </c>
      <c r="I1097">
        <f ca="1">IFERROR(IF(0=LEN(ReferenceData!$I$1097),"",ReferenceData!$I$1097),"")</f>
        <v>6.2409999999999997</v>
      </c>
      <c r="J1097">
        <f ca="1">IFERROR(IF(0=LEN(ReferenceData!$J$1097),"",ReferenceData!$J$1097),"")</f>
        <v>84.37</v>
      </c>
    </row>
    <row r="1098" spans="1:10" x14ac:dyDescent="0.25">
      <c r="A1098" t="str">
        <f>IFERROR(IF(0=LEN(ReferenceData!$A$1098),"",ReferenceData!$A$1098),"")</f>
        <v xml:space="preserve">                        Tenaga Nasional Bhd</v>
      </c>
      <c r="B1098" t="str">
        <f>IFERROR(IF(0=LEN(ReferenceData!$B$1098),"",ReferenceData!$B$1098),"")</f>
        <v>TNB MK Equity</v>
      </c>
      <c r="C1098" t="str">
        <f>IFERROR(IF(0=LEN(ReferenceData!$C$1098),"",ReferenceData!$C$1098),"")</f>
        <v>F0946</v>
      </c>
      <c r="D1098" t="str">
        <f>IFERROR(IF(0=LEN(ReferenceData!$D$1098),"",ReferenceData!$D$1098),"")</f>
        <v>TOTAL_GHG_CO2_EMISSIONS</v>
      </c>
      <c r="E1098" t="str">
        <f>IFERROR(IF(0=LEN(ReferenceData!$E$1098),"",ReferenceData!$E$1098),"")</f>
        <v>Dynamic</v>
      </c>
      <c r="F1098">
        <f ca="1">IFERROR(IF(0=LEN(ReferenceData!$F$1098),"",ReferenceData!$F$1098),"")</f>
        <v>38.9</v>
      </c>
      <c r="G1098">
        <f ca="1">IFERROR(IF(0=LEN(ReferenceData!$G$1098),"",ReferenceData!$G$1098),"")</f>
        <v>39.994699220000001</v>
      </c>
      <c r="H1098">
        <f ca="1">IFERROR(IF(0=LEN(ReferenceData!$H$1098),"",ReferenceData!$H$1098),"")</f>
        <v>39.28</v>
      </c>
      <c r="I1098">
        <f ca="1">IFERROR(IF(0=LEN(ReferenceData!$I$1098),"",ReferenceData!$I$1098),"")</f>
        <v>33.575800780000002</v>
      </c>
      <c r="J1098">
        <f ca="1">IFERROR(IF(0=LEN(ReferenceData!$J$1098),"",ReferenceData!$J$1098),"")</f>
        <v>37.117601559999997</v>
      </c>
    </row>
    <row r="1099" spans="1:10" x14ac:dyDescent="0.25">
      <c r="A1099" t="str">
        <f>IFERROR(IF(0=LEN(ReferenceData!$A$1099),"",ReferenceData!$A$1099),"")</f>
        <v xml:space="preserve">                        Tohoku Electric Power Co Inc</v>
      </c>
      <c r="B1099" t="str">
        <f>IFERROR(IF(0=LEN(ReferenceData!$B$1099),"",ReferenceData!$B$1099),"")</f>
        <v>9506 JP Equity</v>
      </c>
      <c r="C1099" t="str">
        <f>IFERROR(IF(0=LEN(ReferenceData!$C$1099),"",ReferenceData!$C$1099),"")</f>
        <v>F0946</v>
      </c>
      <c r="D1099" t="str">
        <f>IFERROR(IF(0=LEN(ReferenceData!$D$1099),"",ReferenceData!$D$1099),"")</f>
        <v>TOTAL_GHG_CO2_EMISSIONS</v>
      </c>
      <c r="E1099" t="str">
        <f>IFERROR(IF(0=LEN(ReferenceData!$E$1099),"",ReferenceData!$E$1099),"")</f>
        <v>Dynamic</v>
      </c>
      <c r="F1099" t="str">
        <f ca="1">IFERROR(IF(0=LEN(ReferenceData!$F$1099),"",ReferenceData!$F$1099),"")</f>
        <v/>
      </c>
      <c r="G1099">
        <f ca="1">IFERROR(IF(0=LEN(ReferenceData!$G$1099),"",ReferenceData!$G$1099),"")</f>
        <v>32.816000000000003</v>
      </c>
      <c r="H1099">
        <f ca="1">IFERROR(IF(0=LEN(ReferenceData!$H$1099),"",ReferenceData!$H$1099),"")</f>
        <v>31.140999999999998</v>
      </c>
      <c r="I1099">
        <f ca="1">IFERROR(IF(0=LEN(ReferenceData!$I$1099),"",ReferenceData!$I$1099),"")</f>
        <v>30.591000000000001</v>
      </c>
      <c r="J1099">
        <f ca="1">IFERROR(IF(0=LEN(ReferenceData!$J$1099),"",ReferenceData!$J$1099),"")</f>
        <v>31.9</v>
      </c>
    </row>
    <row r="1100" spans="1:10" x14ac:dyDescent="0.25">
      <c r="A1100" t="str">
        <f>IFERROR(IF(0=LEN(ReferenceData!$A$1100),"",ReferenceData!$A$1100),"")</f>
        <v xml:space="preserve">                        Vector Ltd</v>
      </c>
      <c r="B1100" t="str">
        <f>IFERROR(IF(0=LEN(ReferenceData!$B$1100),"",ReferenceData!$B$1100),"")</f>
        <v>VCT NZ Equity</v>
      </c>
      <c r="C1100" t="str">
        <f>IFERROR(IF(0=LEN(ReferenceData!$C$1100),"",ReferenceData!$C$1100),"")</f>
        <v>F0946</v>
      </c>
      <c r="D1100" t="str">
        <f>IFERROR(IF(0=LEN(ReferenceData!$D$1100),"",ReferenceData!$D$1100),"")</f>
        <v>TOTAL_GHG_CO2_EMISSIONS</v>
      </c>
      <c r="E1100" t="str">
        <f>IFERROR(IF(0=LEN(ReferenceData!$E$1100),"",ReferenceData!$E$1100),"")</f>
        <v>Dynamic</v>
      </c>
      <c r="F1100" t="str">
        <f ca="1">IFERROR(IF(0=LEN(ReferenceData!$F$1100),"",ReferenceData!$F$1100),"")</f>
        <v/>
      </c>
      <c r="G1100">
        <f ca="1">IFERROR(IF(0=LEN(ReferenceData!$G$1100),"",ReferenceData!$G$1100),"")</f>
        <v>6.0362999000000001E-2</v>
      </c>
      <c r="H1100">
        <f ca="1">IFERROR(IF(0=LEN(ReferenceData!$H$1100),"",ReferenceData!$H$1100),"")</f>
        <v>5.3849998000000003E-2</v>
      </c>
      <c r="I1100">
        <f ca="1">IFERROR(IF(0=LEN(ReferenceData!$I$1100),"",ReferenceData!$I$1100),"")</f>
        <v>0.32317800899999999</v>
      </c>
      <c r="J1100">
        <f ca="1">IFERROR(IF(0=LEN(ReferenceData!$J$1100),"",ReferenceData!$J$1100),"")</f>
        <v>0.42634298700000001</v>
      </c>
    </row>
    <row r="1101" spans="1:10" x14ac:dyDescent="0.25">
      <c r="A1101" t="str">
        <f>IFERROR(IF(0=LEN(ReferenceData!$A$1101),"",ReferenceData!$A$1101),"")</f>
        <v xml:space="preserve">                        YTL Corp Bhd</v>
      </c>
      <c r="B1101" t="str">
        <f>IFERROR(IF(0=LEN(ReferenceData!$B$1101),"",ReferenceData!$B$1101),"")</f>
        <v>YTL MK Equity</v>
      </c>
      <c r="C1101" t="str">
        <f>IFERROR(IF(0=LEN(ReferenceData!$C$1101),"",ReferenceData!$C$1101),"")</f>
        <v>F0946</v>
      </c>
      <c r="D1101" t="str">
        <f>IFERROR(IF(0=LEN(ReferenceData!$D$1101),"",ReferenceData!$D$1101),"")</f>
        <v>TOTAL_GHG_CO2_EMISSIONS</v>
      </c>
      <c r="E1101" t="str">
        <f>IFERROR(IF(0=LEN(ReferenceData!$E$1101),"",ReferenceData!$E$1101),"")</f>
        <v>Dynamic</v>
      </c>
      <c r="F1101" t="str">
        <f ca="1">IFERROR(IF(0=LEN(ReferenceData!$F$1101),"",ReferenceData!$F$1101),"")</f>
        <v/>
      </c>
      <c r="G1101">
        <f ca="1">IFERROR(IF(0=LEN(ReferenceData!$G$1101),"",ReferenceData!$G$1101),"")</f>
        <v>3.8330000000000002</v>
      </c>
      <c r="H1101">
        <f ca="1">IFERROR(IF(0=LEN(ReferenceData!$H$1101),"",ReferenceData!$H$1101),"")</f>
        <v>3.363</v>
      </c>
      <c r="I1101">
        <f ca="1">IFERROR(IF(0=LEN(ReferenceData!$I$1101),"",ReferenceData!$I$1101),"")</f>
        <v>3.6539999999999999</v>
      </c>
      <c r="J1101" t="str">
        <f ca="1">IFERROR(IF(0=LEN(ReferenceData!$J$1101),"",ReferenceData!$J$1101),"")</f>
        <v/>
      </c>
    </row>
    <row r="1102" spans="1:10" x14ac:dyDescent="0.25">
      <c r="A1102" t="str">
        <f>IFERROR(IF(0=LEN(ReferenceData!$A$1102),"",ReferenceData!$A$1102),"")</f>
        <v xml:space="preserve">                        YTL Power International Bhd</v>
      </c>
      <c r="B1102" t="str">
        <f>IFERROR(IF(0=LEN(ReferenceData!$B$1102),"",ReferenceData!$B$1102),"")</f>
        <v>YTLP MK Equity</v>
      </c>
      <c r="C1102" t="str">
        <f>IFERROR(IF(0=LEN(ReferenceData!$C$1102),"",ReferenceData!$C$1102),"")</f>
        <v>F0946</v>
      </c>
      <c r="D1102" t="str">
        <f>IFERROR(IF(0=LEN(ReferenceData!$D$1102),"",ReferenceData!$D$1102),"")</f>
        <v>TOTAL_GHG_CO2_EMISSIONS</v>
      </c>
      <c r="E1102" t="str">
        <f>IFERROR(IF(0=LEN(ReferenceData!$E$1102),"",ReferenceData!$E$1102),"")</f>
        <v>Dynamic</v>
      </c>
      <c r="F1102" t="str">
        <f ca="1">IFERROR(IF(0=LEN(ReferenceData!$F$1102),"",ReferenceData!$F$1102),"")</f>
        <v/>
      </c>
      <c r="G1102" t="str">
        <f ca="1">IFERROR(IF(0=LEN(ReferenceData!$G$1102),"",ReferenceData!$G$1102),"")</f>
        <v/>
      </c>
      <c r="H1102" t="str">
        <f ca="1">IFERROR(IF(0=LEN(ReferenceData!$H$1102),"",ReferenceData!$H$1102),"")</f>
        <v/>
      </c>
      <c r="I1102" t="str">
        <f ca="1">IFERROR(IF(0=LEN(ReferenceData!$I$1102),"",ReferenceData!$I$1102),"")</f>
        <v/>
      </c>
      <c r="J1102" t="str">
        <f ca="1">IFERROR(IF(0=LEN(ReferenceData!$J$1102),"",ReferenceData!$J$1102),"")</f>
        <v/>
      </c>
    </row>
    <row r="1103" spans="1:10" x14ac:dyDescent="0.25">
      <c r="A1103" t="str">
        <f>IFERROR(IF(0=LEN(ReferenceData!$A$1103),"",ReferenceData!$A$1103),"")</f>
        <v xml:space="preserve">            North America Electric &amp; Gas Transmission</v>
      </c>
      <c r="B1103" t="str">
        <f>IFERROR(IF(0=LEN(ReferenceData!$B$1103),"",ReferenceData!$B$1103),"")</f>
        <v/>
      </c>
      <c r="C1103" t="str">
        <f>IFERROR(IF(0=LEN(ReferenceData!$C$1103),"",ReferenceData!$C$1103),"")</f>
        <v/>
      </c>
      <c r="D1103" t="str">
        <f>IFERROR(IF(0=LEN(ReferenceData!$D$1103),"",ReferenceData!$D$1103),"")</f>
        <v/>
      </c>
      <c r="E1103" t="str">
        <f>IFERROR(IF(0=LEN(ReferenceData!$E$1103),"",ReferenceData!$E$1103),"")</f>
        <v>Sum</v>
      </c>
      <c r="F1103">
        <f ca="1">IFERROR(IF(0=LEN(ReferenceData!$F$1103),"",ReferenceData!$F$1103),"")</f>
        <v>40.274100036</v>
      </c>
      <c r="G1103">
        <f ca="1">IFERROR(IF(0=LEN(ReferenceData!$G$1103),"",ReferenceData!$G$1103),"")</f>
        <v>57.703892275000008</v>
      </c>
      <c r="H1103">
        <f ca="1">IFERROR(IF(0=LEN(ReferenceData!$H$1103),"",ReferenceData!$H$1103),"")</f>
        <v>52.765191253000005</v>
      </c>
      <c r="I1103">
        <f ca="1">IFERROR(IF(0=LEN(ReferenceData!$I$1103),"",ReferenceData!$I$1103),"")</f>
        <v>52.545913808000002</v>
      </c>
      <c r="J1103">
        <f ca="1">IFERROR(IF(0=LEN(ReferenceData!$J$1103),"",ReferenceData!$J$1103),"")</f>
        <v>56.855407014000001</v>
      </c>
    </row>
    <row r="1104" spans="1:10" x14ac:dyDescent="0.25">
      <c r="A1104" t="str">
        <f>IFERROR(IF(0=LEN(ReferenceData!$A$1104),"",ReferenceData!$A$1104),"")</f>
        <v xml:space="preserve">                Avangrid Inc</v>
      </c>
      <c r="B1104" t="str">
        <f>IFERROR(IF(0=LEN(ReferenceData!$B$1104),"",ReferenceData!$B$1104),"")</f>
        <v>AGR US Equity</v>
      </c>
      <c r="C1104" t="str">
        <f>IFERROR(IF(0=LEN(ReferenceData!$C$1104),"",ReferenceData!$C$1104),"")</f>
        <v>F0946</v>
      </c>
      <c r="D1104" t="str">
        <f>IFERROR(IF(0=LEN(ReferenceData!$D$1104),"",ReferenceData!$D$1104),"")</f>
        <v>TOTAL_GHG_CO2_EMISSIONS</v>
      </c>
      <c r="E1104" t="str">
        <f>IFERROR(IF(0=LEN(ReferenceData!$E$1104),"",ReferenceData!$E$1104),"")</f>
        <v>Dynamic</v>
      </c>
      <c r="F1104">
        <f ca="1">IFERROR(IF(0=LEN(ReferenceData!$F$1104),"",ReferenceData!$F$1104),"")</f>
        <v>1.600900024</v>
      </c>
      <c r="G1104">
        <f ca="1">IFERROR(IF(0=LEN(ReferenceData!$G$1104),"",ReferenceData!$G$1104),"")</f>
        <v>2.020069946</v>
      </c>
      <c r="H1104">
        <f ca="1">IFERROR(IF(0=LEN(ReferenceData!$H$1104),"",ReferenceData!$H$1104),"")</f>
        <v>1.7137299800000001</v>
      </c>
      <c r="I1104">
        <f ca="1">IFERROR(IF(0=LEN(ReferenceData!$I$1104),"",ReferenceData!$I$1104),"")</f>
        <v>2.1655800780000001</v>
      </c>
      <c r="J1104">
        <f ca="1">IFERROR(IF(0=LEN(ReferenceData!$J$1104),"",ReferenceData!$J$1104),"")</f>
        <v>1.725630005</v>
      </c>
    </row>
    <row r="1105" spans="1:10" x14ac:dyDescent="0.25">
      <c r="A1105" t="str">
        <f>IFERROR(IF(0=LEN(ReferenceData!$A$1105),"",ReferenceData!$A$1105),"")</f>
        <v xml:space="preserve">                Atmos Energy Corp</v>
      </c>
      <c r="B1105" t="str">
        <f>IFERROR(IF(0=LEN(ReferenceData!$B$1105),"",ReferenceData!$B$1105),"")</f>
        <v>ATO US Equity</v>
      </c>
      <c r="C1105" t="str">
        <f>IFERROR(IF(0=LEN(ReferenceData!$C$1105),"",ReferenceData!$C$1105),"")</f>
        <v>F0946</v>
      </c>
      <c r="D1105" t="str">
        <f>IFERROR(IF(0=LEN(ReferenceData!$D$1105),"",ReferenceData!$D$1105),"")</f>
        <v>TOTAL_GHG_CO2_EMISSIONS</v>
      </c>
      <c r="E1105" t="str">
        <f>IFERROR(IF(0=LEN(ReferenceData!$E$1105),"",ReferenceData!$E$1105),"")</f>
        <v>Dynamic</v>
      </c>
      <c r="F1105" t="str">
        <f ca="1">IFERROR(IF(0=LEN(ReferenceData!$F$1105),"",ReferenceData!$F$1105),"")</f>
        <v/>
      </c>
      <c r="G1105" t="str">
        <f ca="1">IFERROR(IF(0=LEN(ReferenceData!$G$1105),"",ReferenceData!$G$1105),"")</f>
        <v/>
      </c>
      <c r="H1105" t="str">
        <f ca="1">IFERROR(IF(0=LEN(ReferenceData!$H$1105),"",ReferenceData!$H$1105),"")</f>
        <v/>
      </c>
      <c r="I1105" t="str">
        <f ca="1">IFERROR(IF(0=LEN(ReferenceData!$I$1105),"",ReferenceData!$I$1105),"")</f>
        <v/>
      </c>
      <c r="J1105" t="str">
        <f ca="1">IFERROR(IF(0=LEN(ReferenceData!$J$1105),"",ReferenceData!$J$1105),"")</f>
        <v/>
      </c>
    </row>
    <row r="1106" spans="1:10" x14ac:dyDescent="0.25">
      <c r="A1106" t="str">
        <f>IFERROR(IF(0=LEN(ReferenceData!$A$1106),"",ReferenceData!$A$1106),"")</f>
        <v xml:space="preserve">                CenterPoint Energy Inc</v>
      </c>
      <c r="B1106" t="str">
        <f>IFERROR(IF(0=LEN(ReferenceData!$B$1106),"",ReferenceData!$B$1106),"")</f>
        <v>CNP US Equity</v>
      </c>
      <c r="C1106" t="str">
        <f>IFERROR(IF(0=LEN(ReferenceData!$C$1106),"",ReferenceData!$C$1106),"")</f>
        <v>F0946</v>
      </c>
      <c r="D1106" t="str">
        <f>IFERROR(IF(0=LEN(ReferenceData!$D$1106),"",ReferenceData!$D$1106),"")</f>
        <v>TOTAL_GHG_CO2_EMISSIONS</v>
      </c>
      <c r="E1106" t="str">
        <f>IFERROR(IF(0=LEN(ReferenceData!$E$1106),"",ReferenceData!$E$1106),"")</f>
        <v>Dynamic</v>
      </c>
      <c r="F1106" t="str">
        <f ca="1">IFERROR(IF(0=LEN(ReferenceData!$F$1106),"",ReferenceData!$F$1106),"")</f>
        <v/>
      </c>
      <c r="G1106">
        <f ca="1">IFERROR(IF(0=LEN(ReferenceData!$G$1106),"",ReferenceData!$G$1106),"")</f>
        <v>7.0957099609999998</v>
      </c>
      <c r="H1106">
        <f ca="1">IFERROR(IF(0=LEN(ReferenceData!$H$1106),"",ReferenceData!$H$1106),"")</f>
        <v>5.2958398439999996</v>
      </c>
      <c r="I1106" t="str">
        <f ca="1">IFERROR(IF(0=LEN(ReferenceData!$I$1106),"",ReferenceData!$I$1106),"")</f>
        <v/>
      </c>
      <c r="J1106" t="str">
        <f ca="1">IFERROR(IF(0=LEN(ReferenceData!$J$1106),"",ReferenceData!$J$1106),"")</f>
        <v/>
      </c>
    </row>
    <row r="1107" spans="1:10" x14ac:dyDescent="0.25">
      <c r="A1107" t="str">
        <f>IFERROR(IF(0=LEN(ReferenceData!$A$1107),"",ReferenceData!$A$1107),"")</f>
        <v xml:space="preserve">                Consolidated Edison Inc</v>
      </c>
      <c r="B1107" t="str">
        <f>IFERROR(IF(0=LEN(ReferenceData!$B$1107),"",ReferenceData!$B$1107),"")</f>
        <v>ED US Equity</v>
      </c>
      <c r="C1107" t="str">
        <f>IFERROR(IF(0=LEN(ReferenceData!$C$1107),"",ReferenceData!$C$1107),"")</f>
        <v>F0946</v>
      </c>
      <c r="D1107" t="str">
        <f>IFERROR(IF(0=LEN(ReferenceData!$D$1107),"",ReferenceData!$D$1107),"")</f>
        <v>TOTAL_GHG_CO2_EMISSIONS</v>
      </c>
      <c r="E1107" t="str">
        <f>IFERROR(IF(0=LEN(ReferenceData!$E$1107),"",ReferenceData!$E$1107),"")</f>
        <v>Dynamic</v>
      </c>
      <c r="F1107">
        <f ca="1">IFERROR(IF(0=LEN(ReferenceData!$F$1107),"",ReferenceData!$F$1107),"")</f>
        <v>3.835</v>
      </c>
      <c r="G1107">
        <f ca="1">IFERROR(IF(0=LEN(ReferenceData!$G$1107),"",ReferenceData!$G$1107),"")</f>
        <v>4.0860000000000003</v>
      </c>
      <c r="H1107">
        <f ca="1">IFERROR(IF(0=LEN(ReferenceData!$H$1107),"",ReferenceData!$H$1107),"")</f>
        <v>3.62</v>
      </c>
      <c r="I1107">
        <f ca="1">IFERROR(IF(0=LEN(ReferenceData!$I$1107),"",ReferenceData!$I$1107),"")</f>
        <v>4.0670000000000002</v>
      </c>
      <c r="J1107">
        <f ca="1">IFERROR(IF(0=LEN(ReferenceData!$J$1107),"",ReferenceData!$J$1107),"")</f>
        <v>4.3079999999999998</v>
      </c>
    </row>
    <row r="1108" spans="1:10" x14ac:dyDescent="0.25">
      <c r="A1108" t="str">
        <f>IFERROR(IF(0=LEN(ReferenceData!$A$1108),"",ReferenceData!$A$1108),"")</f>
        <v xml:space="preserve">                Eversource Energy</v>
      </c>
      <c r="B1108" t="str">
        <f>IFERROR(IF(0=LEN(ReferenceData!$B$1108),"",ReferenceData!$B$1108),"")</f>
        <v>ES US Equity</v>
      </c>
      <c r="C1108" t="str">
        <f>IFERROR(IF(0=LEN(ReferenceData!$C$1108),"",ReferenceData!$C$1108),"")</f>
        <v>F0946</v>
      </c>
      <c r="D1108" t="str">
        <f>IFERROR(IF(0=LEN(ReferenceData!$D$1108),"",ReferenceData!$D$1108),"")</f>
        <v>TOTAL_GHG_CO2_EMISSIONS</v>
      </c>
      <c r="E1108" t="str">
        <f>IFERROR(IF(0=LEN(ReferenceData!$E$1108),"",ReferenceData!$E$1108),"")</f>
        <v>Dynamic</v>
      </c>
      <c r="F1108" t="str">
        <f ca="1">IFERROR(IF(0=LEN(ReferenceData!$F$1108),"",ReferenceData!$F$1108),"")</f>
        <v/>
      </c>
      <c r="G1108">
        <f ca="1">IFERROR(IF(0=LEN(ReferenceData!$G$1108),"",ReferenceData!$G$1108),"")</f>
        <v>0.70987597700000005</v>
      </c>
      <c r="H1108">
        <f ca="1">IFERROR(IF(0=LEN(ReferenceData!$H$1108),"",ReferenceData!$H$1108),"")</f>
        <v>0.68533099399999997</v>
      </c>
      <c r="I1108">
        <f ca="1">IFERROR(IF(0=LEN(ReferenceData!$I$1108),"",ReferenceData!$I$1108),"")</f>
        <v>0.78569999999999995</v>
      </c>
      <c r="J1108">
        <f ca="1">IFERROR(IF(0=LEN(ReferenceData!$J$1108),"",ReferenceData!$J$1108),"")</f>
        <v>0.81223699999999999</v>
      </c>
    </row>
    <row r="1109" spans="1:10" x14ac:dyDescent="0.25">
      <c r="A1109" t="str">
        <f>IFERROR(IF(0=LEN(ReferenceData!$A$1109),"",ReferenceData!$A$1109),"")</f>
        <v xml:space="preserve">                NiSource Inc</v>
      </c>
      <c r="B1109" t="str">
        <f>IFERROR(IF(0=LEN(ReferenceData!$B$1109),"",ReferenceData!$B$1109),"")</f>
        <v>NI US Equity</v>
      </c>
      <c r="C1109" t="str">
        <f>IFERROR(IF(0=LEN(ReferenceData!$C$1109),"",ReferenceData!$C$1109),"")</f>
        <v>F0946</v>
      </c>
      <c r="D1109" t="str">
        <f>IFERROR(IF(0=LEN(ReferenceData!$D$1109),"",ReferenceData!$D$1109),"")</f>
        <v>TOTAL_GHG_CO2_EMISSIONS</v>
      </c>
      <c r="E1109" t="str">
        <f>IFERROR(IF(0=LEN(ReferenceData!$E$1109),"",ReferenceData!$E$1109),"")</f>
        <v>Dynamic</v>
      </c>
      <c r="F1109" t="str">
        <f ca="1">IFERROR(IF(0=LEN(ReferenceData!$F$1109),"",ReferenceData!$F$1109),"")</f>
        <v/>
      </c>
      <c r="G1109">
        <f ca="1">IFERROR(IF(0=LEN(ReferenceData!$G$1109),"",ReferenceData!$G$1109),"")</f>
        <v>8.2469501950000002</v>
      </c>
      <c r="H1109">
        <f ca="1">IFERROR(IF(0=LEN(ReferenceData!$H$1109),"",ReferenceData!$H$1109),"")</f>
        <v>7.3034599609999997</v>
      </c>
      <c r="I1109">
        <f ca="1">IFERROR(IF(0=LEN(ReferenceData!$I$1109),"",ReferenceData!$I$1109),"")</f>
        <v>10.244099609999999</v>
      </c>
      <c r="J1109">
        <f ca="1">IFERROR(IF(0=LEN(ReferenceData!$J$1109),"",ReferenceData!$J$1109),"")</f>
        <v>12.624499999999999</v>
      </c>
    </row>
    <row r="1110" spans="1:10" x14ac:dyDescent="0.25">
      <c r="A1110" t="str">
        <f>IFERROR(IF(0=LEN(ReferenceData!$A$1110),"",ReferenceData!$A$1110),"")</f>
        <v xml:space="preserve">                National Fuel Gas Co</v>
      </c>
      <c r="B1110" t="str">
        <f>IFERROR(IF(0=LEN(ReferenceData!$B$1110),"",ReferenceData!$B$1110),"")</f>
        <v>NFG US Equity</v>
      </c>
      <c r="C1110" t="str">
        <f>IFERROR(IF(0=LEN(ReferenceData!$C$1110),"",ReferenceData!$C$1110),"")</f>
        <v>F0946</v>
      </c>
      <c r="D1110" t="str">
        <f>IFERROR(IF(0=LEN(ReferenceData!$D$1110),"",ReferenceData!$D$1110),"")</f>
        <v>TOTAL_GHG_CO2_EMISSIONS</v>
      </c>
      <c r="E1110" t="str">
        <f>IFERROR(IF(0=LEN(ReferenceData!$E$1110),"",ReferenceData!$E$1110),"")</f>
        <v>Dynamic</v>
      </c>
      <c r="F1110" t="str">
        <f ca="1">IFERROR(IF(0=LEN(ReferenceData!$F$1110),"",ReferenceData!$F$1110),"")</f>
        <v/>
      </c>
      <c r="G1110">
        <f ca="1">IFERROR(IF(0=LEN(ReferenceData!$G$1110),"",ReferenceData!$G$1110),"")</f>
        <v>0.75803900199999996</v>
      </c>
      <c r="H1110" t="str">
        <f ca="1">IFERROR(IF(0=LEN(ReferenceData!$H$1110),"",ReferenceData!$H$1110),"")</f>
        <v/>
      </c>
      <c r="I1110" t="str">
        <f ca="1">IFERROR(IF(0=LEN(ReferenceData!$I$1110),"",ReferenceData!$I$1110),"")</f>
        <v/>
      </c>
      <c r="J1110" t="str">
        <f ca="1">IFERROR(IF(0=LEN(ReferenceData!$J$1110),"",ReferenceData!$J$1110),"")</f>
        <v/>
      </c>
    </row>
    <row r="1111" spans="1:10" x14ac:dyDescent="0.25">
      <c r="A1111" t="str">
        <f>IFERROR(IF(0=LEN(ReferenceData!$A$1111),"",ReferenceData!$A$1111),"")</f>
        <v xml:space="preserve">                New Jersey Resources Corp</v>
      </c>
      <c r="B1111" t="str">
        <f>IFERROR(IF(0=LEN(ReferenceData!$B$1111),"",ReferenceData!$B$1111),"")</f>
        <v>NJR US Equity</v>
      </c>
      <c r="C1111" t="str">
        <f>IFERROR(IF(0=LEN(ReferenceData!$C$1111),"",ReferenceData!$C$1111),"")</f>
        <v>F0946</v>
      </c>
      <c r="D1111" t="str">
        <f>IFERROR(IF(0=LEN(ReferenceData!$D$1111),"",ReferenceData!$D$1111),"")</f>
        <v>TOTAL_GHG_CO2_EMISSIONS</v>
      </c>
      <c r="E1111" t="str">
        <f>IFERROR(IF(0=LEN(ReferenceData!$E$1111),"",ReferenceData!$E$1111),"")</f>
        <v>Dynamic</v>
      </c>
      <c r="F1111" t="str">
        <f ca="1">IFERROR(IF(0=LEN(ReferenceData!$F$1111),"",ReferenceData!$F$1111),"")</f>
        <v/>
      </c>
      <c r="G1111" t="str">
        <f ca="1">IFERROR(IF(0=LEN(ReferenceData!$G$1111),"",ReferenceData!$G$1111),"")</f>
        <v/>
      </c>
      <c r="H1111" t="str">
        <f ca="1">IFERROR(IF(0=LEN(ReferenceData!$H$1111),"",ReferenceData!$H$1111),"")</f>
        <v/>
      </c>
      <c r="I1111" t="str">
        <f ca="1">IFERROR(IF(0=LEN(ReferenceData!$I$1111),"",ReferenceData!$I$1111),"")</f>
        <v/>
      </c>
      <c r="J1111" t="str">
        <f ca="1">IFERROR(IF(0=LEN(ReferenceData!$J$1111),"",ReferenceData!$J$1111),"")</f>
        <v/>
      </c>
    </row>
    <row r="1112" spans="1:10" x14ac:dyDescent="0.25">
      <c r="A1112" t="str">
        <f>IFERROR(IF(0=LEN(ReferenceData!$A$1112),"",ReferenceData!$A$1112),"")</f>
        <v xml:space="preserve">                ONE Gas Inc</v>
      </c>
      <c r="B1112" t="str">
        <f>IFERROR(IF(0=LEN(ReferenceData!$B$1112),"",ReferenceData!$B$1112),"")</f>
        <v>OGS US Equity</v>
      </c>
      <c r="C1112" t="str">
        <f>IFERROR(IF(0=LEN(ReferenceData!$C$1112),"",ReferenceData!$C$1112),"")</f>
        <v>F0946</v>
      </c>
      <c r="D1112" t="str">
        <f>IFERROR(IF(0=LEN(ReferenceData!$D$1112),"",ReferenceData!$D$1112),"")</f>
        <v>TOTAL_GHG_CO2_EMISSIONS</v>
      </c>
      <c r="E1112" t="str">
        <f>IFERROR(IF(0=LEN(ReferenceData!$E$1112),"",ReferenceData!$E$1112),"")</f>
        <v>Dynamic</v>
      </c>
      <c r="F1112" t="str">
        <f ca="1">IFERROR(IF(0=LEN(ReferenceData!$F$1112),"",ReferenceData!$F$1112),"")</f>
        <v/>
      </c>
      <c r="G1112" t="str">
        <f ca="1">IFERROR(IF(0=LEN(ReferenceData!$G$1112),"",ReferenceData!$G$1112),"")</f>
        <v/>
      </c>
      <c r="H1112" t="str">
        <f ca="1">IFERROR(IF(0=LEN(ReferenceData!$H$1112),"",ReferenceData!$H$1112),"")</f>
        <v/>
      </c>
      <c r="I1112" t="str">
        <f ca="1">IFERROR(IF(0=LEN(ReferenceData!$I$1112),"",ReferenceData!$I$1112),"")</f>
        <v/>
      </c>
      <c r="J1112" t="str">
        <f ca="1">IFERROR(IF(0=LEN(ReferenceData!$J$1112),"",ReferenceData!$J$1112),"")</f>
        <v/>
      </c>
    </row>
    <row r="1113" spans="1:10" x14ac:dyDescent="0.25">
      <c r="A1113" t="str">
        <f>IFERROR(IF(0=LEN(ReferenceData!$A$1113),"",ReferenceData!$A$1113),"")</f>
        <v xml:space="preserve">                PPL Corp</v>
      </c>
      <c r="B1113" t="str">
        <f>IFERROR(IF(0=LEN(ReferenceData!$B$1113),"",ReferenceData!$B$1113),"")</f>
        <v>PPL US Equity</v>
      </c>
      <c r="C1113" t="str">
        <f>IFERROR(IF(0=LEN(ReferenceData!$C$1113),"",ReferenceData!$C$1113),"")</f>
        <v>F0946</v>
      </c>
      <c r="D1113" t="str">
        <f>IFERROR(IF(0=LEN(ReferenceData!$D$1113),"",ReferenceData!$D$1113),"")</f>
        <v>TOTAL_GHG_CO2_EMISSIONS</v>
      </c>
      <c r="E1113" t="str">
        <f>IFERROR(IF(0=LEN(ReferenceData!$E$1113),"",ReferenceData!$E$1113),"")</f>
        <v>Dynamic</v>
      </c>
      <c r="F1113">
        <f ca="1">IFERROR(IF(0=LEN(ReferenceData!$F$1113),"",ReferenceData!$F$1113),"")</f>
        <v>26.9085</v>
      </c>
      <c r="G1113">
        <f ca="1">IFERROR(IF(0=LEN(ReferenceData!$G$1113),"",ReferenceData!$G$1113),"")</f>
        <v>26.46919922</v>
      </c>
      <c r="H1113">
        <f ca="1">IFERROR(IF(0=LEN(ReferenceData!$H$1113),"",ReferenceData!$H$1113),"")</f>
        <v>25.673400390000001</v>
      </c>
      <c r="I1113">
        <f ca="1">IFERROR(IF(0=LEN(ReferenceData!$I$1113),"",ReferenceData!$I$1113),"")</f>
        <v>27.433199219999999</v>
      </c>
      <c r="J1113">
        <f ca="1">IFERROR(IF(0=LEN(ReferenceData!$J$1113),"",ReferenceData!$J$1113),"")</f>
        <v>29.946999999999999</v>
      </c>
    </row>
    <row r="1114" spans="1:10" x14ac:dyDescent="0.25">
      <c r="A1114" t="str">
        <f>IFERROR(IF(0=LEN(ReferenceData!$A$1114),"",ReferenceData!$A$1114),"")</f>
        <v xml:space="preserve">                Sempra Energy</v>
      </c>
      <c r="B1114" t="str">
        <f>IFERROR(IF(0=LEN(ReferenceData!$B$1114),"",ReferenceData!$B$1114),"")</f>
        <v>SRE US Equity</v>
      </c>
      <c r="C1114" t="str">
        <f>IFERROR(IF(0=LEN(ReferenceData!$C$1114),"",ReferenceData!$C$1114),"")</f>
        <v>F0946</v>
      </c>
      <c r="D1114" t="str">
        <f>IFERROR(IF(0=LEN(ReferenceData!$D$1114),"",ReferenceData!$D$1114),"")</f>
        <v>TOTAL_GHG_CO2_EMISSIONS</v>
      </c>
      <c r="E1114" t="str">
        <f>IFERROR(IF(0=LEN(ReferenceData!$E$1114),"",ReferenceData!$E$1114),"")</f>
        <v>Dynamic</v>
      </c>
      <c r="F1114">
        <f ca="1">IFERROR(IF(0=LEN(ReferenceData!$F$1114),"",ReferenceData!$F$1114),"")</f>
        <v>7.5590000000000002</v>
      </c>
      <c r="G1114">
        <f ca="1">IFERROR(IF(0=LEN(ReferenceData!$G$1114),"",ReferenceData!$G$1114),"")</f>
        <v>7.0774599609999997</v>
      </c>
      <c r="H1114">
        <f ca="1">IFERROR(IF(0=LEN(ReferenceData!$H$1114),"",ReferenceData!$H$1114),"")</f>
        <v>6.8832900390000002</v>
      </c>
      <c r="I1114">
        <f ca="1">IFERROR(IF(0=LEN(ReferenceData!$I$1114),"",ReferenceData!$I$1114),"")</f>
        <v>5.43825</v>
      </c>
      <c r="J1114">
        <f ca="1">IFERROR(IF(0=LEN(ReferenceData!$J$1114),"",ReferenceData!$J$1114),"")</f>
        <v>6.4820000000000002</v>
      </c>
    </row>
    <row r="1115" spans="1:10" x14ac:dyDescent="0.25">
      <c r="A1115" t="str">
        <f>IFERROR(IF(0=LEN(ReferenceData!$A$1115),"",ReferenceData!$A$1115),"")</f>
        <v xml:space="preserve">                Spire Inc</v>
      </c>
      <c r="B1115" t="str">
        <f>IFERROR(IF(0=LEN(ReferenceData!$B$1115),"",ReferenceData!$B$1115),"")</f>
        <v>SR US Equity</v>
      </c>
      <c r="C1115" t="str">
        <f>IFERROR(IF(0=LEN(ReferenceData!$C$1115),"",ReferenceData!$C$1115),"")</f>
        <v>F0946</v>
      </c>
      <c r="D1115" t="str">
        <f>IFERROR(IF(0=LEN(ReferenceData!$D$1115),"",ReferenceData!$D$1115),"")</f>
        <v>TOTAL_GHG_CO2_EMISSIONS</v>
      </c>
      <c r="E1115" t="str">
        <f>IFERROR(IF(0=LEN(ReferenceData!$E$1115),"",ReferenceData!$E$1115),"")</f>
        <v>Dynamic</v>
      </c>
      <c r="F1115">
        <f ca="1">IFERROR(IF(0=LEN(ReferenceData!$F$1115),"",ReferenceData!$F$1115),"")</f>
        <v>0.37070001200000002</v>
      </c>
      <c r="G1115">
        <f ca="1">IFERROR(IF(0=LEN(ReferenceData!$G$1115),"",ReferenceData!$G$1115),"")</f>
        <v>0.38900000000000001</v>
      </c>
      <c r="H1115">
        <f ca="1">IFERROR(IF(0=LEN(ReferenceData!$H$1115),"",ReferenceData!$H$1115),"")</f>
        <v>0.31985000600000002</v>
      </c>
      <c r="I1115">
        <f ca="1">IFERROR(IF(0=LEN(ReferenceData!$I$1115),"",ReferenceData!$I$1115),"")</f>
        <v>0.33917498800000001</v>
      </c>
      <c r="J1115">
        <f ca="1">IFERROR(IF(0=LEN(ReferenceData!$J$1115),"",ReferenceData!$J$1115),"")</f>
        <v>0.36055300899999998</v>
      </c>
    </row>
    <row r="1116" spans="1:10" x14ac:dyDescent="0.25">
      <c r="A1116" t="str">
        <f>IFERROR(IF(0=LEN(ReferenceData!$A$1116),"",ReferenceData!$A$1116),"")</f>
        <v xml:space="preserve">                UGI Corp</v>
      </c>
      <c r="B1116" t="str">
        <f>IFERROR(IF(0=LEN(ReferenceData!$B$1116),"",ReferenceData!$B$1116),"")</f>
        <v>UGI US Equity</v>
      </c>
      <c r="C1116" t="str">
        <f>IFERROR(IF(0=LEN(ReferenceData!$C$1116),"",ReferenceData!$C$1116),"")</f>
        <v>F0946</v>
      </c>
      <c r="D1116" t="str">
        <f>IFERROR(IF(0=LEN(ReferenceData!$D$1116),"",ReferenceData!$D$1116),"")</f>
        <v>TOTAL_GHG_CO2_EMISSIONS</v>
      </c>
      <c r="E1116" t="str">
        <f>IFERROR(IF(0=LEN(ReferenceData!$E$1116),"",ReferenceData!$E$1116),"")</f>
        <v>Dynamic</v>
      </c>
      <c r="F1116" t="str">
        <f ca="1">IFERROR(IF(0=LEN(ReferenceData!$F$1116),"",ReferenceData!$F$1116),"")</f>
        <v/>
      </c>
      <c r="G1116">
        <f ca="1">IFERROR(IF(0=LEN(ReferenceData!$G$1116),"",ReferenceData!$G$1116),"")</f>
        <v>0.85158801299999998</v>
      </c>
      <c r="H1116">
        <f ca="1">IFERROR(IF(0=LEN(ReferenceData!$H$1116),"",ReferenceData!$H$1116),"")</f>
        <v>1.270290039</v>
      </c>
      <c r="I1116">
        <f ca="1">IFERROR(IF(0=LEN(ReferenceData!$I$1116),"",ReferenceData!$I$1116),"")</f>
        <v>2.0729099120000001</v>
      </c>
      <c r="J1116">
        <f ca="1">IFERROR(IF(0=LEN(ReferenceData!$J$1116),"",ReferenceData!$J$1116),"")</f>
        <v>0.59548699999999999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2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5" width="9.14062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ReferenceData!$C$2203</f>
        <v>2022</v>
      </c>
      <c r="G2" s="1" t="str">
        <f>ReferenceData!$D$2203</f>
        <v>2021</v>
      </c>
      <c r="H2" s="1" t="str">
        <f>ReferenceData!$E$2203</f>
        <v>2020</v>
      </c>
      <c r="I2" s="1" t="str">
        <f>ReferenceData!$F$2203</f>
        <v>2019</v>
      </c>
      <c r="J2" s="1" t="str">
        <f>ReferenceData!$G$2203</f>
        <v>2018</v>
      </c>
      <c r="K2" t="str">
        <f>$C$2203</f>
        <v>2022</v>
      </c>
      <c r="L2" t="str">
        <f>$D$2203</f>
        <v>2021</v>
      </c>
      <c r="M2" t="str">
        <f>$E$2203</f>
        <v>2020</v>
      </c>
      <c r="N2" t="str">
        <f>$F$2203</f>
        <v>2019</v>
      </c>
      <c r="O2" t="str">
        <f>$G$2203</f>
        <v>2018</v>
      </c>
    </row>
    <row r="3" spans="1:15" x14ac:dyDescent="0.25">
      <c r="A3" t="str">
        <f>"Historical Data - Total GHG Emissions (Million metric tonnes)"</f>
        <v>Historical Data - Total GHG Emissions (Million metric tonnes)</v>
      </c>
      <c r="B3" t="str">
        <f>""</f>
        <v/>
      </c>
      <c r="E3" t="str">
        <f>"Sum"</f>
        <v>Sum</v>
      </c>
      <c r="F3">
        <f ca="1">IF(ISERROR(IF(SUM($F$4,$F$21,$F$162,$F$454,$F$456,$F$479,$F$505,$F$689,$F$943,$F$993) = 0, "", SUM($F$4,$F$21,$F$162,$F$454,$F$456,$F$479,$F$505,$F$689,$F$943,$F$993))), "", (IF(SUM($F$4,$F$21,$F$162,$F$454,$F$456,$F$479,$F$505,$F$689,$F$943,$F$993) = 0, "", SUM($F$4,$F$21,$F$162,$F$454,$F$456,$F$479,$F$505,$F$689,$F$943,$F$993))))</f>
        <v>2735.6402693750001</v>
      </c>
      <c r="G3">
        <f ca="1">IF(ISERROR(IF(SUM($G$4,$G$21,$G$162,$G$454,$G$456,$G$479,$G$505,$G$689,$G$943,$G$993) = 0, "", SUM($G$4,$G$21,$G$162,$G$454,$G$456,$G$479,$G$505,$G$689,$G$943,$G$993))), "", (IF(SUM($G$4,$G$21,$G$162,$G$454,$G$456,$G$479,$G$505,$G$689,$G$943,$G$993) = 0, "", SUM($G$4,$G$21,$G$162,$G$454,$G$456,$G$479,$G$505,$G$689,$G$943,$G$993))))</f>
        <v>4938.2402390009993</v>
      </c>
      <c r="H3">
        <f ca="1">IF(ISERROR(IF(SUM($H$4,$H$21,$H$162,$H$454,$H$456,$H$479,$H$505,$H$689,$H$943,$H$993) = 0, "", SUM($H$4,$H$21,$H$162,$H$454,$H$456,$H$479,$H$505,$H$689,$H$943,$H$993))), "", (IF(SUM($H$4,$H$21,$H$162,$H$454,$H$456,$H$479,$H$505,$H$689,$H$943,$H$993) = 0, "", SUM($H$4,$H$21,$H$162,$H$454,$H$456,$H$479,$H$505,$H$689,$H$943,$H$993))))</f>
        <v>5151.1113074719997</v>
      </c>
      <c r="I3">
        <f ca="1">IF(ISERROR(IF(SUM($I$4,$I$21,$I$162,$I$454,$I$456,$I$479,$I$505,$I$689,$I$943,$I$993) = 0, "", SUM($I$4,$I$21,$I$162,$I$454,$I$456,$I$479,$I$505,$I$689,$I$943,$I$993))), "", (IF(SUM($I$4,$I$21,$I$162,$I$454,$I$456,$I$479,$I$505,$I$689,$I$943,$I$993) = 0, "", SUM($I$4,$I$21,$I$162,$I$454,$I$456,$I$479,$I$505,$I$689,$I$943,$I$993))))</f>
        <v>5440.527296491</v>
      </c>
      <c r="J3">
        <f ca="1">IF(ISERROR(IF(SUM($J$4,$J$21,$J$162,$J$454,$J$456,$J$479,$J$505,$J$689,$J$943,$J$993) = 0, "", SUM($J$4,$J$21,$J$162,$J$454,$J$456,$J$479,$J$505,$J$689,$J$943,$J$993))), "", (IF(SUM($J$4,$J$21,$J$162,$J$454,$J$456,$J$479,$J$505,$J$689,$J$943,$J$993) = 0, "", SUM($J$4,$J$21,$J$162,$J$454,$J$456,$J$479,$J$505,$J$689,$J$943,$J$993))))</f>
        <v>5818.2697889009996</v>
      </c>
      <c r="K3" t="str">
        <f>""</f>
        <v/>
      </c>
      <c r="L3">
        <f>4938.240239</f>
        <v>4938.2402389999997</v>
      </c>
      <c r="M3">
        <f>5151.111307</f>
        <v>5151.1113070000001</v>
      </c>
      <c r="N3">
        <f>5440.527296</f>
        <v>5440.5272960000002</v>
      </c>
      <c r="O3">
        <f>5818.269789</f>
        <v>5818.2697889999999</v>
      </c>
    </row>
    <row r="4" spans="1:15" x14ac:dyDescent="0.25">
      <c r="A4" t="str">
        <f>"        Communications"</f>
        <v xml:space="preserve">        Communications</v>
      </c>
      <c r="B4" t="str">
        <f>""</f>
        <v/>
      </c>
      <c r="E4" t="str">
        <f>"Sum"</f>
        <v>Sum</v>
      </c>
      <c r="F4">
        <f ca="1">IF(ISERROR(IF(SUM($F$5:$F$6) = 0, "", SUM($F$5:$F$6))), "", (IF(SUM($F$5:$F$6) = 0, "", SUM($F$5:$F$6))))</f>
        <v>0.71075502000000002</v>
      </c>
      <c r="G4">
        <f ca="1">IF(ISERROR(IF(SUM($G$5:$G$6) = 0, "", SUM($G$5:$G$6))), "", (IF(SUM($G$5:$G$6) = 0, "", SUM($G$5:$G$6))))</f>
        <v>15.535271210000001</v>
      </c>
      <c r="H4">
        <f ca="1">IF(ISERROR(IF(SUM($H$5:$H$6) = 0, "", SUM($H$5:$H$6))), "", (IF(SUM($H$5:$H$6) = 0, "", SUM($H$5:$H$6))))</f>
        <v>16.389887772000002</v>
      </c>
      <c r="I4">
        <f ca="1">IF(ISERROR(IF(SUM($I$5:$I$6) = 0, "", SUM($I$5:$I$6))), "", (IF(SUM($I$5:$I$6) = 0, "", SUM($I$5:$I$6))))</f>
        <v>15.837127030000001</v>
      </c>
      <c r="J4">
        <f ca="1">IF(ISERROR(IF(SUM($J$5:$J$6) = 0, "", SUM($J$5:$J$6))), "", (IF(SUM($J$5:$J$6) = 0, "", SUM($J$5:$J$6))))</f>
        <v>16.408789687999999</v>
      </c>
      <c r="K4">
        <f>0.71075502</f>
        <v>0.71075502000000002</v>
      </c>
      <c r="L4">
        <f>15.53527121</f>
        <v>15.535271209999999</v>
      </c>
      <c r="M4">
        <f>16.38988777</f>
        <v>16.389887770000001</v>
      </c>
      <c r="N4">
        <f>15.83712703</f>
        <v>15.83712703</v>
      </c>
      <c r="O4">
        <f>16.40878969</f>
        <v>16.408789689999999</v>
      </c>
    </row>
    <row r="5" spans="1:15" x14ac:dyDescent="0.25">
      <c r="A5" t="str">
        <f>"            Media"</f>
        <v xml:space="preserve">            Media</v>
      </c>
      <c r="B5" t="str">
        <f>""</f>
        <v/>
      </c>
      <c r="E5" t="str">
        <f>"Sum"</f>
        <v>Sum</v>
      </c>
      <c r="F5" t="str">
        <f>"(BI export error occurred)"</f>
        <v>(BI export error occurred)</v>
      </c>
      <c r="G5" t="str">
        <f>"(BI export error occurred)"</f>
        <v>(BI export error occurred)</v>
      </c>
      <c r="H5" t="str">
        <f>"(BI export error occurred)"</f>
        <v>(BI export error occurred)</v>
      </c>
      <c r="I5" t="str">
        <f>"(BI export error occurred)"</f>
        <v>(BI export error occurred)</v>
      </c>
      <c r="J5" t="str">
        <f>"(BI export error occurred)"</f>
        <v>(BI export error occurred)</v>
      </c>
      <c r="K5" t="str">
        <f>""</f>
        <v/>
      </c>
      <c r="L5" t="str">
        <f>""</f>
        <v/>
      </c>
      <c r="M5" t="str">
        <f>""</f>
        <v/>
      </c>
      <c r="N5" t="str">
        <f>""</f>
        <v/>
      </c>
      <c r="O5" t="str">
        <f>""</f>
        <v/>
      </c>
    </row>
    <row r="6" spans="1:15" x14ac:dyDescent="0.25">
      <c r="A6" t="str">
        <f>"            Telecom Carriers"</f>
        <v xml:space="preserve">            Telecom Carriers</v>
      </c>
      <c r="B6" t="str">
        <f>""</f>
        <v/>
      </c>
      <c r="E6" t="str">
        <f>"Sum"</f>
        <v>Sum</v>
      </c>
      <c r="F6">
        <f ca="1">IF(ISERROR(IF(SUM($F$7:$F$20) = 0, "", SUM($F$7:$F$20))), "", (IF(SUM($F$7:$F$20) = 0, "", SUM($F$7:$F$20))))</f>
        <v>0.71075502000000002</v>
      </c>
      <c r="G6">
        <f ca="1">IF(ISERROR(IF(SUM($G$7:$G$20) = 0, "", SUM($G$7:$G$20))), "", (IF(SUM($G$7:$G$20) = 0, "", SUM($G$7:$G$20))))</f>
        <v>15.535271210000001</v>
      </c>
      <c r="H6">
        <f ca="1">IF(ISERROR(IF(SUM($H$7:$H$20) = 0, "", SUM($H$7:$H$20))), "", (IF(SUM($H$7:$H$20) = 0, "", SUM($H$7:$H$20))))</f>
        <v>16.389887772000002</v>
      </c>
      <c r="I6">
        <f ca="1">IF(ISERROR(IF(SUM($I$7:$I$20) = 0, "", SUM($I$7:$I$20))), "", (IF(SUM($I$7:$I$20) = 0, "", SUM($I$7:$I$20))))</f>
        <v>15.837127030000001</v>
      </c>
      <c r="J6">
        <f ca="1">IF(ISERROR(IF(SUM($J$7:$J$20) = 0, "", SUM($J$7:$J$20))), "", (IF(SUM($J$7:$J$20) = 0, "", SUM($J$7:$J$20))))</f>
        <v>16.408789687999999</v>
      </c>
      <c r="K6">
        <f>0.71075502</f>
        <v>0.71075502000000002</v>
      </c>
      <c r="L6">
        <f>15.53527121</f>
        <v>15.535271209999999</v>
      </c>
      <c r="M6">
        <f>16.38988777</f>
        <v>16.389887770000001</v>
      </c>
      <c r="N6">
        <f>15.83712703</f>
        <v>15.83712703</v>
      </c>
      <c r="O6">
        <f>16.40878969</f>
        <v>16.408789689999999</v>
      </c>
    </row>
    <row r="7" spans="1:15" x14ac:dyDescent="0.25">
      <c r="A7" t="str">
        <f>"                AT&amp;T Inc"</f>
        <v xml:space="preserve">                AT&amp;T Inc</v>
      </c>
      <c r="B7" t="str">
        <f>"T US Equity"</f>
        <v>T US Equity</v>
      </c>
      <c r="C7" t="str">
        <f t="shared" ref="C7:C20" si="0">"F0946"</f>
        <v>F0946</v>
      </c>
      <c r="D7" t="str">
        <f t="shared" ref="D7:D20" si="1">"TOTAL_GHG_CO2_EMISSIONS"</f>
        <v>TOTAL_GHG_CO2_EMISSIONS</v>
      </c>
      <c r="E7" t="str">
        <f t="shared" ref="E7:E20" si="2">"Dynamic"</f>
        <v>Dynamic</v>
      </c>
      <c r="F7" t="str">
        <f ca="1">IF(AND(ISNUMBER($F$1134),$B$1132=1),$F$1134,HLOOKUP(INDIRECT(ADDRESS(2,COLUMN())),OFFSET($K$2,0,0,ROW()-1,5),ROW()-1,FALSE))</f>
        <v/>
      </c>
      <c r="G7">
        <f ca="1">IF(AND(ISNUMBER($G$1134),$B$1132=1),$G$1134,HLOOKUP(INDIRECT(ADDRESS(2,COLUMN())),OFFSET($K$2,0,0,ROW()-1,5),ROW()-1,FALSE))</f>
        <v>6.2098300780000004</v>
      </c>
      <c r="H7">
        <f ca="1">IF(AND(ISNUMBER($H$1134),$B$1132=1),$H$1134,HLOOKUP(INDIRECT(ADDRESS(2,COLUMN())),OFFSET($K$2,0,0,ROW()-1,5),ROW()-1,FALSE))</f>
        <v>6.6800097660000004</v>
      </c>
      <c r="I7">
        <f ca="1">IF(AND(ISNUMBER($I$1134),$B$1132=1),$I$1134,HLOOKUP(INDIRECT(ADDRESS(2,COLUMN())),OFFSET($K$2,0,0,ROW()-1,5),ROW()-1,FALSE))</f>
        <v>7.0060800780000001</v>
      </c>
      <c r="J7">
        <f ca="1">IF(AND(ISNUMBER($J$1134),$B$1132=1),$J$1134,HLOOKUP(INDIRECT(ADDRESS(2,COLUMN())),OFFSET($K$2,0,0,ROW()-1,5),ROW()-1,FALSE))</f>
        <v>7.6818598629999997</v>
      </c>
      <c r="K7" t="str">
        <f>""</f>
        <v/>
      </c>
      <c r="L7">
        <f>6.209830078</f>
        <v>6.2098300780000004</v>
      </c>
      <c r="M7">
        <f>6.680009766</f>
        <v>6.6800097660000004</v>
      </c>
      <c r="N7">
        <f>7.006080078</f>
        <v>7.0060800780000001</v>
      </c>
      <c r="O7">
        <f>7.681859863</f>
        <v>7.6818598629999997</v>
      </c>
    </row>
    <row r="8" spans="1:15" x14ac:dyDescent="0.25">
      <c r="A8" t="str">
        <f>"                BCE Inc"</f>
        <v xml:space="preserve">                BCE Inc</v>
      </c>
      <c r="B8" t="str">
        <f>"BCE CN Equity"</f>
        <v>BCE CN Equity</v>
      </c>
      <c r="C8" t="str">
        <f t="shared" si="0"/>
        <v>F0946</v>
      </c>
      <c r="D8" t="str">
        <f t="shared" si="1"/>
        <v>TOTAL_GHG_CO2_EMISSIONS</v>
      </c>
      <c r="E8" t="str">
        <f t="shared" si="2"/>
        <v>Dynamic</v>
      </c>
      <c r="F8">
        <f ca="1">IF(AND(ISNUMBER($F$1135),$B$1132=1),$F$1135,HLOOKUP(INDIRECT(ADDRESS(2,COLUMN())),OFFSET($K$2,0,0,ROW()-1,5),ROW()-1,FALSE))</f>
        <v>0.25632501200000002</v>
      </c>
      <c r="G8">
        <f ca="1">IF(AND(ISNUMBER($G$1135),$B$1132=1),$G$1135,HLOOKUP(INDIRECT(ADDRESS(2,COLUMN())),OFFSET($K$2,0,0,ROW()-1,5),ROW()-1,FALSE))</f>
        <v>0.275721985</v>
      </c>
      <c r="H8">
        <f ca="1">IF(AND(ISNUMBER($H$1135),$B$1132=1),$H$1135,HLOOKUP(INDIRECT(ADDRESS(2,COLUMN())),OFFSET($K$2,0,0,ROW()-1,5),ROW()-1,FALSE))</f>
        <v>0.31040799000000002</v>
      </c>
      <c r="I8">
        <f ca="1">IF(AND(ISNUMBER($I$1135),$B$1132=1),$I$1135,HLOOKUP(INDIRECT(ADDRESS(2,COLUMN())),OFFSET($K$2,0,0,ROW()-1,5),ROW()-1,FALSE))</f>
        <v>0.34529000900000001</v>
      </c>
      <c r="J8">
        <f ca="1">IF(AND(ISNUMBER($J$1135),$B$1132=1),$J$1135,HLOOKUP(INDIRECT(ADDRESS(2,COLUMN())),OFFSET($K$2,0,0,ROW()-1,5),ROW()-1,FALSE))</f>
        <v>0.33642098999999998</v>
      </c>
      <c r="K8">
        <f>0.256325012</f>
        <v>0.25632501200000002</v>
      </c>
      <c r="L8">
        <f>0.275721985</f>
        <v>0.275721985</v>
      </c>
      <c r="M8">
        <f>0.31040799</f>
        <v>0.31040799000000002</v>
      </c>
      <c r="N8">
        <f>0.345290009</f>
        <v>0.34529000900000001</v>
      </c>
      <c r="O8">
        <f>0.33642099</f>
        <v>0.33642098999999998</v>
      </c>
    </row>
    <row r="9" spans="1:15" x14ac:dyDescent="0.25">
      <c r="A9" t="str">
        <f>"                Cogent Communications Holdings"</f>
        <v xml:space="preserve">                Cogent Communications Holdings</v>
      </c>
      <c r="B9" t="str">
        <f>"CCOI US Equity"</f>
        <v>CCOI US Equity</v>
      </c>
      <c r="C9" t="str">
        <f t="shared" si="0"/>
        <v>F0946</v>
      </c>
      <c r="D9" t="str">
        <f t="shared" si="1"/>
        <v>TOTAL_GHG_CO2_EMISSIONS</v>
      </c>
      <c r="E9" t="str">
        <f t="shared" si="2"/>
        <v>Dynamic</v>
      </c>
      <c r="F9" t="str">
        <f ca="1">IF(AND(ISNUMBER($F$1136),$B$1132=1),$F$1136,HLOOKUP(INDIRECT(ADDRESS(2,COLUMN())),OFFSET($K$2,0,0,ROW()-1,5),ROW()-1,FALSE))</f>
        <v/>
      </c>
      <c r="G9" t="str">
        <f ca="1">IF(AND(ISNUMBER($G$1136),$B$1132=1),$G$1136,HLOOKUP(INDIRECT(ADDRESS(2,COLUMN())),OFFSET($K$2,0,0,ROW()-1,5),ROW()-1,FALSE))</f>
        <v/>
      </c>
      <c r="H9" t="str">
        <f ca="1">IF(AND(ISNUMBER($H$1136),$B$1132=1),$H$1136,HLOOKUP(INDIRECT(ADDRESS(2,COLUMN())),OFFSET($K$2,0,0,ROW()-1,5),ROW()-1,FALSE))</f>
        <v/>
      </c>
      <c r="I9" t="str">
        <f ca="1">IF(AND(ISNUMBER($I$1136),$B$1132=1),$I$1136,HLOOKUP(INDIRECT(ADDRESS(2,COLUMN())),OFFSET($K$2,0,0,ROW()-1,5),ROW()-1,FALSE))</f>
        <v/>
      </c>
      <c r="J9" t="str">
        <f ca="1">IF(AND(ISNUMBER($J$1136),$B$1132=1),$J$1136,HLOOKUP(INDIRECT(ADDRESS(2,COLUMN())),OFFSET($K$2,0,0,ROW()-1,5),ROW()-1,FALSE))</f>
        <v/>
      </c>
      <c r="K9" t="str">
        <f>""</f>
        <v/>
      </c>
      <c r="L9" t="str">
        <f>""</f>
        <v/>
      </c>
      <c r="M9" t="str">
        <f>""</f>
        <v/>
      </c>
      <c r="N9" t="str">
        <f>""</f>
        <v/>
      </c>
      <c r="O9" t="str">
        <f>""</f>
        <v/>
      </c>
    </row>
    <row r="10" spans="1:15" x14ac:dyDescent="0.25">
      <c r="A10" t="str">
        <f>"                Consolidated Communications Ho"</f>
        <v xml:space="preserve">                Consolidated Communications Ho</v>
      </c>
      <c r="B10" t="str">
        <f>"CNSL US Equity"</f>
        <v>CNSL US Equity</v>
      </c>
      <c r="C10" t="str">
        <f t="shared" si="0"/>
        <v>F0946</v>
      </c>
      <c r="D10" t="str">
        <f t="shared" si="1"/>
        <v>TOTAL_GHG_CO2_EMISSIONS</v>
      </c>
      <c r="E10" t="str">
        <f t="shared" si="2"/>
        <v>Dynamic</v>
      </c>
      <c r="F10">
        <f ca="1">IF(AND(ISNUMBER($F$1137),$B$1132=1),$F$1137,HLOOKUP(INDIRECT(ADDRESS(2,COLUMN())),OFFSET($K$2,0,0,ROW()-1,5),ROW()-1,FALSE))</f>
        <v>9.7151001000000001E-2</v>
      </c>
      <c r="G10" t="str">
        <f ca="1">IF(AND(ISNUMBER($G$1137),$B$1132=1),$G$1137,HLOOKUP(INDIRECT(ADDRESS(2,COLUMN())),OFFSET($K$2,0,0,ROW()-1,5),ROW()-1,FALSE))</f>
        <v/>
      </c>
      <c r="H10" t="str">
        <f ca="1">IF(AND(ISNUMBER($H$1137),$B$1132=1),$H$1137,HLOOKUP(INDIRECT(ADDRESS(2,COLUMN())),OFFSET($K$2,0,0,ROW()-1,5),ROW()-1,FALSE))</f>
        <v/>
      </c>
      <c r="I10" t="str">
        <f ca="1">IF(AND(ISNUMBER($I$1137),$B$1132=1),$I$1137,HLOOKUP(INDIRECT(ADDRESS(2,COLUMN())),OFFSET($K$2,0,0,ROW()-1,5),ROW()-1,FALSE))</f>
        <v/>
      </c>
      <c r="J10" t="str">
        <f ca="1">IF(AND(ISNUMBER($J$1137),$B$1132=1),$J$1137,HLOOKUP(INDIRECT(ADDRESS(2,COLUMN())),OFFSET($K$2,0,0,ROW()-1,5),ROW()-1,FALSE))</f>
        <v/>
      </c>
      <c r="K10">
        <f>0.097151001</f>
        <v>9.7151001000000001E-2</v>
      </c>
      <c r="L10" t="str">
        <f>""</f>
        <v/>
      </c>
      <c r="M10" t="str">
        <f>""</f>
        <v/>
      </c>
      <c r="N10" t="str">
        <f>""</f>
        <v/>
      </c>
      <c r="O10" t="str">
        <f>""</f>
        <v/>
      </c>
    </row>
    <row r="11" spans="1:15" x14ac:dyDescent="0.25">
      <c r="A11" t="str">
        <f>"                Frontier Communications Corp"</f>
        <v xml:space="preserve">                Frontier Communications Corp</v>
      </c>
      <c r="B11" t="str">
        <f>"FTRCQ US Equity"</f>
        <v>FTRCQ US Equity</v>
      </c>
      <c r="C11" t="str">
        <f t="shared" si="0"/>
        <v>F0946</v>
      </c>
      <c r="D11" t="str">
        <f t="shared" si="1"/>
        <v>TOTAL_GHG_CO2_EMISSIONS</v>
      </c>
      <c r="E11" t="str">
        <f t="shared" si="2"/>
        <v>Dynamic</v>
      </c>
      <c r="F11" t="str">
        <f ca="1">IF(AND(ISNUMBER($F$1138),$B$1132=1),$F$1138,HLOOKUP(INDIRECT(ADDRESS(2,COLUMN())),OFFSET($K$2,0,0,ROW()-1,5),ROW()-1,FALSE))</f>
        <v/>
      </c>
      <c r="G11" t="str">
        <f ca="1">IF(AND(ISNUMBER($G$1138),$B$1132=1),$G$1138,HLOOKUP(INDIRECT(ADDRESS(2,COLUMN())),OFFSET($K$2,0,0,ROW()-1,5),ROW()-1,FALSE))</f>
        <v/>
      </c>
      <c r="H11" t="str">
        <f ca="1">IF(AND(ISNUMBER($H$1138),$B$1132=1),$H$1138,HLOOKUP(INDIRECT(ADDRESS(2,COLUMN())),OFFSET($K$2,0,0,ROW()-1,5),ROW()-1,FALSE))</f>
        <v/>
      </c>
      <c r="I11" t="str">
        <f ca="1">IF(AND(ISNUMBER($I$1138),$B$1132=1),$I$1138,HLOOKUP(INDIRECT(ADDRESS(2,COLUMN())),OFFSET($K$2,0,0,ROW()-1,5),ROW()-1,FALSE))</f>
        <v/>
      </c>
      <c r="J11" t="str">
        <f ca="1">IF(AND(ISNUMBER($J$1138),$B$1132=1),$J$1138,HLOOKUP(INDIRECT(ADDRESS(2,COLUMN())),OFFSET($K$2,0,0,ROW()-1,5),ROW()-1,FALSE))</f>
        <v/>
      </c>
      <c r="K11" t="str">
        <f>""</f>
        <v/>
      </c>
      <c r="L11" t="str">
        <f>""</f>
        <v/>
      </c>
      <c r="M11" t="str">
        <f>""</f>
        <v/>
      </c>
      <c r="N11" t="str">
        <f>""</f>
        <v/>
      </c>
      <c r="O11" t="str">
        <f>""</f>
        <v/>
      </c>
    </row>
    <row r="12" spans="1:15" x14ac:dyDescent="0.25">
      <c r="A12" t="str">
        <f>"                Lumen Technologies Inc"</f>
        <v xml:space="preserve">                Lumen Technologies Inc</v>
      </c>
      <c r="B12" t="str">
        <f>"LUMN US Equity"</f>
        <v>LUMN US Equity</v>
      </c>
      <c r="C12" t="str">
        <f t="shared" si="0"/>
        <v>F0946</v>
      </c>
      <c r="D12" t="str">
        <f t="shared" si="1"/>
        <v>TOTAL_GHG_CO2_EMISSIONS</v>
      </c>
      <c r="E12" t="str">
        <f t="shared" si="2"/>
        <v>Dynamic</v>
      </c>
      <c r="F12" t="str">
        <f ca="1">IF(AND(ISNUMBER($F$1139),$B$1132=1),$F$1139,HLOOKUP(INDIRECT(ADDRESS(2,COLUMN())),OFFSET($K$2,0,0,ROW()-1,5),ROW()-1,FALSE))</f>
        <v/>
      </c>
      <c r="G12">
        <f ca="1">IF(AND(ISNUMBER($G$1139),$B$1132=1),$G$1139,HLOOKUP(INDIRECT(ADDRESS(2,COLUMN())),OFFSET($K$2,0,0,ROW()-1,5),ROW()-1,FALSE))</f>
        <v>1.8187600100000001</v>
      </c>
      <c r="H12">
        <f ca="1">IF(AND(ISNUMBER($H$1139),$B$1132=1),$H$1139,HLOOKUP(INDIRECT(ADDRESS(2,COLUMN())),OFFSET($K$2,0,0,ROW()-1,5),ROW()-1,FALSE))</f>
        <v>2.0842900389999999</v>
      </c>
      <c r="I12">
        <f ca="1">IF(AND(ISNUMBER($I$1139),$B$1132=1),$I$1139,HLOOKUP(INDIRECT(ADDRESS(2,COLUMN())),OFFSET($K$2,0,0,ROW()-1,5),ROW()-1,FALSE))</f>
        <v>2.2152600100000002</v>
      </c>
      <c r="J12">
        <f ca="1">IF(AND(ISNUMBER($J$1139),$B$1132=1),$J$1139,HLOOKUP(INDIRECT(ADDRESS(2,COLUMN())),OFFSET($K$2,0,0,ROW()-1,5),ROW()-1,FALSE))</f>
        <v>2.1970000000000001</v>
      </c>
      <c r="K12" t="str">
        <f>""</f>
        <v/>
      </c>
      <c r="L12">
        <f>1.81876001</f>
        <v>1.8187600100000001</v>
      </c>
      <c r="M12">
        <f>2.084290039</f>
        <v>2.0842900389999999</v>
      </c>
      <c r="N12">
        <f>2.21526001</f>
        <v>2.2152600100000002</v>
      </c>
      <c r="O12">
        <f>2.197</f>
        <v>2.1970000000000001</v>
      </c>
    </row>
    <row r="13" spans="1:15" x14ac:dyDescent="0.25">
      <c r="A13" t="str">
        <f>"                Rogers Communications Inc"</f>
        <v xml:space="preserve">                Rogers Communications Inc</v>
      </c>
      <c r="B13" t="str">
        <f>"RCI/B CN Equity"</f>
        <v>RCI/B CN Equity</v>
      </c>
      <c r="C13" t="str">
        <f t="shared" si="0"/>
        <v>F0946</v>
      </c>
      <c r="D13" t="str">
        <f t="shared" si="1"/>
        <v>TOTAL_GHG_CO2_EMISSIONS</v>
      </c>
      <c r="E13" t="str">
        <f t="shared" si="2"/>
        <v>Dynamic</v>
      </c>
      <c r="F13">
        <f ca="1">IF(AND(ISNUMBER($F$1140),$B$1132=1),$F$1140,HLOOKUP(INDIRECT(ADDRESS(2,COLUMN())),OFFSET($K$2,0,0,ROW()-1,5),ROW()-1,FALSE))</f>
        <v>0.13132200599999999</v>
      </c>
      <c r="G13">
        <f ca="1">IF(AND(ISNUMBER($G$1140),$B$1132=1),$G$1140,HLOOKUP(INDIRECT(ADDRESS(2,COLUMN())),OFFSET($K$2,0,0,ROW()-1,5),ROW()-1,FALSE))</f>
        <v>0.13375399800000001</v>
      </c>
      <c r="H13">
        <f ca="1">IF(AND(ISNUMBER($H$1140),$B$1132=1),$H$1140,HLOOKUP(INDIRECT(ADDRESS(2,COLUMN())),OFFSET($K$2,0,0,ROW()-1,5),ROW()-1,FALSE))</f>
        <v>0.148117996</v>
      </c>
      <c r="I13">
        <f ca="1">IF(AND(ISNUMBER($I$1140),$B$1132=1),$I$1140,HLOOKUP(INDIRECT(ADDRESS(2,COLUMN())),OFFSET($K$2,0,0,ROW()-1,5),ROW()-1,FALSE))</f>
        <v>0.15606700100000001</v>
      </c>
      <c r="J13">
        <f ca="1">IF(AND(ISNUMBER($J$1140),$B$1132=1),$J$1140,HLOOKUP(INDIRECT(ADDRESS(2,COLUMN())),OFFSET($K$2,0,0,ROW()-1,5),ROW()-1,FALSE))</f>
        <v>0.16633500700000001</v>
      </c>
      <c r="K13">
        <f>0.131322006</f>
        <v>0.13132200599999999</v>
      </c>
      <c r="L13">
        <f>0.133753998</f>
        <v>0.13375399800000001</v>
      </c>
      <c r="M13">
        <f>0.148117996</f>
        <v>0.148117996</v>
      </c>
      <c r="N13">
        <f>0.156067001</f>
        <v>0.15606700100000001</v>
      </c>
      <c r="O13">
        <f>0.166335007</f>
        <v>0.16633500700000001</v>
      </c>
    </row>
    <row r="14" spans="1:15" x14ac:dyDescent="0.25">
      <c r="A14" t="str">
        <f>"                Spok Holdings Inc"</f>
        <v xml:space="preserve">                Spok Holdings Inc</v>
      </c>
      <c r="B14" t="str">
        <f>"SPOK US Equity"</f>
        <v>SPOK US Equity</v>
      </c>
      <c r="C14" t="str">
        <f t="shared" si="0"/>
        <v>F0946</v>
      </c>
      <c r="D14" t="str">
        <f t="shared" si="1"/>
        <v>TOTAL_GHG_CO2_EMISSIONS</v>
      </c>
      <c r="E14" t="str">
        <f t="shared" si="2"/>
        <v>Dynamic</v>
      </c>
      <c r="F14" t="str">
        <f ca="1">IF(AND(ISNUMBER($F$1141),$B$1132=1),$F$1141,HLOOKUP(INDIRECT(ADDRESS(2,COLUMN())),OFFSET($K$2,0,0,ROW()-1,5),ROW()-1,FALSE))</f>
        <v/>
      </c>
      <c r="G14" t="str">
        <f ca="1">IF(AND(ISNUMBER($G$1141),$B$1132=1),$G$1141,HLOOKUP(INDIRECT(ADDRESS(2,COLUMN())),OFFSET($K$2,0,0,ROW()-1,5),ROW()-1,FALSE))</f>
        <v/>
      </c>
      <c r="H14" t="str">
        <f ca="1">IF(AND(ISNUMBER($H$1141),$B$1132=1),$H$1141,HLOOKUP(INDIRECT(ADDRESS(2,COLUMN())),OFFSET($K$2,0,0,ROW()-1,5),ROW()-1,FALSE))</f>
        <v/>
      </c>
      <c r="I14" t="str">
        <f ca="1">IF(AND(ISNUMBER($I$1141),$B$1132=1),$I$1141,HLOOKUP(INDIRECT(ADDRESS(2,COLUMN())),OFFSET($K$2,0,0,ROW()-1,5),ROW()-1,FALSE))</f>
        <v/>
      </c>
      <c r="J14" t="str">
        <f ca="1">IF(AND(ISNUMBER($J$1141),$B$1132=1),$J$1141,HLOOKUP(INDIRECT(ADDRESS(2,COLUMN())),OFFSET($K$2,0,0,ROW()-1,5),ROW()-1,FALSE))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</row>
    <row r="15" spans="1:15" x14ac:dyDescent="0.25">
      <c r="A15" t="str">
        <f>"                Shenandoah Telecommunications"</f>
        <v xml:space="preserve">                Shenandoah Telecommunications</v>
      </c>
      <c r="B15" t="str">
        <f>"SHEN US Equity"</f>
        <v>SHEN US Equity</v>
      </c>
      <c r="C15" t="str">
        <f t="shared" si="0"/>
        <v>F0946</v>
      </c>
      <c r="D15" t="str">
        <f t="shared" si="1"/>
        <v>TOTAL_GHG_CO2_EMISSIONS</v>
      </c>
      <c r="E15" t="str">
        <f t="shared" si="2"/>
        <v>Dynamic</v>
      </c>
      <c r="F15" t="str">
        <f ca="1">IF(AND(ISNUMBER($F$1142),$B$1132=1),$F$1142,HLOOKUP(INDIRECT(ADDRESS(2,COLUMN())),OFFSET($K$2,0,0,ROW()-1,5),ROW()-1,FALSE))</f>
        <v/>
      </c>
      <c r="G15" t="str">
        <f ca="1">IF(AND(ISNUMBER($G$1142),$B$1132=1),$G$1142,HLOOKUP(INDIRECT(ADDRESS(2,COLUMN())),OFFSET($K$2,0,0,ROW()-1,5),ROW()-1,FALSE))</f>
        <v/>
      </c>
      <c r="H15" t="str">
        <f ca="1">IF(AND(ISNUMBER($H$1142),$B$1132=1),$H$1142,HLOOKUP(INDIRECT(ADDRESS(2,COLUMN())),OFFSET($K$2,0,0,ROW()-1,5),ROW()-1,FALSE))</f>
        <v/>
      </c>
      <c r="I15" t="str">
        <f ca="1">IF(AND(ISNUMBER($I$1142),$B$1132=1),$I$1142,HLOOKUP(INDIRECT(ADDRESS(2,COLUMN())),OFFSET($K$2,0,0,ROW()-1,5),ROW()-1,FALSE))</f>
        <v/>
      </c>
      <c r="J15" t="str">
        <f ca="1">IF(AND(ISNUMBER($J$1142),$B$1132=1),$J$1142,HLOOKUP(INDIRECT(ADDRESS(2,COLUMN())),OFFSET($K$2,0,0,ROW()-1,5),ROW()-1,FALSE))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</row>
    <row r="16" spans="1:15" x14ac:dyDescent="0.25">
      <c r="A16" t="str">
        <f>"                T-Mobile US Inc"</f>
        <v xml:space="preserve">                T-Mobile US Inc</v>
      </c>
      <c r="B16" t="str">
        <f>"TMUS US Equity"</f>
        <v>TMUS US Equity</v>
      </c>
      <c r="C16" t="str">
        <f t="shared" si="0"/>
        <v>F0946</v>
      </c>
      <c r="D16" t="str">
        <f t="shared" si="1"/>
        <v>TOTAL_GHG_CO2_EMISSIONS</v>
      </c>
      <c r="E16" t="str">
        <f t="shared" si="2"/>
        <v>Dynamic</v>
      </c>
      <c r="F16" t="str">
        <f ca="1">IF(AND(ISNUMBER($F$1143),$B$1132=1),$F$1143,HLOOKUP(INDIRECT(ADDRESS(2,COLUMN())),OFFSET($K$2,0,0,ROW()-1,5),ROW()-1,FALSE))</f>
        <v/>
      </c>
      <c r="G16">
        <f ca="1">IF(AND(ISNUMBER($G$1143),$B$1132=1),$G$1143,HLOOKUP(INDIRECT(ADDRESS(2,COLUMN())),OFFSET($K$2,0,0,ROW()-1,5),ROW()-1,FALSE))</f>
        <v>2.9640800779999998</v>
      </c>
      <c r="H16">
        <f ca="1">IF(AND(ISNUMBER($H$1143),$B$1132=1),$H$1143,HLOOKUP(INDIRECT(ADDRESS(2,COLUMN())),OFFSET($K$2,0,0,ROW()-1,5),ROW()-1,FALSE))</f>
        <v>2.8089799800000002</v>
      </c>
      <c r="I16">
        <f ca="1">IF(AND(ISNUMBER($I$1143),$B$1132=1),$I$1143,HLOOKUP(INDIRECT(ADDRESS(2,COLUMN())),OFFSET($K$2,0,0,ROW()-1,5),ROW()-1,FALSE))</f>
        <v>1.4309100340000001</v>
      </c>
      <c r="J16">
        <f ca="1">IF(AND(ISNUMBER($J$1143),$B$1132=1),$J$1143,HLOOKUP(INDIRECT(ADDRESS(2,COLUMN())),OFFSET($K$2,0,0,ROW()-1,5),ROW()-1,FALSE))</f>
        <v>1.2791300050000001</v>
      </c>
      <c r="K16" t="str">
        <f>""</f>
        <v/>
      </c>
      <c r="L16">
        <f>2.964080078</f>
        <v>2.9640800779999998</v>
      </c>
      <c r="M16">
        <f>2.80897998</f>
        <v>2.8089799800000002</v>
      </c>
      <c r="N16">
        <f>1.430910034</f>
        <v>1.4309100340000001</v>
      </c>
      <c r="O16">
        <f>1.279130005</f>
        <v>1.2791300050000001</v>
      </c>
    </row>
    <row r="17" spans="1:15" x14ac:dyDescent="0.25">
      <c r="A17" t="str">
        <f>"                TELUS Corp"</f>
        <v xml:space="preserve">                TELUS Corp</v>
      </c>
      <c r="B17" t="str">
        <f>"T CN Equity"</f>
        <v>T CN Equity</v>
      </c>
      <c r="C17" t="str">
        <f t="shared" si="0"/>
        <v>F0946</v>
      </c>
      <c r="D17" t="str">
        <f t="shared" si="1"/>
        <v>TOTAL_GHG_CO2_EMISSIONS</v>
      </c>
      <c r="E17" t="str">
        <f t="shared" si="2"/>
        <v>Dynamic</v>
      </c>
      <c r="F17">
        <f ca="1">IF(AND(ISNUMBER($F$1144),$B$1132=1),$F$1144,HLOOKUP(INDIRECT(ADDRESS(2,COLUMN())),OFFSET($K$2,0,0,ROW()-1,5),ROW()-1,FALSE))</f>
        <v>0.22595700099999999</v>
      </c>
      <c r="G17">
        <f ca="1">IF(AND(ISNUMBER($G$1144),$B$1132=1),$G$1144,HLOOKUP(INDIRECT(ADDRESS(2,COLUMN())),OFFSET($K$2,0,0,ROW()-1,5),ROW()-1,FALSE))</f>
        <v>0.26882501199999997</v>
      </c>
      <c r="H17">
        <f ca="1">IF(AND(ISNUMBER($H$1144),$B$1132=1),$H$1144,HLOOKUP(INDIRECT(ADDRESS(2,COLUMN())),OFFSET($K$2,0,0,ROW()-1,5),ROW()-1,FALSE))</f>
        <v>0.26759201100000002</v>
      </c>
      <c r="I17">
        <f ca="1">IF(AND(ISNUMBER($I$1144),$B$1132=1),$I$1144,HLOOKUP(INDIRECT(ADDRESS(2,COLUMN())),OFFSET($K$2,0,0,ROW()-1,5),ROW()-1,FALSE))</f>
        <v>0.31789001500000003</v>
      </c>
      <c r="J17">
        <f ca="1">IF(AND(ISNUMBER($J$1144),$B$1132=1),$J$1144,HLOOKUP(INDIRECT(ADDRESS(2,COLUMN())),OFFSET($K$2,0,0,ROW()-1,5),ROW()-1,FALSE))</f>
        <v>0.32922399899999999</v>
      </c>
      <c r="K17">
        <f>0.225957001</f>
        <v>0.22595700099999999</v>
      </c>
      <c r="L17">
        <f>0.268825012</f>
        <v>0.26882501199999997</v>
      </c>
      <c r="M17">
        <f>0.267592011</f>
        <v>0.26759201100000002</v>
      </c>
      <c r="N17">
        <f>0.317890015</f>
        <v>0.31789001500000003</v>
      </c>
      <c r="O17">
        <f>0.329223999</f>
        <v>0.32922399899999999</v>
      </c>
    </row>
    <row r="18" spans="1:15" x14ac:dyDescent="0.25">
      <c r="A18" t="str">
        <f>"                Telephone and Data Systems Inc"</f>
        <v xml:space="preserve">                Telephone and Data Systems Inc</v>
      </c>
      <c r="B18" t="str">
        <f>"TDS US Equity"</f>
        <v>TDS US Equity</v>
      </c>
      <c r="C18" t="str">
        <f t="shared" si="0"/>
        <v>F0946</v>
      </c>
      <c r="D18" t="str">
        <f t="shared" si="1"/>
        <v>TOTAL_GHG_CO2_EMISSIONS</v>
      </c>
      <c r="E18" t="str">
        <f t="shared" si="2"/>
        <v>Dynamic</v>
      </c>
      <c r="F18" t="str">
        <f ca="1">IF(AND(ISNUMBER($F$1145),$B$1132=1),$F$1145,HLOOKUP(INDIRECT(ADDRESS(2,COLUMN())),OFFSET($K$2,0,0,ROW()-1,5),ROW()-1,FALSE))</f>
        <v/>
      </c>
      <c r="G18" t="str">
        <f ca="1">IF(AND(ISNUMBER($G$1145),$B$1132=1),$G$1145,HLOOKUP(INDIRECT(ADDRESS(2,COLUMN())),OFFSET($K$2,0,0,ROW()-1,5),ROW()-1,FALSE))</f>
        <v/>
      </c>
      <c r="H18" t="str">
        <f ca="1">IF(AND(ISNUMBER($H$1145),$B$1132=1),$H$1145,HLOOKUP(INDIRECT(ADDRESS(2,COLUMN())),OFFSET($K$2,0,0,ROW()-1,5),ROW()-1,FALSE))</f>
        <v/>
      </c>
      <c r="I18" t="str">
        <f ca="1">IF(AND(ISNUMBER($I$1145),$B$1132=1),$I$1145,HLOOKUP(INDIRECT(ADDRESS(2,COLUMN())),OFFSET($K$2,0,0,ROW()-1,5),ROW()-1,FALSE))</f>
        <v/>
      </c>
      <c r="J18" t="str">
        <f ca="1">IF(AND(ISNUMBER($J$1145),$B$1132=1),$J$1145,HLOOKUP(INDIRECT(ADDRESS(2,COLUMN())),OFFSET($K$2,0,0,ROW()-1,5),ROW()-1,FALSE))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</row>
    <row r="19" spans="1:15" x14ac:dyDescent="0.25">
      <c r="A19" t="str">
        <f>"                United States Cellular Corp"</f>
        <v xml:space="preserve">                United States Cellular Corp</v>
      </c>
      <c r="B19" t="str">
        <f>"USM US Equity"</f>
        <v>USM US Equity</v>
      </c>
      <c r="C19" t="str">
        <f t="shared" si="0"/>
        <v>F0946</v>
      </c>
      <c r="D19" t="str">
        <f t="shared" si="1"/>
        <v>TOTAL_GHG_CO2_EMISSIONS</v>
      </c>
      <c r="E19" t="str">
        <f t="shared" si="2"/>
        <v>Dynamic</v>
      </c>
      <c r="F19" t="str">
        <f ca="1">IF(AND(ISNUMBER($F$1146),$B$1132=1),$F$1146,HLOOKUP(INDIRECT(ADDRESS(2,COLUMN())),OFFSET($K$2,0,0,ROW()-1,5),ROW()-1,FALSE))</f>
        <v/>
      </c>
      <c r="G19" t="str">
        <f ca="1">IF(AND(ISNUMBER($G$1146),$B$1132=1),$G$1146,HLOOKUP(INDIRECT(ADDRESS(2,COLUMN())),OFFSET($K$2,0,0,ROW()-1,5),ROW()-1,FALSE))</f>
        <v/>
      </c>
      <c r="H19" t="str">
        <f ca="1">IF(AND(ISNUMBER($H$1146),$B$1132=1),$H$1146,HLOOKUP(INDIRECT(ADDRESS(2,COLUMN())),OFFSET($K$2,0,0,ROW()-1,5),ROW()-1,FALSE))</f>
        <v/>
      </c>
      <c r="I19" t="str">
        <f ca="1">IF(AND(ISNUMBER($I$1146),$B$1132=1),$I$1146,HLOOKUP(INDIRECT(ADDRESS(2,COLUMN())),OFFSET($K$2,0,0,ROW()-1,5),ROW()-1,FALSE))</f>
        <v/>
      </c>
      <c r="J19" t="str">
        <f ca="1">IF(AND(ISNUMBER($J$1146),$B$1132=1),$J$1146,HLOOKUP(INDIRECT(ADDRESS(2,COLUMN())),OFFSET($K$2,0,0,ROW()-1,5),ROW()-1,FALSE))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</row>
    <row r="20" spans="1:15" x14ac:dyDescent="0.25">
      <c r="A20" t="str">
        <f>"                Verizon Communications Inc"</f>
        <v xml:space="preserve">                Verizon Communications Inc</v>
      </c>
      <c r="B20" t="str">
        <f>"VZ US Equity"</f>
        <v>VZ US Equity</v>
      </c>
      <c r="C20" t="str">
        <f t="shared" si="0"/>
        <v>F0946</v>
      </c>
      <c r="D20" t="str">
        <f t="shared" si="1"/>
        <v>TOTAL_GHG_CO2_EMISSIONS</v>
      </c>
      <c r="E20" t="str">
        <f t="shared" si="2"/>
        <v>Dynamic</v>
      </c>
      <c r="F20" t="str">
        <f ca="1">IF(AND(ISNUMBER($F$1147),$B$1132=1),$F$1147,HLOOKUP(INDIRECT(ADDRESS(2,COLUMN())),OFFSET($K$2,0,0,ROW()-1,5),ROW()-1,FALSE))</f>
        <v/>
      </c>
      <c r="G20">
        <f ca="1">IF(AND(ISNUMBER($G$1147),$B$1132=1),$G$1147,HLOOKUP(INDIRECT(ADDRESS(2,COLUMN())),OFFSET($K$2,0,0,ROW()-1,5),ROW()-1,FALSE))</f>
        <v>3.8643000490000001</v>
      </c>
      <c r="H20">
        <f ca="1">IF(AND(ISNUMBER($H$1147),$B$1132=1),$H$1147,HLOOKUP(INDIRECT(ADDRESS(2,COLUMN())),OFFSET($K$2,0,0,ROW()-1,5),ROW()-1,FALSE))</f>
        <v>4.09048999</v>
      </c>
      <c r="I20">
        <f ca="1">IF(AND(ISNUMBER($I$1147),$B$1132=1),$I$1147,HLOOKUP(INDIRECT(ADDRESS(2,COLUMN())),OFFSET($K$2,0,0,ROW()-1,5),ROW()-1,FALSE))</f>
        <v>4.3656298830000004</v>
      </c>
      <c r="J20">
        <f ca="1">IF(AND(ISNUMBER($J$1147),$B$1132=1),$J$1147,HLOOKUP(INDIRECT(ADDRESS(2,COLUMN())),OFFSET($K$2,0,0,ROW()-1,5),ROW()-1,FALSE))</f>
        <v>4.4188198239999998</v>
      </c>
      <c r="K20" t="str">
        <f>""</f>
        <v/>
      </c>
      <c r="L20">
        <f>3.864300049</f>
        <v>3.8643000490000001</v>
      </c>
      <c r="M20">
        <f>4.09048999</f>
        <v>4.09048999</v>
      </c>
      <c r="N20">
        <f>4.365629883</f>
        <v>4.3656298830000004</v>
      </c>
      <c r="O20">
        <f>4.418819824</f>
        <v>4.4188198239999998</v>
      </c>
    </row>
    <row r="21" spans="1:15" x14ac:dyDescent="0.25">
      <c r="A21" t="str">
        <f>"        Consumer Discretionary"</f>
        <v xml:space="preserve">        Consumer Discretionary</v>
      </c>
      <c r="B21" t="str">
        <f>""</f>
        <v/>
      </c>
      <c r="E21" t="str">
        <f>"Sum"</f>
        <v>Sum</v>
      </c>
      <c r="F21">
        <f ca="1">IF(ISERROR(IF(SUM($F$22,$F$149) = 0, "", SUM($F$22,$F$149))), "", (IF(SUM($F$22,$F$149) = 0, "", SUM($F$22,$F$149))))</f>
        <v>58.654694790000008</v>
      </c>
      <c r="G21">
        <f ca="1">IF(ISERROR(IF(SUM($G$22,$G$149) = 0, "", SUM($G$22,$G$149))), "", (IF(SUM($G$22,$G$149) = 0, "", SUM($G$22,$G$149))))</f>
        <v>180.18693117399994</v>
      </c>
      <c r="H21">
        <f ca="1">IF(ISERROR(IF(SUM($H$22,$H$149) = 0, "", SUM($H$22,$H$149))), "", (IF(SUM($H$22,$H$149) = 0, "", SUM($H$22,$H$149))))</f>
        <v>169.99385431499996</v>
      </c>
      <c r="I21">
        <f ca="1">IF(ISERROR(IF(SUM($I$22,$I$149) = 0, "", SUM($I$22,$I$149))), "", (IF(SUM($I$22,$I$149) = 0, "", SUM($I$22,$I$149))))</f>
        <v>184.14315499200001</v>
      </c>
      <c r="J21">
        <f ca="1">IF(ISERROR(IF(SUM($J$22,$J$149) = 0, "", SUM($J$22,$J$149))), "", (IF(SUM($J$22,$J$149) = 0, "", SUM($J$22,$J$149))))</f>
        <v>184.29877554999996</v>
      </c>
      <c r="K21">
        <f>48.62625686</f>
        <v>48.626256859999998</v>
      </c>
      <c r="L21">
        <f>180.1869312</f>
        <v>180.1869312</v>
      </c>
      <c r="M21">
        <f>169.9938543</f>
        <v>169.99385430000001</v>
      </c>
      <c r="N21">
        <f>184.143155</f>
        <v>184.14315500000001</v>
      </c>
      <c r="O21">
        <f>184.2987756</f>
        <v>184.2987756</v>
      </c>
    </row>
    <row r="22" spans="1:15" x14ac:dyDescent="0.25">
      <c r="A22" t="str">
        <f>"            Automotive"</f>
        <v xml:space="preserve">            Automotive</v>
      </c>
      <c r="B22" t="str">
        <f>""</f>
        <v/>
      </c>
      <c r="E22" t="str">
        <f>"Sum"</f>
        <v>Sum</v>
      </c>
      <c r="F22">
        <f ca="1">IF(ISERROR(IF(SUM($F$23,$F$66) = 0, "", SUM($F$23,$F$66))), "", (IF(SUM($F$23,$F$66) = 0, "", SUM($F$23,$F$66))))</f>
        <v>49.761338787000007</v>
      </c>
      <c r="G22">
        <f ca="1">IF(ISERROR(IF(SUM($G$23,$G$66) = 0, "", SUM($G$23,$G$66))), "", (IF(SUM($G$23,$G$66) = 0, "", SUM($G$23,$G$66))))</f>
        <v>164.14771091499995</v>
      </c>
      <c r="H22">
        <f ca="1">IF(ISERROR(IF(SUM($H$23,$H$66) = 0, "", SUM($H$23,$H$66))), "", (IF(SUM($H$23,$H$66) = 0, "", SUM($H$23,$H$66))))</f>
        <v>157.23870824299996</v>
      </c>
      <c r="I22">
        <f ca="1">IF(ISERROR(IF(SUM($I$23,$I$66) = 0, "", SUM($I$23,$I$66))), "", (IF(SUM($I$23,$I$66) = 0, "", SUM($I$23,$I$66))))</f>
        <v>167.17319419099999</v>
      </c>
      <c r="J22">
        <f ca="1">IF(ISERROR(IF(SUM($J$23,$J$66) = 0, "", SUM($J$23,$J$66))), "", (IF(SUM($J$23,$J$66) = 0, "", SUM($J$23,$J$66))))</f>
        <v>167.20854852199994</v>
      </c>
      <c r="K22">
        <f>39.73290085</f>
        <v>39.73290085</v>
      </c>
      <c r="L22">
        <f>164.1477109</f>
        <v>164.14771089999999</v>
      </c>
      <c r="M22">
        <f>157.2387082</f>
        <v>157.23870819999999</v>
      </c>
      <c r="N22">
        <f>167.1731942</f>
        <v>167.17319420000001</v>
      </c>
      <c r="O22">
        <f>167.2085485</f>
        <v>167.20854850000001</v>
      </c>
    </row>
    <row r="23" spans="1:15" x14ac:dyDescent="0.25">
      <c r="A23" t="str">
        <f>"                Auto OEMs"</f>
        <v xml:space="preserve">                Auto OEMs</v>
      </c>
      <c r="B23" t="str">
        <f>""</f>
        <v/>
      </c>
      <c r="E23" t="str">
        <f>"Sum"</f>
        <v>Sum</v>
      </c>
      <c r="F23">
        <f ca="1">IF(ISERROR(IF(SUM($F$24:$F$65) = 0, "", SUM($F$24:$F$65))), "", (IF(SUM($F$24:$F$65) = 0, "", SUM($F$24:$F$65))))</f>
        <v>39.732900852000007</v>
      </c>
      <c r="G23">
        <f ca="1">IF(ISERROR(IF(SUM($G$24:$G$65) = 0, "", SUM($G$24:$G$65))), "", (IF(SUM($G$24:$G$65) = 0, "", SUM($G$24:$G$65))))</f>
        <v>64.31029686799998</v>
      </c>
      <c r="H23">
        <f ca="1">IF(ISERROR(IF(SUM($H$24:$H$65) = 0, "", SUM($H$24:$H$65))), "", (IF(SUM($H$24:$H$65) = 0, "", SUM($H$24:$H$65))))</f>
        <v>62.504055045999991</v>
      </c>
      <c r="I23">
        <f ca="1">IF(ISERROR(IF(SUM($I$24:$I$65) = 0, "", SUM($I$24:$I$65))), "", (IF(SUM($I$24:$I$65) = 0, "", SUM($I$24:$I$65))))</f>
        <v>64.003505873999998</v>
      </c>
      <c r="J23">
        <f ca="1">IF(ISERROR(IF(SUM($J$24:$J$65) = 0, "", SUM($J$24:$J$65))), "", (IF(SUM($J$24:$J$65) = 0, "", SUM($J$24:$J$65))))</f>
        <v>65.584228521</v>
      </c>
      <c r="K23">
        <f>39.73290085</f>
        <v>39.73290085</v>
      </c>
      <c r="L23">
        <f>64.31029687</f>
        <v>64.310296870000002</v>
      </c>
      <c r="M23">
        <f>62.50405505</f>
        <v>62.504055049999998</v>
      </c>
      <c r="N23">
        <f>64.00350587</f>
        <v>64.003505869999998</v>
      </c>
      <c r="O23">
        <f>65.58422853</f>
        <v>65.584228530000004</v>
      </c>
    </row>
    <row r="24" spans="1:15" x14ac:dyDescent="0.25">
      <c r="A24" t="str">
        <f>"                    Aston Martin Lagonda Global Ho"</f>
        <v xml:space="preserve">                    Aston Martin Lagonda Global Ho</v>
      </c>
      <c r="B24" t="str">
        <f>"AML LN Equity"</f>
        <v>AML LN Equity</v>
      </c>
      <c r="C24" t="str">
        <f t="shared" ref="C24:C65" si="3">"F0946"</f>
        <v>F0946</v>
      </c>
      <c r="D24" t="str">
        <f t="shared" ref="D24:D65" si="4">"TOTAL_GHG_CO2_EMISSIONS"</f>
        <v>TOTAL_GHG_CO2_EMISSIONS</v>
      </c>
      <c r="E24" t="str">
        <f t="shared" ref="E24:E65" si="5">"Dynamic"</f>
        <v>Dynamic</v>
      </c>
      <c r="F24">
        <f ca="1">IF(AND(ISNUMBER($F$1148),$B$1132=1),$F$1148,HLOOKUP(INDIRECT(ADDRESS(2,COLUMN())),OFFSET($K$2,0,0,ROW()-1,5),ROW()-1,FALSE))</f>
        <v>1.5195800000000001E-2</v>
      </c>
      <c r="G24">
        <f ca="1">IF(AND(ISNUMBER($G$1148),$B$1132=1),$G$1148,HLOOKUP(INDIRECT(ADDRESS(2,COLUMN())),OFFSET($K$2,0,0,ROW()-1,5),ROW()-1,FALSE))</f>
        <v>1.6072099999999999E-2</v>
      </c>
      <c r="H24">
        <f ca="1">IF(AND(ISNUMBER($H$1148),$B$1132=1),$H$1148,HLOOKUP(INDIRECT(ADDRESS(2,COLUMN())),OFFSET($K$2,0,0,ROW()-1,5),ROW()-1,FALSE))</f>
        <v>1.6746500000000001E-2</v>
      </c>
      <c r="I24">
        <f ca="1">IF(AND(ISNUMBER($I$1148),$B$1132=1),$I$1148,HLOOKUP(INDIRECT(ADDRESS(2,COLUMN())),OFFSET($K$2,0,0,ROW()-1,5),ROW()-1,FALSE))</f>
        <v>1.7664900000000001E-2</v>
      </c>
      <c r="J24">
        <f ca="1">IF(AND(ISNUMBER($J$1148),$B$1132=1),$J$1148,HLOOKUP(INDIRECT(ADDRESS(2,COLUMN())),OFFSET($K$2,0,0,ROW()-1,5),ROW()-1,FALSE))</f>
        <v>1.68986E-2</v>
      </c>
      <c r="K24">
        <f>0.0151958</f>
        <v>1.5195800000000001E-2</v>
      </c>
      <c r="L24">
        <f>0.0160721</f>
        <v>1.6072099999999999E-2</v>
      </c>
      <c r="M24">
        <f>0.0167465</f>
        <v>1.6746500000000001E-2</v>
      </c>
      <c r="N24">
        <f>0.0176649</f>
        <v>1.7664900000000001E-2</v>
      </c>
      <c r="O24">
        <f>0.0168986</f>
        <v>1.68986E-2</v>
      </c>
    </row>
    <row r="25" spans="1:15" x14ac:dyDescent="0.25">
      <c r="A25" t="str">
        <f>"                    BAIC Motor Corp Ltd"</f>
        <v xml:space="preserve">                    BAIC Motor Corp Ltd</v>
      </c>
      <c r="B25" t="str">
        <f>"1958 HK Equity"</f>
        <v>1958 HK Equity</v>
      </c>
      <c r="C25" t="str">
        <f t="shared" si="3"/>
        <v>F0946</v>
      </c>
      <c r="D25" t="str">
        <f t="shared" si="4"/>
        <v>TOTAL_GHG_CO2_EMISSIONS</v>
      </c>
      <c r="E25" t="str">
        <f t="shared" si="5"/>
        <v>Dynamic</v>
      </c>
      <c r="F25">
        <f ca="1">IF(AND(ISNUMBER($F$1149),$B$1132=1),$F$1149,HLOOKUP(INDIRECT(ADDRESS(2,COLUMN())),OFFSET($K$2,0,0,ROW()-1,5),ROW()-1,FALSE))</f>
        <v>0.78050402799999996</v>
      </c>
      <c r="G25">
        <f ca="1">IF(AND(ISNUMBER($G$1149),$B$1132=1),$G$1149,HLOOKUP(INDIRECT(ADDRESS(2,COLUMN())),OFFSET($K$2,0,0,ROW()-1,5),ROW()-1,FALSE))</f>
        <v>0.78057501200000001</v>
      </c>
      <c r="H25">
        <f ca="1">IF(AND(ISNUMBER($H$1149),$B$1132=1),$H$1149,HLOOKUP(INDIRECT(ADDRESS(2,COLUMN())),OFFSET($K$2,0,0,ROW()-1,5),ROW()-1,FALSE))</f>
        <v>0.90804199200000002</v>
      </c>
      <c r="I25">
        <f ca="1">IF(AND(ISNUMBER($I$1149),$B$1132=1),$I$1149,HLOOKUP(INDIRECT(ADDRESS(2,COLUMN())),OFFSET($K$2,0,0,ROW()-1,5),ROW()-1,FALSE))</f>
        <v>1.0217100219999999</v>
      </c>
      <c r="J25">
        <f ca="1">IF(AND(ISNUMBER($J$1149),$B$1132=1),$J$1149,HLOOKUP(INDIRECT(ADDRESS(2,COLUMN())),OFFSET($K$2,0,0,ROW()-1,5),ROW()-1,FALSE))</f>
        <v>1.1752299799999999</v>
      </c>
      <c r="K25">
        <f>0.780504028</f>
        <v>0.78050402799999996</v>
      </c>
      <c r="L25">
        <f>0.780575012</f>
        <v>0.78057501200000001</v>
      </c>
      <c r="M25">
        <f>0.908041992</f>
        <v>0.90804199200000002</v>
      </c>
      <c r="N25">
        <f>1.021710022</f>
        <v>1.0217100219999999</v>
      </c>
      <c r="O25">
        <f>1.17522998</f>
        <v>1.1752299799999999</v>
      </c>
    </row>
    <row r="26" spans="1:15" x14ac:dyDescent="0.25">
      <c r="A26" t="str">
        <f>"                    Bayerische Motoren Werke AG"</f>
        <v xml:space="preserve">                    Bayerische Motoren Werke AG</v>
      </c>
      <c r="B26" t="str">
        <f>"BMW GR Equity"</f>
        <v>BMW GR Equity</v>
      </c>
      <c r="C26" t="str">
        <f t="shared" si="3"/>
        <v>F0946</v>
      </c>
      <c r="D26" t="str">
        <f t="shared" si="4"/>
        <v>TOTAL_GHG_CO2_EMISSIONS</v>
      </c>
      <c r="E26" t="str">
        <f t="shared" si="5"/>
        <v>Dynamic</v>
      </c>
      <c r="F26" t="str">
        <f ca="1">IF(AND(ISNUMBER($F$1150),$B$1132=1),$F$1150,HLOOKUP(INDIRECT(ADDRESS(2,COLUMN())),OFFSET($K$2,0,0,ROW()-1,5),ROW()-1,FALSE))</f>
        <v/>
      </c>
      <c r="G26">
        <f ca="1">IF(AND(ISNUMBER($G$1150),$B$1132=1),$G$1150,HLOOKUP(INDIRECT(ADDRESS(2,COLUMN())),OFFSET($K$2,0,0,ROW()-1,5),ROW()-1,FALSE))</f>
        <v>2.104060059</v>
      </c>
      <c r="H26">
        <f ca="1">IF(AND(ISNUMBER($H$1150),$B$1132=1),$H$1150,HLOOKUP(INDIRECT(ADDRESS(2,COLUMN())),OFFSET($K$2,0,0,ROW()-1,5),ROW()-1,FALSE))</f>
        <v>1.893459961</v>
      </c>
      <c r="I26">
        <f ca="1">IF(AND(ISNUMBER($I$1150),$B$1132=1),$I$1150,HLOOKUP(INDIRECT(ADDRESS(2,COLUMN())),OFFSET($K$2,0,0,ROW()-1,5),ROW()-1,FALSE))</f>
        <v>2.0624299320000001</v>
      </c>
      <c r="J26">
        <f ca="1">IF(AND(ISNUMBER($J$1150),$B$1132=1),$J$1150,HLOOKUP(INDIRECT(ADDRESS(2,COLUMN())),OFFSET($K$2,0,0,ROW()-1,5),ROW()-1,FALSE))</f>
        <v>2.1210800779999999</v>
      </c>
      <c r="K26" t="str">
        <f>""</f>
        <v/>
      </c>
      <c r="L26">
        <f>2.104060059</f>
        <v>2.104060059</v>
      </c>
      <c r="M26">
        <f>1.893459961</f>
        <v>1.893459961</v>
      </c>
      <c r="N26">
        <f>2.062429932</f>
        <v>2.0624299320000001</v>
      </c>
      <c r="O26">
        <f>2.121080078</f>
        <v>2.1210800779999999</v>
      </c>
    </row>
    <row r="27" spans="1:15" x14ac:dyDescent="0.25">
      <c r="A27" t="str">
        <f>"                    Brilliance China Automotive Ho"</f>
        <v xml:space="preserve">                    Brilliance China Automotive Ho</v>
      </c>
      <c r="B27" t="str">
        <f>"1114 HK Equity"</f>
        <v>1114 HK Equity</v>
      </c>
      <c r="C27" t="str">
        <f t="shared" si="3"/>
        <v>F0946</v>
      </c>
      <c r="D27" t="str">
        <f t="shared" si="4"/>
        <v>TOTAL_GHG_CO2_EMISSIONS</v>
      </c>
      <c r="E27" t="str">
        <f t="shared" si="5"/>
        <v>Dynamic</v>
      </c>
      <c r="F27">
        <f ca="1">IF(AND(ISNUMBER($F$1151),$B$1132=1),$F$1151,HLOOKUP(INDIRECT(ADDRESS(2,COLUMN())),OFFSET($K$2,0,0,ROW()-1,5),ROW()-1,FALSE))</f>
        <v>2.0179701000000001E-2</v>
      </c>
      <c r="G27" t="str">
        <f ca="1">IF(AND(ISNUMBER($G$1151),$B$1132=1),$G$1151,HLOOKUP(INDIRECT(ADDRESS(2,COLUMN())),OFFSET($K$2,0,0,ROW()-1,5),ROW()-1,FALSE))</f>
        <v/>
      </c>
      <c r="H27" t="str">
        <f ca="1">IF(AND(ISNUMBER($H$1151),$B$1132=1),$H$1151,HLOOKUP(INDIRECT(ADDRESS(2,COLUMN())),OFFSET($K$2,0,0,ROW()-1,5),ROW()-1,FALSE))</f>
        <v/>
      </c>
      <c r="I27" t="str">
        <f ca="1">IF(AND(ISNUMBER($I$1151),$B$1132=1),$I$1151,HLOOKUP(INDIRECT(ADDRESS(2,COLUMN())),OFFSET($K$2,0,0,ROW()-1,5),ROW()-1,FALSE))</f>
        <v/>
      </c>
      <c r="J27" t="str">
        <f ca="1">IF(AND(ISNUMBER($J$1151),$B$1132=1),$J$1151,HLOOKUP(INDIRECT(ADDRESS(2,COLUMN())),OFFSET($K$2,0,0,ROW()-1,5),ROW()-1,FALSE))</f>
        <v/>
      </c>
      <c r="K27">
        <f>0.020179701</f>
        <v>2.0179701000000001E-2</v>
      </c>
      <c r="L27" t="str">
        <f>""</f>
        <v/>
      </c>
      <c r="M27" t="str">
        <f>""</f>
        <v/>
      </c>
      <c r="N27" t="str">
        <f>""</f>
        <v/>
      </c>
      <c r="O27" t="str">
        <f>""</f>
        <v/>
      </c>
    </row>
    <row r="28" spans="1:15" x14ac:dyDescent="0.25">
      <c r="A28" t="str">
        <f>"                    BYD Co Ltd"</f>
        <v xml:space="preserve">                    BYD Co Ltd</v>
      </c>
      <c r="B28" t="str">
        <f>"1211 HK Equity"</f>
        <v>1211 HK Equity</v>
      </c>
      <c r="C28" t="str">
        <f t="shared" si="3"/>
        <v>F0946</v>
      </c>
      <c r="D28" t="str">
        <f t="shared" si="4"/>
        <v>TOTAL_GHG_CO2_EMISSIONS</v>
      </c>
      <c r="E28" t="str">
        <f t="shared" si="5"/>
        <v>Dynamic</v>
      </c>
      <c r="F28">
        <f ca="1">IF(AND(ISNUMBER($F$1152),$B$1132=1),$F$1152,HLOOKUP(INDIRECT(ADDRESS(2,COLUMN())),OFFSET($K$2,0,0,ROW()-1,5),ROW()-1,FALSE))</f>
        <v>8.0619702150000006</v>
      </c>
      <c r="G28">
        <f ca="1">IF(AND(ISNUMBER($G$1152),$B$1132=1),$G$1152,HLOOKUP(INDIRECT(ADDRESS(2,COLUMN())),OFFSET($K$2,0,0,ROW()-1,5),ROW()-1,FALSE))</f>
        <v>5.2191098629999999</v>
      </c>
      <c r="H28">
        <f ca="1">IF(AND(ISNUMBER($H$1152),$B$1132=1),$H$1152,HLOOKUP(INDIRECT(ADDRESS(2,COLUMN())),OFFSET($K$2,0,0,ROW()-1,5),ROW()-1,FALSE))</f>
        <v>4.1451801760000002</v>
      </c>
      <c r="I28">
        <f ca="1">IF(AND(ISNUMBER($I$1152),$B$1132=1),$I$1152,HLOOKUP(INDIRECT(ADDRESS(2,COLUMN())),OFFSET($K$2,0,0,ROW()-1,5),ROW()-1,FALSE))</f>
        <v>4.0037700200000002</v>
      </c>
      <c r="J28">
        <f ca="1">IF(AND(ISNUMBER($J$1152),$B$1132=1),$J$1152,HLOOKUP(INDIRECT(ADDRESS(2,COLUMN())),OFFSET($K$2,0,0,ROW()-1,5),ROW()-1,FALSE))</f>
        <v>2.8648999019999999</v>
      </c>
      <c r="K28">
        <f>8.061970215</f>
        <v>8.0619702150000006</v>
      </c>
      <c r="L28">
        <f>5.219109863</f>
        <v>5.2191098629999999</v>
      </c>
      <c r="M28">
        <f>4.145180176</f>
        <v>4.1451801760000002</v>
      </c>
      <c r="N28">
        <f>4.00377002</f>
        <v>4.0037700200000002</v>
      </c>
      <c r="O28">
        <f>2.864899902</f>
        <v>2.8648999019999999</v>
      </c>
    </row>
    <row r="29" spans="1:15" x14ac:dyDescent="0.25">
      <c r="A29" t="str">
        <f>"                    Chongqing Changan Automobile C"</f>
        <v xml:space="preserve">                    Chongqing Changan Automobile C</v>
      </c>
      <c r="B29" t="str">
        <f>"200625 CH Equity"</f>
        <v>200625 CH Equity</v>
      </c>
      <c r="C29" t="str">
        <f t="shared" si="3"/>
        <v>F0946</v>
      </c>
      <c r="D29" t="str">
        <f t="shared" si="4"/>
        <v>TOTAL_GHG_CO2_EMISSIONS</v>
      </c>
      <c r="E29" t="str">
        <f t="shared" si="5"/>
        <v>Dynamic</v>
      </c>
      <c r="F29" t="str">
        <f ca="1">IF(AND(ISNUMBER($F$1153),$B$1132=1),$F$1153,HLOOKUP(INDIRECT(ADDRESS(2,COLUMN())),OFFSET($K$2,0,0,ROW()-1,5),ROW()-1,FALSE))</f>
        <v/>
      </c>
      <c r="G29" t="str">
        <f ca="1">IF(AND(ISNUMBER($G$1153),$B$1132=1),$G$1153,HLOOKUP(INDIRECT(ADDRESS(2,COLUMN())),OFFSET($K$2,0,0,ROW()-1,5),ROW()-1,FALSE))</f>
        <v/>
      </c>
      <c r="H29" t="str">
        <f ca="1">IF(AND(ISNUMBER($H$1153),$B$1132=1),$H$1153,HLOOKUP(INDIRECT(ADDRESS(2,COLUMN())),OFFSET($K$2,0,0,ROW()-1,5),ROW()-1,FALSE))</f>
        <v/>
      </c>
      <c r="I29" t="str">
        <f ca="1">IF(AND(ISNUMBER($I$1153),$B$1132=1),$I$1153,HLOOKUP(INDIRECT(ADDRESS(2,COLUMN())),OFFSET($K$2,0,0,ROW()-1,5),ROW()-1,FALSE))</f>
        <v/>
      </c>
      <c r="J29" t="str">
        <f ca="1">IF(AND(ISNUMBER($J$1153),$B$1132=1),$J$1153,HLOOKUP(INDIRECT(ADDRESS(2,COLUMN())),OFFSET($K$2,0,0,ROW()-1,5),ROW()-1,FALSE))</f>
        <v/>
      </c>
      <c r="K29" t="str">
        <f>""</f>
        <v/>
      </c>
      <c r="L29" t="str">
        <f>""</f>
        <v/>
      </c>
      <c r="M29" t="str">
        <f>""</f>
        <v/>
      </c>
      <c r="N29" t="str">
        <f>""</f>
        <v/>
      </c>
      <c r="O29" t="str">
        <f>""</f>
        <v/>
      </c>
    </row>
    <row r="30" spans="1:15" x14ac:dyDescent="0.25">
      <c r="A30" t="str">
        <f>"                    Dongfeng Motor Group Co Ltd"</f>
        <v xml:space="preserve">                    Dongfeng Motor Group Co Ltd</v>
      </c>
      <c r="B30" t="str">
        <f>"489 HK Equity"</f>
        <v>489 HK Equity</v>
      </c>
      <c r="C30" t="str">
        <f t="shared" si="3"/>
        <v>F0946</v>
      </c>
      <c r="D30" t="str">
        <f t="shared" si="4"/>
        <v>TOTAL_GHG_CO2_EMISSIONS</v>
      </c>
      <c r="E30" t="str">
        <f t="shared" si="5"/>
        <v>Dynamic</v>
      </c>
      <c r="F30">
        <f ca="1">IF(AND(ISNUMBER($F$1154),$B$1132=1),$F$1154,HLOOKUP(INDIRECT(ADDRESS(2,COLUMN())),OFFSET($K$2,0,0,ROW()-1,5),ROW()-1,FALSE))</f>
        <v>1.687599976</v>
      </c>
      <c r="G30">
        <f ca="1">IF(AND(ISNUMBER($G$1154),$B$1132=1),$G$1154,HLOOKUP(INDIRECT(ADDRESS(2,COLUMN())),OFFSET($K$2,0,0,ROW()-1,5),ROW()-1,FALSE))</f>
        <v>2.0665</v>
      </c>
      <c r="H30">
        <f ca="1">IF(AND(ISNUMBER($H$1154),$B$1132=1),$H$1154,HLOOKUP(INDIRECT(ADDRESS(2,COLUMN())),OFFSET($K$2,0,0,ROW()-1,5),ROW()-1,FALSE))</f>
        <v>2.161199951</v>
      </c>
      <c r="I30">
        <f ca="1">IF(AND(ISNUMBER($I$1154),$B$1132=1),$I$1154,HLOOKUP(INDIRECT(ADDRESS(2,COLUMN())),OFFSET($K$2,0,0,ROW()-1,5),ROW()-1,FALSE))</f>
        <v>2.2201000980000001</v>
      </c>
      <c r="J30">
        <f ca="1">IF(AND(ISNUMBER($J$1154),$B$1132=1),$J$1154,HLOOKUP(INDIRECT(ADDRESS(2,COLUMN())),OFFSET($K$2,0,0,ROW()-1,5),ROW()-1,FALSE))</f>
        <v>2.2228300779999999</v>
      </c>
      <c r="K30">
        <f>1.687599976</f>
        <v>1.687599976</v>
      </c>
      <c r="L30">
        <f>2.0665</f>
        <v>2.0665</v>
      </c>
      <c r="M30">
        <f>2.161199951</f>
        <v>2.161199951</v>
      </c>
      <c r="N30">
        <f>2.220100098</f>
        <v>2.2201000980000001</v>
      </c>
      <c r="O30">
        <f>2.222830078</f>
        <v>2.2228300779999999</v>
      </c>
    </row>
    <row r="31" spans="1:15" x14ac:dyDescent="0.25">
      <c r="A31" t="str">
        <f>"                    Dr Ing hc F Porsche AG"</f>
        <v xml:space="preserve">                    Dr Ing hc F Porsche AG</v>
      </c>
      <c r="B31" t="str">
        <f>"P911 GR Equity"</f>
        <v>P911 GR Equity</v>
      </c>
      <c r="C31" t="str">
        <f t="shared" si="3"/>
        <v>F0946</v>
      </c>
      <c r="D31" t="str">
        <f t="shared" si="4"/>
        <v>TOTAL_GHG_CO2_EMISSIONS</v>
      </c>
      <c r="E31" t="str">
        <f t="shared" si="5"/>
        <v>Dynamic</v>
      </c>
      <c r="F31">
        <f ca="1">IF(AND(ISNUMBER($F$1155),$B$1132=1),$F$1155,HLOOKUP(INDIRECT(ADDRESS(2,COLUMN())),OFFSET($K$2,0,0,ROW()-1,5),ROW()-1,FALSE))</f>
        <v>9.2348999000000001E-2</v>
      </c>
      <c r="G31">
        <f ca="1">IF(AND(ISNUMBER($G$1155),$B$1132=1),$G$1155,HLOOKUP(INDIRECT(ADDRESS(2,COLUMN())),OFFSET($K$2,0,0,ROW()-1,5),ROW()-1,FALSE))</f>
        <v>9.0900000000000009E-3</v>
      </c>
      <c r="H31" t="str">
        <f ca="1">IF(AND(ISNUMBER($H$1155),$B$1132=1),$H$1155,HLOOKUP(INDIRECT(ADDRESS(2,COLUMN())),OFFSET($K$2,0,0,ROW()-1,5),ROW()-1,FALSE))</f>
        <v/>
      </c>
      <c r="I31" t="str">
        <f ca="1">IF(AND(ISNUMBER($I$1155),$B$1132=1),$I$1155,HLOOKUP(INDIRECT(ADDRESS(2,COLUMN())),OFFSET($K$2,0,0,ROW()-1,5),ROW()-1,FALSE))</f>
        <v/>
      </c>
      <c r="J31" t="str">
        <f ca="1">IF(AND(ISNUMBER($J$1155),$B$1132=1),$J$1155,HLOOKUP(INDIRECT(ADDRESS(2,COLUMN())),OFFSET($K$2,0,0,ROW()-1,5),ROW()-1,FALSE))</f>
        <v/>
      </c>
      <c r="K31">
        <f>0.092348999</f>
        <v>9.2348999000000001E-2</v>
      </c>
      <c r="L31">
        <f>0.00909</f>
        <v>9.0900000000000009E-3</v>
      </c>
      <c r="M31" t="str">
        <f>""</f>
        <v/>
      </c>
      <c r="N31" t="str">
        <f>""</f>
        <v/>
      </c>
      <c r="O31" t="str">
        <f>""</f>
        <v/>
      </c>
    </row>
    <row r="32" spans="1:15" x14ac:dyDescent="0.25">
      <c r="A32" t="str">
        <f>"                    Ferrari NV"</f>
        <v xml:space="preserve">                    Ferrari NV</v>
      </c>
      <c r="B32" t="str">
        <f>"RACE IM Equity"</f>
        <v>RACE IM Equity</v>
      </c>
      <c r="C32" t="str">
        <f t="shared" si="3"/>
        <v>F0946</v>
      </c>
      <c r="D32" t="str">
        <f t="shared" si="4"/>
        <v>TOTAL_GHG_CO2_EMISSIONS</v>
      </c>
      <c r="E32" t="str">
        <f t="shared" si="5"/>
        <v>Dynamic</v>
      </c>
      <c r="F32">
        <f ca="1">IF(AND(ISNUMBER($F$1156),$B$1132=1),$F$1156,HLOOKUP(INDIRECT(ADDRESS(2,COLUMN())),OFFSET($K$2,0,0,ROW()-1,5),ROW()-1,FALSE))</f>
        <v>9.6009002999999996E-2</v>
      </c>
      <c r="G32">
        <f ca="1">IF(AND(ISNUMBER($G$1156),$B$1132=1),$G$1156,HLOOKUP(INDIRECT(ADDRESS(2,COLUMN())),OFFSET($K$2,0,0,ROW()-1,5),ROW()-1,FALSE))</f>
        <v>0.10793699700000001</v>
      </c>
      <c r="H32">
        <f ca="1">IF(AND(ISNUMBER($H$1156),$B$1132=1),$H$1156,HLOOKUP(INDIRECT(ADDRESS(2,COLUMN())),OFFSET($K$2,0,0,ROW()-1,5),ROW()-1,FALSE))</f>
        <v>9.8336997999999995E-2</v>
      </c>
      <c r="I32">
        <f ca="1">IF(AND(ISNUMBER($I$1156),$B$1132=1),$I$1156,HLOOKUP(INDIRECT(ADDRESS(2,COLUMN())),OFFSET($K$2,0,0,ROW()-1,5),ROW()-1,FALSE))</f>
        <v>0.105391998</v>
      </c>
      <c r="J32">
        <f ca="1">IF(AND(ISNUMBER($J$1156),$B$1132=1),$J$1156,HLOOKUP(INDIRECT(ADDRESS(2,COLUMN())),OFFSET($K$2,0,0,ROW()-1,5),ROW()-1,FALSE))</f>
        <v>0.100220001</v>
      </c>
      <c r="K32">
        <f>0.096009003</f>
        <v>9.6009002999999996E-2</v>
      </c>
      <c r="L32">
        <f>0.107936997</f>
        <v>0.10793699700000001</v>
      </c>
      <c r="M32">
        <f>0.098336998</f>
        <v>9.8336997999999995E-2</v>
      </c>
      <c r="N32">
        <f>0.105391998</f>
        <v>0.105391998</v>
      </c>
      <c r="O32">
        <f>0.100220001</f>
        <v>0.100220001</v>
      </c>
    </row>
    <row r="33" spans="1:15" x14ac:dyDescent="0.25">
      <c r="A33" t="str">
        <f>"                    Ford Motor Co"</f>
        <v xml:space="preserve">                    Ford Motor Co</v>
      </c>
      <c r="B33" t="str">
        <f>"F US Equity"</f>
        <v>F US Equity</v>
      </c>
      <c r="C33" t="str">
        <f t="shared" si="3"/>
        <v>F0946</v>
      </c>
      <c r="D33" t="str">
        <f t="shared" si="4"/>
        <v>TOTAL_GHG_CO2_EMISSIONS</v>
      </c>
      <c r="E33" t="str">
        <f t="shared" si="5"/>
        <v>Dynamic</v>
      </c>
      <c r="F33">
        <f ca="1">IF(AND(ISNUMBER($F$1157),$B$1132=1),$F$1157,HLOOKUP(INDIRECT(ADDRESS(2,COLUMN())),OFFSET($K$2,0,0,ROW()-1,5),ROW()-1,FALSE))</f>
        <v>3</v>
      </c>
      <c r="G33">
        <f ca="1">IF(AND(ISNUMBER($G$1157),$B$1132=1),$G$1157,HLOOKUP(INDIRECT(ADDRESS(2,COLUMN())),OFFSET($K$2,0,0,ROW()-1,5),ROW()-1,FALSE))</f>
        <v>3.6859099120000001</v>
      </c>
      <c r="H33">
        <f ca="1">IF(AND(ISNUMBER($H$1157),$B$1132=1),$H$1157,HLOOKUP(INDIRECT(ADDRESS(2,COLUMN())),OFFSET($K$2,0,0,ROW()-1,5),ROW()-1,FALSE))</f>
        <v>3.8401298829999999</v>
      </c>
      <c r="I33">
        <f ca="1">IF(AND(ISNUMBER($I$1157),$B$1132=1),$I$1157,HLOOKUP(INDIRECT(ADDRESS(2,COLUMN())),OFFSET($K$2,0,0,ROW()-1,5),ROW()-1,FALSE))</f>
        <v>4.6476499020000004</v>
      </c>
      <c r="J33">
        <f ca="1">IF(AND(ISNUMBER($J$1157),$B$1132=1),$J$1157,HLOOKUP(INDIRECT(ADDRESS(2,COLUMN())),OFFSET($K$2,0,0,ROW()-1,5),ROW()-1,FALSE))</f>
        <v>4.7927700199999999</v>
      </c>
      <c r="K33">
        <f>3</f>
        <v>3</v>
      </c>
      <c r="L33">
        <f>3.685909912</f>
        <v>3.6859099120000001</v>
      </c>
      <c r="M33">
        <f>3.840129883</f>
        <v>3.8401298829999999</v>
      </c>
      <c r="N33">
        <f>4.647649902</f>
        <v>4.6476499020000004</v>
      </c>
      <c r="O33">
        <f>4.79277002</f>
        <v>4.7927700199999999</v>
      </c>
    </row>
    <row r="34" spans="1:15" x14ac:dyDescent="0.25">
      <c r="A34" t="str">
        <f>"                    FAW Jiefang Group Co Ltd"</f>
        <v xml:space="preserve">                    FAW Jiefang Group Co Ltd</v>
      </c>
      <c r="B34" t="str">
        <f>"000800 CH Equity"</f>
        <v>000800 CH Equity</v>
      </c>
      <c r="C34" t="str">
        <f t="shared" si="3"/>
        <v>F0946</v>
      </c>
      <c r="D34" t="str">
        <f t="shared" si="4"/>
        <v>TOTAL_GHG_CO2_EMISSIONS</v>
      </c>
      <c r="E34" t="str">
        <f t="shared" si="5"/>
        <v>Dynamic</v>
      </c>
      <c r="F34" t="str">
        <f ca="1">IF(AND(ISNUMBER($F$1158),$B$1132=1),$F$1158,HLOOKUP(INDIRECT(ADDRESS(2,COLUMN())),OFFSET($K$2,0,0,ROW()-1,5),ROW()-1,FALSE))</f>
        <v/>
      </c>
      <c r="G34" t="str">
        <f ca="1">IF(AND(ISNUMBER($G$1158),$B$1132=1),$G$1158,HLOOKUP(INDIRECT(ADDRESS(2,COLUMN())),OFFSET($K$2,0,0,ROW()-1,5),ROW()-1,FALSE))</f>
        <v/>
      </c>
      <c r="H34" t="str">
        <f ca="1">IF(AND(ISNUMBER($H$1158),$B$1132=1),$H$1158,HLOOKUP(INDIRECT(ADDRESS(2,COLUMN())),OFFSET($K$2,0,0,ROW()-1,5),ROW()-1,FALSE))</f>
        <v/>
      </c>
      <c r="I34" t="str">
        <f ca="1">IF(AND(ISNUMBER($I$1158),$B$1132=1),$I$1158,HLOOKUP(INDIRECT(ADDRESS(2,COLUMN())),OFFSET($K$2,0,0,ROW()-1,5),ROW()-1,FALSE))</f>
        <v/>
      </c>
      <c r="J34" t="str">
        <f ca="1">IF(AND(ISNUMBER($J$1158),$B$1132=1),$J$1158,HLOOKUP(INDIRECT(ADDRESS(2,COLUMN())),OFFSET($K$2,0,0,ROW()-1,5),ROW()-1,FALSE))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</row>
    <row r="35" spans="1:15" x14ac:dyDescent="0.25">
      <c r="A35" t="str">
        <f>"                    Geely Automobile Holdings Ltd"</f>
        <v xml:space="preserve">                    Geely Automobile Holdings Ltd</v>
      </c>
      <c r="B35" t="str">
        <f>"175 HK Equity"</f>
        <v>175 HK Equity</v>
      </c>
      <c r="C35" t="str">
        <f t="shared" si="3"/>
        <v>F0946</v>
      </c>
      <c r="D35" t="str">
        <f t="shared" si="4"/>
        <v>TOTAL_GHG_CO2_EMISSIONS</v>
      </c>
      <c r="E35" t="str">
        <f t="shared" si="5"/>
        <v>Dynamic</v>
      </c>
      <c r="F35">
        <f ca="1">IF(AND(ISNUMBER($F$1159),$B$1132=1),$F$1159,HLOOKUP(INDIRECT(ADDRESS(2,COLUMN())),OFFSET($K$2,0,0,ROW()-1,5),ROW()-1,FALSE))</f>
        <v>0.60111297600000002</v>
      </c>
      <c r="G35">
        <f ca="1">IF(AND(ISNUMBER($G$1159),$B$1132=1),$G$1159,HLOOKUP(INDIRECT(ADDRESS(2,COLUMN())),OFFSET($K$2,0,0,ROW()-1,5),ROW()-1,FALSE))</f>
        <v>0.69326300100000005</v>
      </c>
      <c r="H35">
        <f ca="1">IF(AND(ISNUMBER($H$1159),$B$1132=1),$H$1159,HLOOKUP(INDIRECT(ADDRESS(2,COLUMN())),OFFSET($K$2,0,0,ROW()-1,5),ROW()-1,FALSE))</f>
        <v>0.66452398700000004</v>
      </c>
      <c r="I35">
        <f ca="1">IF(AND(ISNUMBER($I$1159),$B$1132=1),$I$1159,HLOOKUP(INDIRECT(ADDRESS(2,COLUMN())),OFFSET($K$2,0,0,ROW()-1,5),ROW()-1,FALSE))</f>
        <v>0.55927899199999997</v>
      </c>
      <c r="J35">
        <f ca="1">IF(AND(ISNUMBER($J$1159),$B$1132=1),$J$1159,HLOOKUP(INDIRECT(ADDRESS(2,COLUMN())),OFFSET($K$2,0,0,ROW()-1,5),ROW()-1,FALSE))</f>
        <v>0.56454302999999995</v>
      </c>
      <c r="K35">
        <f>0.601112976</f>
        <v>0.60111297600000002</v>
      </c>
      <c r="L35">
        <f>0.693263001</f>
        <v>0.69326300100000005</v>
      </c>
      <c r="M35">
        <f>0.664523987</f>
        <v>0.66452398700000004</v>
      </c>
      <c r="N35">
        <f>0.559278992</f>
        <v>0.55927899199999997</v>
      </c>
      <c r="O35">
        <f>0.56454303</f>
        <v>0.56454302999999995</v>
      </c>
    </row>
    <row r="36" spans="1:15" x14ac:dyDescent="0.25">
      <c r="A36" t="str">
        <f>"                    General Motors Co"</f>
        <v xml:space="preserve">                    General Motors Co</v>
      </c>
      <c r="B36" t="str">
        <f>"GM US Equity"</f>
        <v>GM US Equity</v>
      </c>
      <c r="C36" t="str">
        <f t="shared" si="3"/>
        <v>F0946</v>
      </c>
      <c r="D36" t="str">
        <f t="shared" si="4"/>
        <v>TOTAL_GHG_CO2_EMISSIONS</v>
      </c>
      <c r="E36" t="str">
        <f t="shared" si="5"/>
        <v>Dynamic</v>
      </c>
      <c r="F36">
        <f ca="1">IF(AND(ISNUMBER($F$1160),$B$1132=1),$F$1160,HLOOKUP(INDIRECT(ADDRESS(2,COLUMN())),OFFSET($K$2,0,0,ROW()-1,5),ROW()-1,FALSE))</f>
        <v>4.4625297850000001</v>
      </c>
      <c r="G36">
        <f ca="1">IF(AND(ISNUMBER($G$1160),$B$1132=1),$G$1160,HLOOKUP(INDIRECT(ADDRESS(2,COLUMN())),OFFSET($K$2,0,0,ROW()-1,5),ROW()-1,FALSE))</f>
        <v>4.1346699219999996</v>
      </c>
      <c r="H36">
        <f ca="1">IF(AND(ISNUMBER($H$1160),$B$1132=1),$H$1160,HLOOKUP(INDIRECT(ADDRESS(2,COLUMN())),OFFSET($K$2,0,0,ROW()-1,5),ROW()-1,FALSE))</f>
        <v>4.3019399409999997</v>
      </c>
      <c r="I36">
        <f ca="1">IF(AND(ISNUMBER($I$1160),$B$1132=1),$I$1160,HLOOKUP(INDIRECT(ADDRESS(2,COLUMN())),OFFSET($K$2,0,0,ROW()-1,5),ROW()-1,FALSE))</f>
        <v>5.9716699220000002</v>
      </c>
      <c r="J36">
        <f ca="1">IF(AND(ISNUMBER($J$1160),$B$1132=1),$J$1160,HLOOKUP(INDIRECT(ADDRESS(2,COLUMN())),OFFSET($K$2,0,0,ROW()-1,5),ROW()-1,FALSE))</f>
        <v>6.0863198240000003</v>
      </c>
      <c r="K36">
        <f>4.462529785</f>
        <v>4.4625297850000001</v>
      </c>
      <c r="L36">
        <f>4.134669922</f>
        <v>4.1346699219999996</v>
      </c>
      <c r="M36">
        <f>4.301939941</f>
        <v>4.3019399409999997</v>
      </c>
      <c r="N36">
        <f>5.971669922</f>
        <v>5.9716699220000002</v>
      </c>
      <c r="O36">
        <f>6.086319824</f>
        <v>6.0863198240000003</v>
      </c>
    </row>
    <row r="37" spans="1:15" x14ac:dyDescent="0.25">
      <c r="A37" t="str">
        <f>"                    Great Wall Motor Co Ltd"</f>
        <v xml:space="preserve">                    Great Wall Motor Co Ltd</v>
      </c>
      <c r="B37" t="str">
        <f>"2333 HK Equity"</f>
        <v>2333 HK Equity</v>
      </c>
      <c r="C37" t="str">
        <f t="shared" si="3"/>
        <v>F0946</v>
      </c>
      <c r="D37" t="str">
        <f t="shared" si="4"/>
        <v>TOTAL_GHG_CO2_EMISSIONS</v>
      </c>
      <c r="E37" t="str">
        <f t="shared" si="5"/>
        <v>Dynamic</v>
      </c>
      <c r="F37">
        <f ca="1">IF(AND(ISNUMBER($F$1161),$B$1132=1),$F$1161,HLOOKUP(INDIRECT(ADDRESS(2,COLUMN())),OFFSET($K$2,0,0,ROW()-1,5),ROW()-1,FALSE))</f>
        <v>1.058420044</v>
      </c>
      <c r="G37">
        <f ca="1">IF(AND(ISNUMBER($G$1161),$B$1132=1),$G$1161,HLOOKUP(INDIRECT(ADDRESS(2,COLUMN())),OFFSET($K$2,0,0,ROW()-1,5),ROW()-1,FALSE))</f>
        <v>1.27923999</v>
      </c>
      <c r="H37">
        <f ca="1">IF(AND(ISNUMBER($H$1161),$B$1132=1),$H$1161,HLOOKUP(INDIRECT(ADDRESS(2,COLUMN())),OFFSET($K$2,0,0,ROW()-1,5),ROW()-1,FALSE))</f>
        <v>1.2707099610000001</v>
      </c>
      <c r="I37">
        <f ca="1">IF(AND(ISNUMBER($I$1161),$B$1132=1),$I$1161,HLOOKUP(INDIRECT(ADDRESS(2,COLUMN())),OFFSET($K$2,0,0,ROW()-1,5),ROW()-1,FALSE))</f>
        <v>1.2910899659999999</v>
      </c>
      <c r="J37">
        <f ca="1">IF(AND(ISNUMBER($J$1161),$B$1132=1),$J$1161,HLOOKUP(INDIRECT(ADDRESS(2,COLUMN())),OFFSET($K$2,0,0,ROW()-1,5),ROW()-1,FALSE))</f>
        <v>1.3538000489999999</v>
      </c>
      <c r="K37">
        <f>1.058420044</f>
        <v>1.058420044</v>
      </c>
      <c r="L37">
        <f>1.27923999</f>
        <v>1.27923999</v>
      </c>
      <c r="M37">
        <f>1.270709961</f>
        <v>1.2707099610000001</v>
      </c>
      <c r="N37">
        <f>1.291089966</f>
        <v>1.2910899659999999</v>
      </c>
      <c r="O37">
        <f>1.353800049</f>
        <v>1.3538000489999999</v>
      </c>
    </row>
    <row r="38" spans="1:15" x14ac:dyDescent="0.25">
      <c r="A38" t="str">
        <f>"                    Guangzhou Automobile Group Co"</f>
        <v xml:space="preserve">                    Guangzhou Automobile Group Co</v>
      </c>
      <c r="B38" t="str">
        <f>"2238 HK Equity"</f>
        <v>2238 HK Equity</v>
      </c>
      <c r="C38" t="str">
        <f t="shared" si="3"/>
        <v>F0946</v>
      </c>
      <c r="D38" t="str">
        <f t="shared" si="4"/>
        <v>TOTAL_GHG_CO2_EMISSIONS</v>
      </c>
      <c r="E38" t="str">
        <f t="shared" si="5"/>
        <v>Dynamic</v>
      </c>
      <c r="F38">
        <f ca="1">IF(AND(ISNUMBER($F$1162),$B$1132=1),$F$1162,HLOOKUP(INDIRECT(ADDRESS(2,COLUMN())),OFFSET($K$2,0,0,ROW()-1,5),ROW()-1,FALSE))</f>
        <v>1.3294100339999999</v>
      </c>
      <c r="G38">
        <f ca="1">IF(AND(ISNUMBER($G$1162),$B$1132=1),$G$1162,HLOOKUP(INDIRECT(ADDRESS(2,COLUMN())),OFFSET($K$2,0,0,ROW()-1,5),ROW()-1,FALSE))</f>
        <v>1.019570007</v>
      </c>
      <c r="H38">
        <f ca="1">IF(AND(ISNUMBER($H$1162),$B$1132=1),$H$1162,HLOOKUP(INDIRECT(ADDRESS(2,COLUMN())),OFFSET($K$2,0,0,ROW()-1,5),ROW()-1,FALSE))</f>
        <v>1.52851001</v>
      </c>
      <c r="I38">
        <f ca="1">IF(AND(ISNUMBER($I$1162),$B$1132=1),$I$1162,HLOOKUP(INDIRECT(ADDRESS(2,COLUMN())),OFFSET($K$2,0,0,ROW()-1,5),ROW()-1,FALSE))</f>
        <v>0.75219598399999998</v>
      </c>
      <c r="J38" t="str">
        <f ca="1">IF(AND(ISNUMBER($J$1162),$B$1132=1),$J$1162,HLOOKUP(INDIRECT(ADDRESS(2,COLUMN())),OFFSET($K$2,0,0,ROW()-1,5),ROW()-1,FALSE))</f>
        <v/>
      </c>
      <c r="K38">
        <f>1.329410034</f>
        <v>1.3294100339999999</v>
      </c>
      <c r="L38">
        <f>1.019570007</f>
        <v>1.019570007</v>
      </c>
      <c r="M38">
        <f>1.52851001</f>
        <v>1.52851001</v>
      </c>
      <c r="N38">
        <f>0.752195984</f>
        <v>0.75219598399999998</v>
      </c>
      <c r="O38" t="str">
        <f>""</f>
        <v/>
      </c>
    </row>
    <row r="39" spans="1:15" x14ac:dyDescent="0.25">
      <c r="A39" t="str">
        <f>"                    Hyundai Motor Co"</f>
        <v xml:space="preserve">                    Hyundai Motor Co</v>
      </c>
      <c r="B39" t="str">
        <f>"005380 KS Equity"</f>
        <v>005380 KS Equity</v>
      </c>
      <c r="C39" t="str">
        <f t="shared" si="3"/>
        <v>F0946</v>
      </c>
      <c r="D39" t="str">
        <f t="shared" si="4"/>
        <v>TOTAL_GHG_CO2_EMISSIONS</v>
      </c>
      <c r="E39" t="str">
        <f t="shared" si="5"/>
        <v>Dynamic</v>
      </c>
      <c r="F39" t="str">
        <f ca="1">IF(AND(ISNUMBER($F$1163),$B$1132=1),$F$1163,HLOOKUP(INDIRECT(ADDRESS(2,COLUMN())),OFFSET($K$2,0,0,ROW()-1,5),ROW()-1,FALSE))</f>
        <v/>
      </c>
      <c r="G39">
        <f ca="1">IF(AND(ISNUMBER($G$1163),$B$1132=1),$G$1163,HLOOKUP(INDIRECT(ADDRESS(2,COLUMN())),OFFSET($K$2,0,0,ROW()-1,5),ROW()-1,FALSE))</f>
        <v>2.3841999509999998</v>
      </c>
      <c r="H39">
        <f ca="1">IF(AND(ISNUMBER($H$1163),$B$1132=1),$H$1163,HLOOKUP(INDIRECT(ADDRESS(2,COLUMN())),OFFSET($K$2,0,0,ROW()-1,5),ROW()-1,FALSE))</f>
        <v>2.3963200680000001</v>
      </c>
      <c r="I39">
        <f ca="1">IF(AND(ISNUMBER($I$1163),$B$1132=1),$I$1163,HLOOKUP(INDIRECT(ADDRESS(2,COLUMN())),OFFSET($K$2,0,0,ROW()-1,5),ROW()-1,FALSE))</f>
        <v>2.709090088</v>
      </c>
      <c r="J39">
        <f ca="1">IF(AND(ISNUMBER($J$1163),$B$1132=1),$J$1163,HLOOKUP(INDIRECT(ADDRESS(2,COLUMN())),OFFSET($K$2,0,0,ROW()-1,5),ROW()-1,FALSE))</f>
        <v>2.7513100590000001</v>
      </c>
      <c r="K39" t="str">
        <f>""</f>
        <v/>
      </c>
      <c r="L39">
        <f>2.384199951</f>
        <v>2.3841999509999998</v>
      </c>
      <c r="M39">
        <f>2.396320068</f>
        <v>2.3963200680000001</v>
      </c>
      <c r="N39">
        <f>2.709090088</f>
        <v>2.709090088</v>
      </c>
      <c r="O39">
        <f>2.751310059</f>
        <v>2.7513100590000001</v>
      </c>
    </row>
    <row r="40" spans="1:15" x14ac:dyDescent="0.25">
      <c r="A40" t="str">
        <f>"                    Honda Motor Co Ltd"</f>
        <v xml:space="preserve">                    Honda Motor Co Ltd</v>
      </c>
      <c r="B40" t="str">
        <f>"7267 JP Equity"</f>
        <v>7267 JP Equity</v>
      </c>
      <c r="C40" t="str">
        <f t="shared" si="3"/>
        <v>F0946</v>
      </c>
      <c r="D40" t="str">
        <f t="shared" si="4"/>
        <v>TOTAL_GHG_CO2_EMISSIONS</v>
      </c>
      <c r="E40" t="str">
        <f t="shared" si="5"/>
        <v>Dynamic</v>
      </c>
      <c r="F40" t="str">
        <f ca="1">IF(AND(ISNUMBER($F$1164),$B$1132=1),$F$1164,HLOOKUP(INDIRECT(ADDRESS(2,COLUMN())),OFFSET($K$2,0,0,ROW()-1,5),ROW()-1,FALSE))</f>
        <v/>
      </c>
      <c r="G40">
        <f ca="1">IF(AND(ISNUMBER($G$1164),$B$1132=1),$G$1164,HLOOKUP(INDIRECT(ADDRESS(2,COLUMN())),OFFSET($K$2,0,0,ROW()-1,5),ROW()-1,FALSE))</f>
        <v>4.4053598630000002</v>
      </c>
      <c r="H40">
        <f ca="1">IF(AND(ISNUMBER($H$1164),$B$1132=1),$H$1164,HLOOKUP(INDIRECT(ADDRESS(2,COLUMN())),OFFSET($K$2,0,0,ROW()-1,5),ROW()-1,FALSE))</f>
        <v>4.17</v>
      </c>
      <c r="I40" t="str">
        <f ca="1">IF(AND(ISNUMBER($I$1164),$B$1132=1),$I$1164,HLOOKUP(INDIRECT(ADDRESS(2,COLUMN())),OFFSET($K$2,0,0,ROW()-1,5),ROW()-1,FALSE))</f>
        <v/>
      </c>
      <c r="J40" t="str">
        <f ca="1">IF(AND(ISNUMBER($J$1164),$B$1132=1),$J$1164,HLOOKUP(INDIRECT(ADDRESS(2,COLUMN())),OFFSET($K$2,0,0,ROW()-1,5),ROW()-1,FALSE))</f>
        <v/>
      </c>
      <c r="K40" t="str">
        <f>""</f>
        <v/>
      </c>
      <c r="L40">
        <f>4.405359863</f>
        <v>4.4053598630000002</v>
      </c>
      <c r="M40">
        <f>4.17</f>
        <v>4.17</v>
      </c>
      <c r="N40" t="str">
        <f>""</f>
        <v/>
      </c>
      <c r="O40" t="str">
        <f>""</f>
        <v/>
      </c>
    </row>
    <row r="41" spans="1:15" x14ac:dyDescent="0.25">
      <c r="A41" t="str">
        <f>"                    Isuzu Motors Ltd"</f>
        <v xml:space="preserve">                    Isuzu Motors Ltd</v>
      </c>
      <c r="B41" t="str">
        <f>"7202 JP Equity"</f>
        <v>7202 JP Equity</v>
      </c>
      <c r="C41" t="str">
        <f t="shared" si="3"/>
        <v>F0946</v>
      </c>
      <c r="D41" t="str">
        <f t="shared" si="4"/>
        <v>TOTAL_GHG_CO2_EMISSIONS</v>
      </c>
      <c r="E41" t="str">
        <f t="shared" si="5"/>
        <v>Dynamic</v>
      </c>
      <c r="F41" t="str">
        <f ca="1">IF(AND(ISNUMBER($F$1165),$B$1132=1),$F$1165,HLOOKUP(INDIRECT(ADDRESS(2,COLUMN())),OFFSET($K$2,0,0,ROW()-1,5),ROW()-1,FALSE))</f>
        <v/>
      </c>
      <c r="G41">
        <f ca="1">IF(AND(ISNUMBER($G$1165),$B$1132=1),$G$1165,HLOOKUP(INDIRECT(ADDRESS(2,COLUMN())),OFFSET($K$2,0,0,ROW()-1,5),ROW()-1,FALSE))</f>
        <v>0.28092199699999998</v>
      </c>
      <c r="H41">
        <f ca="1">IF(AND(ISNUMBER($H$1165),$B$1132=1),$H$1165,HLOOKUP(INDIRECT(ADDRESS(2,COLUMN())),OFFSET($K$2,0,0,ROW()-1,5),ROW()-1,FALSE))</f>
        <v>0.24572000099999999</v>
      </c>
      <c r="I41">
        <f ca="1">IF(AND(ISNUMBER($I$1165),$B$1132=1),$I$1165,HLOOKUP(INDIRECT(ADDRESS(2,COLUMN())),OFFSET($K$2,0,0,ROW()-1,5),ROW()-1,FALSE))</f>
        <v>0.42499999999999999</v>
      </c>
      <c r="J41">
        <f ca="1">IF(AND(ISNUMBER($J$1165),$B$1132=1),$J$1165,HLOOKUP(INDIRECT(ADDRESS(2,COLUMN())),OFFSET($K$2,0,0,ROW()-1,5),ROW()-1,FALSE))</f>
        <v>0.63500000000000001</v>
      </c>
      <c r="K41" t="str">
        <f>""</f>
        <v/>
      </c>
      <c r="L41">
        <f>0.280921997</f>
        <v>0.28092199699999998</v>
      </c>
      <c r="M41">
        <f>0.245720001</f>
        <v>0.24572000099999999</v>
      </c>
      <c r="N41">
        <f>0.425</f>
        <v>0.42499999999999999</v>
      </c>
      <c r="O41">
        <f>0.635</f>
        <v>0.63500000000000001</v>
      </c>
    </row>
    <row r="42" spans="1:15" x14ac:dyDescent="0.25">
      <c r="A42" t="str">
        <f>"                    Kia Corp"</f>
        <v xml:space="preserve">                    Kia Corp</v>
      </c>
      <c r="B42" t="str">
        <f>"000270 KS Equity"</f>
        <v>000270 KS Equity</v>
      </c>
      <c r="C42" t="str">
        <f t="shared" si="3"/>
        <v>F0946</v>
      </c>
      <c r="D42" t="str">
        <f t="shared" si="4"/>
        <v>TOTAL_GHG_CO2_EMISSIONS</v>
      </c>
      <c r="E42" t="str">
        <f t="shared" si="5"/>
        <v>Dynamic</v>
      </c>
      <c r="F42" t="str">
        <f ca="1">IF(AND(ISNUMBER($F$1166),$B$1132=1),$F$1166,HLOOKUP(INDIRECT(ADDRESS(2,COLUMN())),OFFSET($K$2,0,0,ROW()-1,5),ROW()-1,FALSE))</f>
        <v/>
      </c>
      <c r="G42">
        <f ca="1">IF(AND(ISNUMBER($G$1166),$B$1132=1),$G$1166,HLOOKUP(INDIRECT(ADDRESS(2,COLUMN())),OFFSET($K$2,0,0,ROW()-1,5),ROW()-1,FALSE))</f>
        <v>1.1391999509999999</v>
      </c>
      <c r="H42">
        <f ca="1">IF(AND(ISNUMBER($H$1166),$B$1132=1),$H$1166,HLOOKUP(INDIRECT(ADDRESS(2,COLUMN())),OFFSET($K$2,0,0,ROW()-1,5),ROW()-1,FALSE))</f>
        <v>1.194</v>
      </c>
      <c r="I42">
        <f ca="1">IF(AND(ISNUMBER($I$1166),$B$1132=1),$I$1166,HLOOKUP(INDIRECT(ADDRESS(2,COLUMN())),OFFSET($K$2,0,0,ROW()-1,5),ROW()-1,FALSE))</f>
        <v>1.2070999760000001</v>
      </c>
      <c r="J42">
        <f ca="1">IF(AND(ISNUMBER($J$1166),$B$1132=1),$J$1166,HLOOKUP(INDIRECT(ADDRESS(2,COLUMN())),OFFSET($K$2,0,0,ROW()-1,5),ROW()-1,FALSE))</f>
        <v>1.151</v>
      </c>
      <c r="K42" t="str">
        <f>""</f>
        <v/>
      </c>
      <c r="L42">
        <f>1.139199951</f>
        <v>1.1391999509999999</v>
      </c>
      <c r="M42">
        <f>1.194</f>
        <v>1.194</v>
      </c>
      <c r="N42">
        <f>1.207099976</f>
        <v>1.2070999760000001</v>
      </c>
      <c r="O42">
        <f>1.151</f>
        <v>1.151</v>
      </c>
    </row>
    <row r="43" spans="1:15" x14ac:dyDescent="0.25">
      <c r="A43" t="str">
        <f>"                    Li Auto Inc"</f>
        <v xml:space="preserve">                    Li Auto Inc</v>
      </c>
      <c r="B43" t="str">
        <f>"LI US Equity"</f>
        <v>LI US Equity</v>
      </c>
      <c r="C43" t="str">
        <f t="shared" si="3"/>
        <v>F0946</v>
      </c>
      <c r="D43" t="str">
        <f t="shared" si="4"/>
        <v>TOTAL_GHG_CO2_EMISSIONS</v>
      </c>
      <c r="E43" t="str">
        <f t="shared" si="5"/>
        <v>Dynamic</v>
      </c>
      <c r="F43">
        <f ca="1">IF(AND(ISNUMBER($F$1167),$B$1132=1),$F$1167,HLOOKUP(INDIRECT(ADDRESS(2,COLUMN())),OFFSET($K$2,0,0,ROW()-1,5),ROW()-1,FALSE))</f>
        <v>7.55102E-2</v>
      </c>
      <c r="G43">
        <f ca="1">IF(AND(ISNUMBER($G$1167),$B$1132=1),$G$1167,HLOOKUP(INDIRECT(ADDRESS(2,COLUMN())),OFFSET($K$2,0,0,ROW()-1,5),ROW()-1,FALSE))</f>
        <v>5.4882899999999998E-2</v>
      </c>
      <c r="H43" t="str">
        <f ca="1">IF(AND(ISNUMBER($H$1167),$B$1132=1),$H$1167,HLOOKUP(INDIRECT(ADDRESS(2,COLUMN())),OFFSET($K$2,0,0,ROW()-1,5),ROW()-1,FALSE))</f>
        <v/>
      </c>
      <c r="I43" t="str">
        <f ca="1">IF(AND(ISNUMBER($I$1167),$B$1132=1),$I$1167,HLOOKUP(INDIRECT(ADDRESS(2,COLUMN())),OFFSET($K$2,0,0,ROW()-1,5),ROW()-1,FALSE))</f>
        <v/>
      </c>
      <c r="J43" t="str">
        <f ca="1">IF(AND(ISNUMBER($J$1167),$B$1132=1),$J$1167,HLOOKUP(INDIRECT(ADDRESS(2,COLUMN())),OFFSET($K$2,0,0,ROW()-1,5),ROW()-1,FALSE))</f>
        <v/>
      </c>
      <c r="K43">
        <f>0.0755102</f>
        <v>7.55102E-2</v>
      </c>
      <c r="L43">
        <f>0.0548829</f>
        <v>5.4882899999999998E-2</v>
      </c>
      <c r="M43" t="str">
        <f>""</f>
        <v/>
      </c>
      <c r="N43" t="str">
        <f>""</f>
        <v/>
      </c>
      <c r="O43" t="str">
        <f>""</f>
        <v/>
      </c>
    </row>
    <row r="44" spans="1:15" x14ac:dyDescent="0.25">
      <c r="A44" t="str">
        <f>"                    Lucid Group Inc"</f>
        <v xml:space="preserve">                    Lucid Group Inc</v>
      </c>
      <c r="B44" t="str">
        <f>"LCID US Equity"</f>
        <v>LCID US Equity</v>
      </c>
      <c r="C44" t="str">
        <f t="shared" si="3"/>
        <v>F0946</v>
      </c>
      <c r="D44" t="str">
        <f t="shared" si="4"/>
        <v>TOTAL_GHG_CO2_EMISSIONS</v>
      </c>
      <c r="E44" t="str">
        <f t="shared" si="5"/>
        <v>Dynamic</v>
      </c>
      <c r="F44" t="str">
        <f ca="1">IF(AND(ISNUMBER($F$1168),$B$1132=1),$F$1168,HLOOKUP(INDIRECT(ADDRESS(2,COLUMN())),OFFSET($K$2,0,0,ROW()-1,5),ROW()-1,FALSE))</f>
        <v/>
      </c>
      <c r="G44" t="str">
        <f ca="1">IF(AND(ISNUMBER($G$1168),$B$1132=1),$G$1168,HLOOKUP(INDIRECT(ADDRESS(2,COLUMN())),OFFSET($K$2,0,0,ROW()-1,5),ROW()-1,FALSE))</f>
        <v/>
      </c>
      <c r="H44" t="str">
        <f ca="1">IF(AND(ISNUMBER($H$1168),$B$1132=1),$H$1168,HLOOKUP(INDIRECT(ADDRESS(2,COLUMN())),OFFSET($K$2,0,0,ROW()-1,5),ROW()-1,FALSE))</f>
        <v/>
      </c>
      <c r="I44" t="str">
        <f ca="1">IF(AND(ISNUMBER($I$1168),$B$1132=1),$I$1168,HLOOKUP(INDIRECT(ADDRESS(2,COLUMN())),OFFSET($K$2,0,0,ROW()-1,5),ROW()-1,FALSE))</f>
        <v/>
      </c>
      <c r="J44" t="str">
        <f ca="1">IF(AND(ISNUMBER($J$1168),$B$1132=1),$J$1168,HLOOKUP(INDIRECT(ADDRESS(2,COLUMN())),OFFSET($K$2,0,0,ROW()-1,5),ROW()-1,FALSE))</f>
        <v/>
      </c>
      <c r="K44" t="str">
        <f>""</f>
        <v/>
      </c>
      <c r="L44" t="str">
        <f>""</f>
        <v/>
      </c>
      <c r="M44" t="str">
        <f>""</f>
        <v/>
      </c>
      <c r="N44" t="str">
        <f>""</f>
        <v/>
      </c>
      <c r="O44" t="str">
        <f>""</f>
        <v/>
      </c>
    </row>
    <row r="45" spans="1:15" x14ac:dyDescent="0.25">
      <c r="A45" t="str">
        <f>"                    Mahindra &amp; Mahindra Ltd"</f>
        <v xml:space="preserve">                    Mahindra &amp; Mahindra Ltd</v>
      </c>
      <c r="B45" t="str">
        <f>"MM IN Equity"</f>
        <v>MM IN Equity</v>
      </c>
      <c r="C45" t="str">
        <f t="shared" si="3"/>
        <v>F0946</v>
      </c>
      <c r="D45" t="str">
        <f t="shared" si="4"/>
        <v>TOTAL_GHG_CO2_EMISSIONS</v>
      </c>
      <c r="E45" t="str">
        <f t="shared" si="5"/>
        <v>Dynamic</v>
      </c>
      <c r="F45" t="str">
        <f ca="1">IF(AND(ISNUMBER($F$1169),$B$1132=1),$F$1169,HLOOKUP(INDIRECT(ADDRESS(2,COLUMN())),OFFSET($K$2,0,0,ROW()-1,5),ROW()-1,FALSE))</f>
        <v/>
      </c>
      <c r="G45">
        <f ca="1">IF(AND(ISNUMBER($G$1169),$B$1132=1),$G$1169,HLOOKUP(INDIRECT(ADDRESS(2,COLUMN())),OFFSET($K$2,0,0,ROW()-1,5),ROW()-1,FALSE))</f>
        <v>0</v>
      </c>
      <c r="H45">
        <f ca="1">IF(AND(ISNUMBER($H$1169),$B$1132=1),$H$1169,HLOOKUP(INDIRECT(ADDRESS(2,COLUMN())),OFFSET($K$2,0,0,ROW()-1,5),ROW()-1,FALSE))</f>
        <v>0.31402300999999999</v>
      </c>
      <c r="I45">
        <f ca="1">IF(AND(ISNUMBER($I$1169),$B$1132=1),$I$1169,HLOOKUP(INDIRECT(ADDRESS(2,COLUMN())),OFFSET($K$2,0,0,ROW()-1,5),ROW()-1,FALSE))</f>
        <v>0.34870300300000001</v>
      </c>
      <c r="J45">
        <f ca="1">IF(AND(ISNUMBER($J$1169),$B$1132=1),$J$1169,HLOOKUP(INDIRECT(ADDRESS(2,COLUMN())),OFFSET($K$2,0,0,ROW()-1,5),ROW()-1,FALSE))</f>
        <v>0.40156201200000002</v>
      </c>
      <c r="K45" t="str">
        <f>""</f>
        <v/>
      </c>
      <c r="L45">
        <f>0</f>
        <v>0</v>
      </c>
      <c r="M45">
        <f>0.31402301</f>
        <v>0.31402300999999999</v>
      </c>
      <c r="N45">
        <f>0.348703003</f>
        <v>0.34870300300000001</v>
      </c>
      <c r="O45">
        <f>0.401562012</f>
        <v>0.40156201200000002</v>
      </c>
    </row>
    <row r="46" spans="1:15" x14ac:dyDescent="0.25">
      <c r="A46" t="str">
        <f>"                    Maruti Suzuki India Ltd"</f>
        <v xml:space="preserve">                    Maruti Suzuki India Ltd</v>
      </c>
      <c r="B46" t="str">
        <f>"MSIL IN Equity"</f>
        <v>MSIL IN Equity</v>
      </c>
      <c r="C46" t="str">
        <f t="shared" si="3"/>
        <v>F0946</v>
      </c>
      <c r="D46" t="str">
        <f t="shared" si="4"/>
        <v>TOTAL_GHG_CO2_EMISSIONS</v>
      </c>
      <c r="E46" t="str">
        <f t="shared" si="5"/>
        <v>Dynamic</v>
      </c>
      <c r="F46" t="str">
        <f ca="1">IF(AND(ISNUMBER($F$1170),$B$1132=1),$F$1170,HLOOKUP(INDIRECT(ADDRESS(2,COLUMN())),OFFSET($K$2,0,0,ROW()-1,5),ROW()-1,FALSE))</f>
        <v/>
      </c>
      <c r="G46">
        <f ca="1">IF(AND(ISNUMBER($G$1170),$B$1132=1),$G$1170,HLOOKUP(INDIRECT(ADDRESS(2,COLUMN())),OFFSET($K$2,0,0,ROW()-1,5),ROW()-1,FALSE))</f>
        <v>0.41812298599999997</v>
      </c>
      <c r="H46">
        <f ca="1">IF(AND(ISNUMBER($H$1170),$B$1132=1),$H$1170,HLOOKUP(INDIRECT(ADDRESS(2,COLUMN())),OFFSET($K$2,0,0,ROW()-1,5),ROW()-1,FALSE))</f>
        <v>0.39109600799999999</v>
      </c>
      <c r="I46">
        <f ca="1">IF(AND(ISNUMBER($I$1170),$B$1132=1),$I$1170,HLOOKUP(INDIRECT(ADDRESS(2,COLUMN())),OFFSET($K$2,0,0,ROW()-1,5),ROW()-1,FALSE))</f>
        <v>0.41203698700000002</v>
      </c>
      <c r="J46">
        <f ca="1">IF(AND(ISNUMBER($J$1170),$B$1132=1),$J$1170,HLOOKUP(INDIRECT(ADDRESS(2,COLUMN())),OFFSET($K$2,0,0,ROW()-1,5),ROW()-1,FALSE))</f>
        <v>0.455765015</v>
      </c>
      <c r="K46" t="str">
        <f>""</f>
        <v/>
      </c>
      <c r="L46">
        <f>0.418122986</f>
        <v>0.41812298599999997</v>
      </c>
      <c r="M46">
        <f>0.391096008</f>
        <v>0.39109600799999999</v>
      </c>
      <c r="N46">
        <f>0.412036987</f>
        <v>0.41203698700000002</v>
      </c>
      <c r="O46">
        <f>0.455765015</f>
        <v>0.455765015</v>
      </c>
    </row>
    <row r="47" spans="1:15" x14ac:dyDescent="0.25">
      <c r="A47" t="str">
        <f>"                    Mitsubishi Motors Corp"</f>
        <v xml:space="preserve">                    Mitsubishi Motors Corp</v>
      </c>
      <c r="B47" t="str">
        <f>"7211 JP Equity"</f>
        <v>7211 JP Equity</v>
      </c>
      <c r="C47" t="str">
        <f t="shared" si="3"/>
        <v>F0946</v>
      </c>
      <c r="D47" t="str">
        <f t="shared" si="4"/>
        <v>TOTAL_GHG_CO2_EMISSIONS</v>
      </c>
      <c r="E47" t="str">
        <f t="shared" si="5"/>
        <v>Dynamic</v>
      </c>
      <c r="F47" t="str">
        <f ca="1">IF(AND(ISNUMBER($F$1171),$B$1132=1),$F$1171,HLOOKUP(INDIRECT(ADDRESS(2,COLUMN())),OFFSET($K$2,0,0,ROW()-1,5),ROW()-1,FALSE))</f>
        <v/>
      </c>
      <c r="G47">
        <f ca="1">IF(AND(ISNUMBER($G$1171),$B$1132=1),$G$1171,HLOOKUP(INDIRECT(ADDRESS(2,COLUMN())),OFFSET($K$2,0,0,ROW()-1,5),ROW()-1,FALSE))</f>
        <v>0.39738000499999998</v>
      </c>
      <c r="H47">
        <f ca="1">IF(AND(ISNUMBER($H$1171),$B$1132=1),$H$1171,HLOOKUP(INDIRECT(ADDRESS(2,COLUMN())),OFFSET($K$2,0,0,ROW()-1,5),ROW()-1,FALSE))</f>
        <v>0.35923199500000003</v>
      </c>
      <c r="I47">
        <f ca="1">IF(AND(ISNUMBER($I$1171),$B$1132=1),$I$1171,HLOOKUP(INDIRECT(ADDRESS(2,COLUMN())),OFFSET($K$2,0,0,ROW()-1,5),ROW()-1,FALSE))</f>
        <v>0.52600000000000002</v>
      </c>
      <c r="J47">
        <f ca="1">IF(AND(ISNUMBER($J$1171),$B$1132=1),$J$1171,HLOOKUP(INDIRECT(ADDRESS(2,COLUMN())),OFFSET($K$2,0,0,ROW()-1,5),ROW()-1,FALSE))</f>
        <v>0.58799999999999997</v>
      </c>
      <c r="K47" t="str">
        <f>""</f>
        <v/>
      </c>
      <c r="L47">
        <f>0.397380005</f>
        <v>0.39738000499999998</v>
      </c>
      <c r="M47">
        <f>0.359231995</f>
        <v>0.35923199500000003</v>
      </c>
      <c r="N47">
        <f>0.526</f>
        <v>0.52600000000000002</v>
      </c>
      <c r="O47">
        <f>0.588</f>
        <v>0.58799999999999997</v>
      </c>
    </row>
    <row r="48" spans="1:15" x14ac:dyDescent="0.25">
      <c r="A48" t="str">
        <f>"                    Mazda Motor Corp"</f>
        <v xml:space="preserve">                    Mazda Motor Corp</v>
      </c>
      <c r="B48" t="str">
        <f>"7261 JP Equity"</f>
        <v>7261 JP Equity</v>
      </c>
      <c r="C48" t="str">
        <f t="shared" si="3"/>
        <v>F0946</v>
      </c>
      <c r="D48" t="str">
        <f t="shared" si="4"/>
        <v>TOTAL_GHG_CO2_EMISSIONS</v>
      </c>
      <c r="E48" t="str">
        <f t="shared" si="5"/>
        <v>Dynamic</v>
      </c>
      <c r="F48" t="str">
        <f ca="1">IF(AND(ISNUMBER($F$1172),$B$1132=1),$F$1172,HLOOKUP(INDIRECT(ADDRESS(2,COLUMN())),OFFSET($K$2,0,0,ROW()-1,5),ROW()-1,FALSE))</f>
        <v/>
      </c>
      <c r="G48">
        <f ca="1">IF(AND(ISNUMBER($G$1172),$B$1132=1),$G$1172,HLOOKUP(INDIRECT(ADDRESS(2,COLUMN())),OFFSET($K$2,0,0,ROW()-1,5),ROW()-1,FALSE))</f>
        <v>0.58852001899999995</v>
      </c>
      <c r="H48">
        <f ca="1">IF(AND(ISNUMBER($H$1172),$B$1132=1),$H$1172,HLOOKUP(INDIRECT(ADDRESS(2,COLUMN())),OFFSET($K$2,0,0,ROW()-1,5),ROW()-1,FALSE))</f>
        <v>0.54604998800000004</v>
      </c>
      <c r="I48">
        <f ca="1">IF(AND(ISNUMBER($I$1172),$B$1132=1),$I$1172,HLOOKUP(INDIRECT(ADDRESS(2,COLUMN())),OFFSET($K$2,0,0,ROW()-1,5),ROW()-1,FALSE))</f>
        <v>0.64800000000000002</v>
      </c>
      <c r="J48">
        <f ca="1">IF(AND(ISNUMBER($J$1172),$B$1132=1),$J$1172,HLOOKUP(INDIRECT(ADDRESS(2,COLUMN())),OFFSET($K$2,0,0,ROW()-1,5),ROW()-1,FALSE))</f>
        <v>0.70499999999999996</v>
      </c>
      <c r="K48" t="str">
        <f>""</f>
        <v/>
      </c>
      <c r="L48">
        <f>0.588520019</f>
        <v>0.58852001899999995</v>
      </c>
      <c r="M48">
        <f>0.546049988</f>
        <v>0.54604998800000004</v>
      </c>
      <c r="N48">
        <f>0.648</f>
        <v>0.64800000000000002</v>
      </c>
      <c r="O48">
        <f>0.705</f>
        <v>0.70499999999999996</v>
      </c>
    </row>
    <row r="49" spans="1:15" x14ac:dyDescent="0.25">
      <c r="A49" t="str">
        <f>"                    Mercedes-Benz Group AG"</f>
        <v xml:space="preserve">                    Mercedes-Benz Group AG</v>
      </c>
      <c r="B49" t="str">
        <f>"MBG GR Equity"</f>
        <v>MBG GR Equity</v>
      </c>
      <c r="C49" t="str">
        <f t="shared" si="3"/>
        <v>F0946</v>
      </c>
      <c r="D49" t="str">
        <f t="shared" si="4"/>
        <v>TOTAL_GHG_CO2_EMISSIONS</v>
      </c>
      <c r="E49" t="str">
        <f t="shared" si="5"/>
        <v>Dynamic</v>
      </c>
      <c r="F49">
        <f ca="1">IF(AND(ISNUMBER($F$1173),$B$1132=1),$F$1173,HLOOKUP(INDIRECT(ADDRESS(2,COLUMN())),OFFSET($K$2,0,0,ROW()-1,5),ROW()-1,FALSE))</f>
        <v>1.69</v>
      </c>
      <c r="G49">
        <f ca="1">IF(AND(ISNUMBER($G$1173),$B$1132=1),$G$1173,HLOOKUP(INDIRECT(ADDRESS(2,COLUMN())),OFFSET($K$2,0,0,ROW()-1,5),ROW()-1,FALSE))</f>
        <v>1.804</v>
      </c>
      <c r="H49">
        <f ca="1">IF(AND(ISNUMBER($H$1173),$B$1132=1),$H$1173,HLOOKUP(INDIRECT(ADDRESS(2,COLUMN())),OFFSET($K$2,0,0,ROW()-1,5),ROW()-1,FALSE))</f>
        <v>2.5190000000000001</v>
      </c>
      <c r="I49">
        <f ca="1">IF(AND(ISNUMBER($I$1173),$B$1132=1),$I$1173,HLOOKUP(INDIRECT(ADDRESS(2,COLUMN())),OFFSET($K$2,0,0,ROW()-1,5),ROW()-1,FALSE))</f>
        <v>2.9449999999999998</v>
      </c>
      <c r="J49">
        <f ca="1">IF(AND(ISNUMBER($J$1173),$B$1132=1),$J$1173,HLOOKUP(INDIRECT(ADDRESS(2,COLUMN())),OFFSET($K$2,0,0,ROW()-1,5),ROW()-1,FALSE))</f>
        <v>3.2320000000000002</v>
      </c>
      <c r="K49">
        <f>1.69</f>
        <v>1.69</v>
      </c>
      <c r="L49">
        <f>1.804</f>
        <v>1.804</v>
      </c>
      <c r="M49">
        <f>2.519</f>
        <v>2.5190000000000001</v>
      </c>
      <c r="N49">
        <f>2.945</f>
        <v>2.9449999999999998</v>
      </c>
      <c r="O49">
        <f>3.232</f>
        <v>3.2320000000000002</v>
      </c>
    </row>
    <row r="50" spans="1:15" x14ac:dyDescent="0.25">
      <c r="A50" t="str">
        <f>"                    NIO Inc"</f>
        <v xml:space="preserve">                    NIO Inc</v>
      </c>
      <c r="B50" t="str">
        <f>"NIO US Equity"</f>
        <v>NIO US Equity</v>
      </c>
      <c r="C50" t="str">
        <f t="shared" si="3"/>
        <v>F0946</v>
      </c>
      <c r="D50" t="str">
        <f t="shared" si="4"/>
        <v>TOTAL_GHG_CO2_EMISSIONS</v>
      </c>
      <c r="E50" t="str">
        <f t="shared" si="5"/>
        <v>Dynamic</v>
      </c>
      <c r="F50" t="str">
        <f ca="1">IF(AND(ISNUMBER($F$1174),$B$1132=1),$F$1174,HLOOKUP(INDIRECT(ADDRESS(2,COLUMN())),OFFSET($K$2,0,0,ROW()-1,5),ROW()-1,FALSE))</f>
        <v/>
      </c>
      <c r="G50">
        <f ca="1">IF(AND(ISNUMBER($G$1174),$B$1132=1),$G$1174,HLOOKUP(INDIRECT(ADDRESS(2,COLUMN())),OFFSET($K$2,0,0,ROW()-1,5),ROW()-1,FALSE))</f>
        <v>5.3847301E-2</v>
      </c>
      <c r="H50" t="str">
        <f ca="1">IF(AND(ISNUMBER($H$1174),$B$1132=1),$H$1174,HLOOKUP(INDIRECT(ADDRESS(2,COLUMN())),OFFSET($K$2,0,0,ROW()-1,5),ROW()-1,FALSE))</f>
        <v/>
      </c>
      <c r="I50" t="str">
        <f ca="1">IF(AND(ISNUMBER($I$1174),$B$1132=1),$I$1174,HLOOKUP(INDIRECT(ADDRESS(2,COLUMN())),OFFSET($K$2,0,0,ROW()-1,5),ROW()-1,FALSE))</f>
        <v/>
      </c>
      <c r="J50" t="str">
        <f ca="1">IF(AND(ISNUMBER($J$1174),$B$1132=1),$J$1174,HLOOKUP(INDIRECT(ADDRESS(2,COLUMN())),OFFSET($K$2,0,0,ROW()-1,5),ROW()-1,FALSE))</f>
        <v/>
      </c>
      <c r="K50" t="str">
        <f>""</f>
        <v/>
      </c>
      <c r="L50">
        <f>0.053847301</f>
        <v>5.3847301E-2</v>
      </c>
      <c r="M50" t="str">
        <f>""</f>
        <v/>
      </c>
      <c r="N50" t="str">
        <f>""</f>
        <v/>
      </c>
      <c r="O50" t="str">
        <f>""</f>
        <v/>
      </c>
    </row>
    <row r="51" spans="1:15" x14ac:dyDescent="0.25">
      <c r="A51" t="str">
        <f>"                    Nissan Motor Co Ltd"</f>
        <v xml:space="preserve">                    Nissan Motor Co Ltd</v>
      </c>
      <c r="B51" t="str">
        <f>"7201 JP Equity"</f>
        <v>7201 JP Equity</v>
      </c>
      <c r="C51" t="str">
        <f t="shared" si="3"/>
        <v>F0946</v>
      </c>
      <c r="D51" t="str">
        <f t="shared" si="4"/>
        <v>TOTAL_GHG_CO2_EMISSIONS</v>
      </c>
      <c r="E51" t="str">
        <f t="shared" si="5"/>
        <v>Dynamic</v>
      </c>
      <c r="F51" t="str">
        <f ca="1">IF(AND(ISNUMBER($F$1175),$B$1132=1),$F$1175,HLOOKUP(INDIRECT(ADDRESS(2,COLUMN())),OFFSET($K$2,0,0,ROW()-1,5),ROW()-1,FALSE))</f>
        <v/>
      </c>
      <c r="G51">
        <f ca="1">IF(AND(ISNUMBER($G$1175),$B$1132=1),$G$1175,HLOOKUP(INDIRECT(ADDRESS(2,COLUMN())),OFFSET($K$2,0,0,ROW()-1,5),ROW()-1,FALSE))</f>
        <v>2.3086398930000001</v>
      </c>
      <c r="H51">
        <f ca="1">IF(AND(ISNUMBER($H$1175),$B$1132=1),$H$1175,HLOOKUP(INDIRECT(ADDRESS(2,COLUMN())),OFFSET($K$2,0,0,ROW()-1,5),ROW()-1,FALSE))</f>
        <v>3.3196201169999999</v>
      </c>
      <c r="I51">
        <f ca="1">IF(AND(ISNUMBER($I$1175),$B$1132=1),$I$1175,HLOOKUP(INDIRECT(ADDRESS(2,COLUMN())),OFFSET($K$2,0,0,ROW()-1,5),ROW()-1,FALSE))</f>
        <v>2.9386101070000001</v>
      </c>
      <c r="J51">
        <f ca="1">IF(AND(ISNUMBER($J$1175),$B$1132=1),$J$1175,HLOOKUP(INDIRECT(ADDRESS(2,COLUMN())),OFFSET($K$2,0,0,ROW()-1,5),ROW()-1,FALSE))</f>
        <v>3.2293300779999998</v>
      </c>
      <c r="K51" t="str">
        <f>""</f>
        <v/>
      </c>
      <c r="L51">
        <f>2.308639893</f>
        <v>2.3086398930000001</v>
      </c>
      <c r="M51">
        <f>3.319620117</f>
        <v>3.3196201169999999</v>
      </c>
      <c r="N51">
        <f>2.938610107</f>
        <v>2.9386101070000001</v>
      </c>
      <c r="O51">
        <f>3.229330078</f>
        <v>3.2293300779999998</v>
      </c>
    </row>
    <row r="52" spans="1:15" x14ac:dyDescent="0.25">
      <c r="A52" t="str">
        <f>"                    Polestar Automotive Holding UK"</f>
        <v xml:space="preserve">                    Polestar Automotive Holding UK</v>
      </c>
      <c r="B52" t="str">
        <f>"PSNY US Equity"</f>
        <v>PSNY US Equity</v>
      </c>
      <c r="C52" t="str">
        <f t="shared" si="3"/>
        <v>F0946</v>
      </c>
      <c r="D52" t="str">
        <f t="shared" si="4"/>
        <v>TOTAL_GHG_CO2_EMISSIONS</v>
      </c>
      <c r="E52" t="str">
        <f t="shared" si="5"/>
        <v>Dynamic</v>
      </c>
      <c r="F52">
        <f ca="1">IF(AND(ISNUMBER($F$1176),$B$1132=1),$F$1176,HLOOKUP(INDIRECT(ADDRESS(2,COLUMN())),OFFSET($K$2,0,0,ROW()-1,5),ROW()-1,FALSE))</f>
        <v>8.0400000000000003E-3</v>
      </c>
      <c r="G52" t="str">
        <f ca="1">IF(AND(ISNUMBER($G$1176),$B$1132=1),$G$1176,HLOOKUP(INDIRECT(ADDRESS(2,COLUMN())),OFFSET($K$2,0,0,ROW()-1,5),ROW()-1,FALSE))</f>
        <v/>
      </c>
      <c r="H52" t="str">
        <f ca="1">IF(AND(ISNUMBER($H$1176),$B$1132=1),$H$1176,HLOOKUP(INDIRECT(ADDRESS(2,COLUMN())),OFFSET($K$2,0,0,ROW()-1,5),ROW()-1,FALSE))</f>
        <v/>
      </c>
      <c r="I52" t="str">
        <f ca="1">IF(AND(ISNUMBER($I$1176),$B$1132=1),$I$1176,HLOOKUP(INDIRECT(ADDRESS(2,COLUMN())),OFFSET($K$2,0,0,ROW()-1,5),ROW()-1,FALSE))</f>
        <v/>
      </c>
      <c r="J52" t="str">
        <f ca="1">IF(AND(ISNUMBER($J$1176),$B$1132=1),$J$1176,HLOOKUP(INDIRECT(ADDRESS(2,COLUMN())),OFFSET($K$2,0,0,ROW()-1,5),ROW()-1,FALSE))</f>
        <v/>
      </c>
      <c r="K52">
        <f>0.00804</f>
        <v>8.0400000000000003E-3</v>
      </c>
      <c r="L52" t="str">
        <f>""</f>
        <v/>
      </c>
      <c r="M52" t="str">
        <f>""</f>
        <v/>
      </c>
      <c r="N52" t="str">
        <f>""</f>
        <v/>
      </c>
      <c r="O52" t="str">
        <f>""</f>
        <v/>
      </c>
    </row>
    <row r="53" spans="1:15" x14ac:dyDescent="0.25">
      <c r="A53" t="str">
        <f>"                    Renault SA"</f>
        <v xml:space="preserve">                    Renault SA</v>
      </c>
      <c r="B53" t="str">
        <f>"RNO FP Equity"</f>
        <v>RNO FP Equity</v>
      </c>
      <c r="C53" t="str">
        <f t="shared" si="3"/>
        <v>F0946</v>
      </c>
      <c r="D53" t="str">
        <f t="shared" si="4"/>
        <v>TOTAL_GHG_CO2_EMISSIONS</v>
      </c>
      <c r="E53" t="str">
        <f t="shared" si="5"/>
        <v>Dynamic</v>
      </c>
      <c r="F53">
        <f ca="1">IF(AND(ISNUMBER($F$1177),$B$1132=1),$F$1177,HLOOKUP(INDIRECT(ADDRESS(2,COLUMN())),OFFSET($K$2,0,0,ROW()-1,5),ROW()-1,FALSE))</f>
        <v>0.60627197300000002</v>
      </c>
      <c r="G53">
        <f ca="1">IF(AND(ISNUMBER($G$1177),$B$1132=1),$G$1177,HLOOKUP(INDIRECT(ADDRESS(2,COLUMN())),OFFSET($K$2,0,0,ROW()-1,5),ROW()-1,FALSE))</f>
        <v>1.0073400269999999</v>
      </c>
      <c r="H53">
        <f ca="1">IF(AND(ISNUMBER($H$1177),$B$1132=1),$H$1177,HLOOKUP(INDIRECT(ADDRESS(2,COLUMN())),OFFSET($K$2,0,0,ROW()-1,5),ROW()-1,FALSE))</f>
        <v>1.034219971</v>
      </c>
      <c r="I53">
        <f ca="1">IF(AND(ISNUMBER($I$1177),$B$1132=1),$I$1177,HLOOKUP(INDIRECT(ADDRESS(2,COLUMN())),OFFSET($K$2,0,0,ROW()-1,5),ROW()-1,FALSE))</f>
        <v>1.324040039</v>
      </c>
      <c r="J53">
        <f ca="1">IF(AND(ISNUMBER($J$1177),$B$1132=1),$J$1177,HLOOKUP(INDIRECT(ADDRESS(2,COLUMN())),OFFSET($K$2,0,0,ROW()-1,5),ROW()-1,FALSE))</f>
        <v>1.3266099849999999</v>
      </c>
      <c r="K53">
        <f>0.606271973</f>
        <v>0.60627197300000002</v>
      </c>
      <c r="L53">
        <f>1.007340027</f>
        <v>1.0073400269999999</v>
      </c>
      <c r="M53">
        <f>1.034219971</f>
        <v>1.034219971</v>
      </c>
      <c r="N53">
        <f>1.324040039</f>
        <v>1.324040039</v>
      </c>
      <c r="O53">
        <f>1.326609985</f>
        <v>1.3266099849999999</v>
      </c>
    </row>
    <row r="54" spans="1:15" x14ac:dyDescent="0.25">
      <c r="A54" t="str">
        <f>"                    Rivian Automotive Inc"</f>
        <v xml:space="preserve">                    Rivian Automotive Inc</v>
      </c>
      <c r="B54" t="str">
        <f>"RIVN US Equity"</f>
        <v>RIVN US Equity</v>
      </c>
      <c r="C54" t="str">
        <f t="shared" si="3"/>
        <v>F0946</v>
      </c>
      <c r="D54" t="str">
        <f t="shared" si="4"/>
        <v>TOTAL_GHG_CO2_EMISSIONS</v>
      </c>
      <c r="E54" t="str">
        <f t="shared" si="5"/>
        <v>Dynamic</v>
      </c>
      <c r="F54" t="str">
        <f ca="1">IF(AND(ISNUMBER($F$1178),$B$1132=1),$F$1178,HLOOKUP(INDIRECT(ADDRESS(2,COLUMN())),OFFSET($K$2,0,0,ROW()-1,5),ROW()-1,FALSE))</f>
        <v/>
      </c>
      <c r="G54" t="str">
        <f ca="1">IF(AND(ISNUMBER($G$1178),$B$1132=1),$G$1178,HLOOKUP(INDIRECT(ADDRESS(2,COLUMN())),OFFSET($K$2,0,0,ROW()-1,5),ROW()-1,FALSE))</f>
        <v/>
      </c>
      <c r="H54" t="str">
        <f ca="1">IF(AND(ISNUMBER($H$1178),$B$1132=1),$H$1178,HLOOKUP(INDIRECT(ADDRESS(2,COLUMN())),OFFSET($K$2,0,0,ROW()-1,5),ROW()-1,FALSE))</f>
        <v/>
      </c>
      <c r="I54" t="str">
        <f ca="1">IF(AND(ISNUMBER($I$1178),$B$1132=1),$I$1178,HLOOKUP(INDIRECT(ADDRESS(2,COLUMN())),OFFSET($K$2,0,0,ROW()-1,5),ROW()-1,FALSE))</f>
        <v/>
      </c>
      <c r="J54" t="str">
        <f ca="1">IF(AND(ISNUMBER($J$1178),$B$1132=1),$J$1178,HLOOKUP(INDIRECT(ADDRESS(2,COLUMN())),OFFSET($K$2,0,0,ROW()-1,5),ROW()-1,FALSE))</f>
        <v/>
      </c>
      <c r="K54" t="str">
        <f>""</f>
        <v/>
      </c>
      <c r="L54" t="str">
        <f>""</f>
        <v/>
      </c>
      <c r="M54" t="str">
        <f>""</f>
        <v/>
      </c>
      <c r="N54" t="str">
        <f>""</f>
        <v/>
      </c>
      <c r="O54" t="str">
        <f>""</f>
        <v/>
      </c>
    </row>
    <row r="55" spans="1:15" x14ac:dyDescent="0.25">
      <c r="A55" t="str">
        <f>"                    SAIC Motor Corp Ltd"</f>
        <v xml:space="preserve">                    SAIC Motor Corp Ltd</v>
      </c>
      <c r="B55" t="str">
        <f>"600104 CH Equity"</f>
        <v>600104 CH Equity</v>
      </c>
      <c r="C55" t="str">
        <f t="shared" si="3"/>
        <v>F0946</v>
      </c>
      <c r="D55" t="str">
        <f t="shared" si="4"/>
        <v>TOTAL_GHG_CO2_EMISSIONS</v>
      </c>
      <c r="E55" t="str">
        <f t="shared" si="5"/>
        <v>Dynamic</v>
      </c>
      <c r="F55">
        <f ca="1">IF(AND(ISNUMBER($F$1179),$B$1132=1),$F$1179,HLOOKUP(INDIRECT(ADDRESS(2,COLUMN())),OFFSET($K$2,0,0,ROW()-1,5),ROW()-1,FALSE))</f>
        <v>5.31</v>
      </c>
      <c r="G55">
        <f ca="1">IF(AND(ISNUMBER($G$1179),$B$1132=1),$G$1179,HLOOKUP(INDIRECT(ADDRESS(2,COLUMN())),OFFSET($K$2,0,0,ROW()-1,5),ROW()-1,FALSE))</f>
        <v>5.21</v>
      </c>
      <c r="H55">
        <f ca="1">IF(AND(ISNUMBER($H$1179),$B$1132=1),$H$1179,HLOOKUP(INDIRECT(ADDRESS(2,COLUMN())),OFFSET($K$2,0,0,ROW()-1,5),ROW()-1,FALSE))</f>
        <v>5.0199999999999996</v>
      </c>
      <c r="I55">
        <f ca="1">IF(AND(ISNUMBER($I$1179),$B$1132=1),$I$1179,HLOOKUP(INDIRECT(ADDRESS(2,COLUMN())),OFFSET($K$2,0,0,ROW()-1,5),ROW()-1,FALSE))</f>
        <v>5.24</v>
      </c>
      <c r="J55">
        <f ca="1">IF(AND(ISNUMBER($J$1179),$B$1132=1),$J$1179,HLOOKUP(INDIRECT(ADDRESS(2,COLUMN())),OFFSET($K$2,0,0,ROW()-1,5),ROW()-1,FALSE))</f>
        <v>5.75</v>
      </c>
      <c r="K55">
        <f>5.31</f>
        <v>5.31</v>
      </c>
      <c r="L55">
        <f>5.21</f>
        <v>5.21</v>
      </c>
      <c r="M55">
        <f>5.02</f>
        <v>5.0199999999999996</v>
      </c>
      <c r="N55">
        <f>5.24</f>
        <v>5.24</v>
      </c>
      <c r="O55">
        <f>5.75</f>
        <v>5.75</v>
      </c>
    </row>
    <row r="56" spans="1:15" x14ac:dyDescent="0.25">
      <c r="A56" t="str">
        <f>"                    Subaru Corp"</f>
        <v xml:space="preserve">                    Subaru Corp</v>
      </c>
      <c r="B56" t="str">
        <f>"7270 JP Equity"</f>
        <v>7270 JP Equity</v>
      </c>
      <c r="C56" t="str">
        <f t="shared" si="3"/>
        <v>F0946</v>
      </c>
      <c r="D56" t="str">
        <f t="shared" si="4"/>
        <v>TOTAL_GHG_CO2_EMISSIONS</v>
      </c>
      <c r="E56" t="str">
        <f t="shared" si="5"/>
        <v>Dynamic</v>
      </c>
      <c r="F56" t="str">
        <f ca="1">IF(AND(ISNUMBER($F$1180),$B$1132=1),$F$1180,HLOOKUP(INDIRECT(ADDRESS(2,COLUMN())),OFFSET($K$2,0,0,ROW()-1,5),ROW()-1,FALSE))</f>
        <v/>
      </c>
      <c r="G56">
        <f ca="1">IF(AND(ISNUMBER($G$1180),$B$1132=1),$G$1180,HLOOKUP(INDIRECT(ADDRESS(2,COLUMN())),OFFSET($K$2,0,0,ROW()-1,5),ROW()-1,FALSE))</f>
        <v>0.470696014</v>
      </c>
      <c r="H56">
        <f ca="1">IF(AND(ISNUMBER($H$1180),$B$1132=1),$H$1180,HLOOKUP(INDIRECT(ADDRESS(2,COLUMN())),OFFSET($K$2,0,0,ROW()-1,5),ROW()-1,FALSE))</f>
        <v>0.59099999999999997</v>
      </c>
      <c r="I56">
        <f ca="1">IF(AND(ISNUMBER($I$1180),$B$1132=1),$I$1180,HLOOKUP(INDIRECT(ADDRESS(2,COLUMN())),OFFSET($K$2,0,0,ROW()-1,5),ROW()-1,FALSE))</f>
        <v>0.67</v>
      </c>
      <c r="J56">
        <f ca="1">IF(AND(ISNUMBER($J$1180),$B$1132=1),$J$1180,HLOOKUP(INDIRECT(ADDRESS(2,COLUMN())),OFFSET($K$2,0,0,ROW()-1,5),ROW()-1,FALSE))</f>
        <v>0.55500000000000005</v>
      </c>
      <c r="K56" t="str">
        <f>""</f>
        <v/>
      </c>
      <c r="L56">
        <f>0.470696014</f>
        <v>0.470696014</v>
      </c>
      <c r="M56">
        <f>0.591</f>
        <v>0.59099999999999997</v>
      </c>
      <c r="N56">
        <f>0.67</f>
        <v>0.67</v>
      </c>
      <c r="O56">
        <f>0.555</f>
        <v>0.55500000000000005</v>
      </c>
    </row>
    <row r="57" spans="1:15" x14ac:dyDescent="0.25">
      <c r="A57" t="str">
        <f>"                    Stellantis NV"</f>
        <v xml:space="preserve">                    Stellantis NV</v>
      </c>
      <c r="B57" t="str">
        <f>"STLA US Equity"</f>
        <v>STLA US Equity</v>
      </c>
      <c r="C57" t="str">
        <f t="shared" si="3"/>
        <v>F0946</v>
      </c>
      <c r="D57" t="str">
        <f t="shared" si="4"/>
        <v>TOTAL_GHG_CO2_EMISSIONS</v>
      </c>
      <c r="E57" t="str">
        <f t="shared" si="5"/>
        <v>Dynamic</v>
      </c>
      <c r="F57">
        <f ca="1">IF(AND(ISNUMBER($F$1181),$B$1132=1),$F$1181,HLOOKUP(INDIRECT(ADDRESS(2,COLUMN())),OFFSET($K$2,0,0,ROW()-1,5),ROW()-1,FALSE))</f>
        <v>3.4431201169999999</v>
      </c>
      <c r="G57">
        <f ca="1">IF(AND(ISNUMBER($G$1181),$B$1132=1),$G$1181,HLOOKUP(INDIRECT(ADDRESS(2,COLUMN())),OFFSET($K$2,0,0,ROW()-1,5),ROW()-1,FALSE))</f>
        <v>3.8744899899999998</v>
      </c>
      <c r="H57">
        <f ca="1">IF(AND(ISNUMBER($H$1181),$B$1132=1),$H$1181,HLOOKUP(INDIRECT(ADDRESS(2,COLUMN())),OFFSET($K$2,0,0,ROW()-1,5),ROW()-1,FALSE))</f>
        <v>2.8615100099999999</v>
      </c>
      <c r="I57">
        <f ca="1">IF(AND(ISNUMBER($I$1181),$B$1132=1),$I$1181,HLOOKUP(INDIRECT(ADDRESS(2,COLUMN())),OFFSET($K$2,0,0,ROW()-1,5),ROW()-1,FALSE))</f>
        <v>3.3550800779999999</v>
      </c>
      <c r="J57">
        <f ca="1">IF(AND(ISNUMBER($J$1181),$B$1132=1),$J$1181,HLOOKUP(INDIRECT(ADDRESS(2,COLUMN())),OFFSET($K$2,0,0,ROW()-1,5),ROW()-1,FALSE))</f>
        <v>3.9252600100000001</v>
      </c>
      <c r="K57">
        <f>3.443120117</f>
        <v>3.4431201169999999</v>
      </c>
      <c r="L57">
        <f>3.87448999</f>
        <v>3.8744899899999998</v>
      </c>
      <c r="M57">
        <f>2.86151001</f>
        <v>2.8615100099999999</v>
      </c>
      <c r="N57">
        <f>3.355080078</f>
        <v>3.3550800779999999</v>
      </c>
      <c r="O57">
        <f>3.92526001</f>
        <v>3.9252600100000001</v>
      </c>
    </row>
    <row r="58" spans="1:15" x14ac:dyDescent="0.25">
      <c r="A58" t="str">
        <f>"                    Suzuki Motor Corp"</f>
        <v xml:space="preserve">                    Suzuki Motor Corp</v>
      </c>
      <c r="B58" t="str">
        <f>"7269 JP Equity"</f>
        <v>7269 JP Equity</v>
      </c>
      <c r="C58" t="str">
        <f t="shared" si="3"/>
        <v>F0946</v>
      </c>
      <c r="D58" t="str">
        <f t="shared" si="4"/>
        <v>TOTAL_GHG_CO2_EMISSIONS</v>
      </c>
      <c r="E58" t="str">
        <f t="shared" si="5"/>
        <v>Dynamic</v>
      </c>
      <c r="F58" t="str">
        <f ca="1">IF(AND(ISNUMBER($F$1182),$B$1132=1),$F$1182,HLOOKUP(INDIRECT(ADDRESS(2,COLUMN())),OFFSET($K$2,0,0,ROW()-1,5),ROW()-1,FALSE))</f>
        <v/>
      </c>
      <c r="G58">
        <f ca="1">IF(AND(ISNUMBER($G$1182),$B$1132=1),$G$1182,HLOOKUP(INDIRECT(ADDRESS(2,COLUMN())),OFFSET($K$2,0,0,ROW()-1,5),ROW()-1,FALSE))</f>
        <v>1.1100000000000001</v>
      </c>
      <c r="H58">
        <f ca="1">IF(AND(ISNUMBER($H$1182),$B$1132=1),$H$1182,HLOOKUP(INDIRECT(ADDRESS(2,COLUMN())),OFFSET($K$2,0,0,ROW()-1,5),ROW()-1,FALSE))</f>
        <v>1.04</v>
      </c>
      <c r="I58">
        <f ca="1">IF(AND(ISNUMBER($I$1182),$B$1132=1),$I$1182,HLOOKUP(INDIRECT(ADDRESS(2,COLUMN())),OFFSET($K$2,0,0,ROW()-1,5),ROW()-1,FALSE))</f>
        <v>1.1599999999999999</v>
      </c>
      <c r="J58">
        <f ca="1">IF(AND(ISNUMBER($J$1182),$B$1132=1),$J$1182,HLOOKUP(INDIRECT(ADDRESS(2,COLUMN())),OFFSET($K$2,0,0,ROW()-1,5),ROW()-1,FALSE))</f>
        <v>1.24</v>
      </c>
      <c r="K58" t="str">
        <f>""</f>
        <v/>
      </c>
      <c r="L58">
        <f>1.11</f>
        <v>1.1100000000000001</v>
      </c>
      <c r="M58">
        <f>1.04</f>
        <v>1.04</v>
      </c>
      <c r="N58">
        <f>1.16</f>
        <v>1.1599999999999999</v>
      </c>
      <c r="O58">
        <f>1.24</f>
        <v>1.24</v>
      </c>
    </row>
    <row r="59" spans="1:15" x14ac:dyDescent="0.25">
      <c r="A59" t="str">
        <f>"                    Tata Motors Ltd"</f>
        <v xml:space="preserve">                    Tata Motors Ltd</v>
      </c>
      <c r="B59" t="str">
        <f>"TTMT IN Equity"</f>
        <v>TTMT IN Equity</v>
      </c>
      <c r="C59" t="str">
        <f t="shared" si="3"/>
        <v>F0946</v>
      </c>
      <c r="D59" t="str">
        <f t="shared" si="4"/>
        <v>TOTAL_GHG_CO2_EMISSIONS</v>
      </c>
      <c r="E59" t="str">
        <f t="shared" si="5"/>
        <v>Dynamic</v>
      </c>
      <c r="F59" t="str">
        <f ca="1">IF(AND(ISNUMBER($F$1183),$B$1132=1),$F$1183,HLOOKUP(INDIRECT(ADDRESS(2,COLUMN())),OFFSET($K$2,0,0,ROW()-1,5),ROW()-1,FALSE))</f>
        <v/>
      </c>
      <c r="G59">
        <f ca="1">IF(AND(ISNUMBER($G$1183),$B$1132=1),$G$1183,HLOOKUP(INDIRECT(ADDRESS(2,COLUMN())),OFFSET($K$2,0,0,ROW()-1,5),ROW()-1,FALSE))</f>
        <v>0.541254028</v>
      </c>
      <c r="H59">
        <f ca="1">IF(AND(ISNUMBER($H$1183),$B$1132=1),$H$1183,HLOOKUP(INDIRECT(ADDRESS(2,COLUMN())),OFFSET($K$2,0,0,ROW()-1,5),ROW()-1,FALSE))</f>
        <v>0.541254028</v>
      </c>
      <c r="I59">
        <f ca="1">IF(AND(ISNUMBER($I$1183),$B$1132=1),$I$1183,HLOOKUP(INDIRECT(ADDRESS(2,COLUMN())),OFFSET($K$2,0,0,ROW()-1,5),ROW()-1,FALSE))</f>
        <v>0.59703399700000004</v>
      </c>
      <c r="J59" t="str">
        <f ca="1">IF(AND(ISNUMBER($J$1183),$B$1132=1),$J$1183,HLOOKUP(INDIRECT(ADDRESS(2,COLUMN())),OFFSET($K$2,0,0,ROW()-1,5),ROW()-1,FALSE))</f>
        <v/>
      </c>
      <c r="K59" t="str">
        <f>""</f>
        <v/>
      </c>
      <c r="L59">
        <f>0.541254028</f>
        <v>0.541254028</v>
      </c>
      <c r="M59">
        <f>0.541254028</f>
        <v>0.541254028</v>
      </c>
      <c r="N59">
        <f>0.597033997</f>
        <v>0.59703399700000004</v>
      </c>
      <c r="O59" t="str">
        <f>""</f>
        <v/>
      </c>
    </row>
    <row r="60" spans="1:15" x14ac:dyDescent="0.25">
      <c r="A60" t="str">
        <f>"                    Tesla Inc"</f>
        <v xml:space="preserve">                    Tesla Inc</v>
      </c>
      <c r="B60" t="str">
        <f>"TSLA US Equity"</f>
        <v>TSLA US Equity</v>
      </c>
      <c r="C60" t="str">
        <f t="shared" si="3"/>
        <v>F0946</v>
      </c>
      <c r="D60" t="str">
        <f t="shared" si="4"/>
        <v>TOTAL_GHG_CO2_EMISSIONS</v>
      </c>
      <c r="E60" t="str">
        <f t="shared" si="5"/>
        <v>Dynamic</v>
      </c>
      <c r="F60">
        <f ca="1">IF(AND(ISNUMBER($F$1184),$B$1132=1),$F$1184,HLOOKUP(INDIRECT(ADDRESS(2,COLUMN())),OFFSET($K$2,0,0,ROW()-1,5),ROW()-1,FALSE))</f>
        <v>0.61</v>
      </c>
      <c r="G60">
        <f ca="1">IF(AND(ISNUMBER($G$1184),$B$1132=1),$G$1184,HLOOKUP(INDIRECT(ADDRESS(2,COLUMN())),OFFSET($K$2,0,0,ROW()-1,5),ROW()-1,FALSE))</f>
        <v>0.58799999999999997</v>
      </c>
      <c r="H60" t="str">
        <f ca="1">IF(AND(ISNUMBER($H$1184),$B$1132=1),$H$1184,HLOOKUP(INDIRECT(ADDRESS(2,COLUMN())),OFFSET($K$2,0,0,ROW()-1,5),ROW()-1,FALSE))</f>
        <v/>
      </c>
      <c r="I60" t="str">
        <f ca="1">IF(AND(ISNUMBER($I$1184),$B$1132=1),$I$1184,HLOOKUP(INDIRECT(ADDRESS(2,COLUMN())),OFFSET($K$2,0,0,ROW()-1,5),ROW()-1,FALSE))</f>
        <v/>
      </c>
      <c r="J60" t="str">
        <f ca="1">IF(AND(ISNUMBER($J$1184),$B$1132=1),$J$1184,HLOOKUP(INDIRECT(ADDRESS(2,COLUMN())),OFFSET($K$2,0,0,ROW()-1,5),ROW()-1,FALSE))</f>
        <v/>
      </c>
      <c r="K60">
        <f>0.61</f>
        <v>0.61</v>
      </c>
      <c r="L60">
        <f>0.588</f>
        <v>0.58799999999999997</v>
      </c>
      <c r="M60" t="str">
        <f>""</f>
        <v/>
      </c>
      <c r="N60" t="str">
        <f>""</f>
        <v/>
      </c>
      <c r="O60" t="str">
        <f>""</f>
        <v/>
      </c>
    </row>
    <row r="61" spans="1:15" x14ac:dyDescent="0.25">
      <c r="A61" t="str">
        <f>"                    Toyota Motor Corp"</f>
        <v xml:space="preserve">                    Toyota Motor Corp</v>
      </c>
      <c r="B61" t="str">
        <f>"7203 JP Equity"</f>
        <v>7203 JP Equity</v>
      </c>
      <c r="C61" t="str">
        <f t="shared" si="3"/>
        <v>F0946</v>
      </c>
      <c r="D61" t="str">
        <f t="shared" si="4"/>
        <v>TOTAL_GHG_CO2_EMISSIONS</v>
      </c>
      <c r="E61" t="str">
        <f t="shared" si="5"/>
        <v>Dynamic</v>
      </c>
      <c r="F61" t="str">
        <f ca="1">IF(AND(ISNUMBER($F$1185),$B$1132=1),$F$1185,HLOOKUP(INDIRECT(ADDRESS(2,COLUMN())),OFFSET($K$2,0,0,ROW()-1,5),ROW()-1,FALSE))</f>
        <v/>
      </c>
      <c r="G61">
        <f ca="1">IF(AND(ISNUMBER($G$1185),$B$1132=1),$G$1185,HLOOKUP(INDIRECT(ADDRESS(2,COLUMN())),OFFSET($K$2,0,0,ROW()-1,5),ROW()-1,FALSE))</f>
        <v>6.46</v>
      </c>
      <c r="H61">
        <f ca="1">IF(AND(ISNUMBER($H$1185),$B$1132=1),$H$1185,HLOOKUP(INDIRECT(ADDRESS(2,COLUMN())),OFFSET($K$2,0,0,ROW()-1,5),ROW()-1,FALSE))</f>
        <v>5.3267900389999996</v>
      </c>
      <c r="I61">
        <f ca="1">IF(AND(ISNUMBER($I$1185),$B$1132=1),$I$1185,HLOOKUP(INDIRECT(ADDRESS(2,COLUMN())),OFFSET($K$2,0,0,ROW()-1,5),ROW()-1,FALSE))</f>
        <v>6.1488598630000002</v>
      </c>
      <c r="J61">
        <f ca="1">IF(AND(ISNUMBER($J$1185),$B$1132=1),$J$1185,HLOOKUP(INDIRECT(ADDRESS(2,COLUMN())),OFFSET($K$2,0,0,ROW()-1,5),ROW()-1,FALSE))</f>
        <v>7.65</v>
      </c>
      <c r="K61" t="str">
        <f>""</f>
        <v/>
      </c>
      <c r="L61">
        <f>6.46</f>
        <v>6.46</v>
      </c>
      <c r="M61">
        <f>5.326790039</f>
        <v>5.3267900389999996</v>
      </c>
      <c r="N61">
        <f>6.148859863</f>
        <v>6.1488598630000002</v>
      </c>
      <c r="O61">
        <f>7.65</f>
        <v>7.65</v>
      </c>
    </row>
    <row r="62" spans="1:15" x14ac:dyDescent="0.25">
      <c r="A62" t="str">
        <f>"                    Volkswagen AG"</f>
        <v xml:space="preserve">                    Volkswagen AG</v>
      </c>
      <c r="B62" t="str">
        <f>"VOW GR Equity"</f>
        <v>VOW GR Equity</v>
      </c>
      <c r="C62" t="str">
        <f t="shared" si="3"/>
        <v>F0946</v>
      </c>
      <c r="D62" t="str">
        <f t="shared" si="4"/>
        <v>TOTAL_GHG_CO2_EMISSIONS</v>
      </c>
      <c r="E62" t="str">
        <f t="shared" si="5"/>
        <v>Dynamic</v>
      </c>
      <c r="F62">
        <f ca="1">IF(AND(ISNUMBER($F$1186),$B$1132=1),$F$1186,HLOOKUP(INDIRECT(ADDRESS(2,COLUMN())),OFFSET($K$2,0,0,ROW()-1,5),ROW()-1,FALSE))</f>
        <v>6.57</v>
      </c>
      <c r="G62">
        <f ca="1">IF(AND(ISNUMBER($G$1186),$B$1132=1),$G$1186,HLOOKUP(INDIRECT(ADDRESS(2,COLUMN())),OFFSET($K$2,0,0,ROW()-1,5),ROW()-1,FALSE))</f>
        <v>9.9368300779999998</v>
      </c>
      <c r="H62">
        <f ca="1">IF(AND(ISNUMBER($H$1186),$B$1132=1),$H$1186,HLOOKUP(INDIRECT(ADDRESS(2,COLUMN())),OFFSET($K$2,0,0,ROW()-1,5),ROW()-1,FALSE))</f>
        <v>9.5931103520000001</v>
      </c>
      <c r="I62">
        <f ca="1">IF(AND(ISNUMBER($I$1186),$B$1132=1),$I$1186,HLOOKUP(INDIRECT(ADDRESS(2,COLUMN())),OFFSET($K$2,0,0,ROW()-1,5),ROW()-1,FALSE))</f>
        <v>10.468</v>
      </c>
      <c r="J62">
        <f ca="1">IF(AND(ISNUMBER($J$1186),$B$1132=1),$J$1186,HLOOKUP(INDIRECT(ADDRESS(2,COLUMN())),OFFSET($K$2,0,0,ROW()-1,5),ROW()-1,FALSE))</f>
        <v>10.4387998</v>
      </c>
      <c r="K62">
        <f>6.57</f>
        <v>6.57</v>
      </c>
      <c r="L62">
        <f>9.936830078</f>
        <v>9.9368300779999998</v>
      </c>
      <c r="M62">
        <f>9.593110352</f>
        <v>9.5931103520000001</v>
      </c>
      <c r="N62">
        <f>10.468</f>
        <v>10.468</v>
      </c>
      <c r="O62">
        <f>10.4387998</f>
        <v>10.4387998</v>
      </c>
    </row>
    <row r="63" spans="1:15" x14ac:dyDescent="0.25">
      <c r="A63" t="str">
        <f>"                    Volvo Car AB"</f>
        <v xml:space="preserve">                    Volvo Car AB</v>
      </c>
      <c r="B63" t="str">
        <f>"VOLCARB SS Equity"</f>
        <v>VOLCARB SS Equity</v>
      </c>
      <c r="C63" t="str">
        <f t="shared" si="3"/>
        <v>F0946</v>
      </c>
      <c r="D63" t="str">
        <f t="shared" si="4"/>
        <v>TOTAL_GHG_CO2_EMISSIONS</v>
      </c>
      <c r="E63" t="str">
        <f t="shared" si="5"/>
        <v>Dynamic</v>
      </c>
      <c r="F63">
        <f ca="1">IF(AND(ISNUMBER($F$1187),$B$1132=1),$F$1187,HLOOKUP(INDIRECT(ADDRESS(2,COLUMN())),OFFSET($K$2,0,0,ROW()-1,5),ROW()-1,FALSE))</f>
        <v>0.113</v>
      </c>
      <c r="G63">
        <f ca="1">IF(AND(ISNUMBER($G$1187),$B$1132=1),$G$1187,HLOOKUP(INDIRECT(ADDRESS(2,COLUMN())),OFFSET($K$2,0,0,ROW()-1,5),ROW()-1,FALSE))</f>
        <v>0.122</v>
      </c>
      <c r="H63">
        <f ca="1">IF(AND(ISNUMBER($H$1187),$B$1132=1),$H$1187,HLOOKUP(INDIRECT(ADDRESS(2,COLUMN())),OFFSET($K$2,0,0,ROW()-1,5),ROW()-1,FALSE))</f>
        <v>0.185</v>
      </c>
      <c r="I63">
        <f ca="1">IF(AND(ISNUMBER($I$1187),$B$1132=1),$I$1187,HLOOKUP(INDIRECT(ADDRESS(2,COLUMN())),OFFSET($K$2,0,0,ROW()-1,5),ROW()-1,FALSE))</f>
        <v>0.22800000000000001</v>
      </c>
      <c r="J63">
        <f ca="1">IF(AND(ISNUMBER($J$1187),$B$1132=1),$J$1187,HLOOKUP(INDIRECT(ADDRESS(2,COLUMN())),OFFSET($K$2,0,0,ROW()-1,5),ROW()-1,FALSE))</f>
        <v>0.251</v>
      </c>
      <c r="K63">
        <f>0.113</f>
        <v>0.113</v>
      </c>
      <c r="L63">
        <f>0.122</f>
        <v>0.122</v>
      </c>
      <c r="M63">
        <f>0.185</f>
        <v>0.185</v>
      </c>
      <c r="N63">
        <f>0.228</f>
        <v>0.22800000000000001</v>
      </c>
      <c r="O63">
        <f>0.251</f>
        <v>0.251</v>
      </c>
    </row>
    <row r="64" spans="1:15" x14ac:dyDescent="0.25">
      <c r="A64" t="str">
        <f>"                    XPeng Inc"</f>
        <v xml:space="preserve">                    XPeng Inc</v>
      </c>
      <c r="B64" t="str">
        <f>"XPEV US Equity"</f>
        <v>XPEV US Equity</v>
      </c>
      <c r="C64" t="str">
        <f t="shared" si="3"/>
        <v>F0946</v>
      </c>
      <c r="D64" t="str">
        <f t="shared" si="4"/>
        <v>TOTAL_GHG_CO2_EMISSIONS</v>
      </c>
      <c r="E64" t="str">
        <f t="shared" si="5"/>
        <v>Dynamic</v>
      </c>
      <c r="F64">
        <f ca="1">IF(AND(ISNUMBER($F$1188),$B$1132=1),$F$1188,HLOOKUP(INDIRECT(ADDRESS(2,COLUMN())),OFFSET($K$2,0,0,ROW()-1,5),ROW()-1,FALSE))</f>
        <v>0.101678001</v>
      </c>
      <c r="G64">
        <f ca="1">IF(AND(ISNUMBER($G$1188),$B$1132=1),$G$1188,HLOOKUP(INDIRECT(ADDRESS(2,COLUMN())),OFFSET($K$2,0,0,ROW()-1,5),ROW()-1,FALSE))</f>
        <v>3.8615002000000002E-2</v>
      </c>
      <c r="H64">
        <f ca="1">IF(AND(ISNUMBER($H$1188),$B$1132=1),$H$1188,HLOOKUP(INDIRECT(ADDRESS(2,COLUMN())),OFFSET($K$2,0,0,ROW()-1,5),ROW()-1,FALSE))</f>
        <v>2.7330099E-2</v>
      </c>
      <c r="I64" t="str">
        <f ca="1">IF(AND(ISNUMBER($I$1188),$B$1132=1),$I$1188,HLOOKUP(INDIRECT(ADDRESS(2,COLUMN())),OFFSET($K$2,0,0,ROW()-1,5),ROW()-1,FALSE))</f>
        <v/>
      </c>
      <c r="J64" t="str">
        <f ca="1">IF(AND(ISNUMBER($J$1188),$B$1132=1),$J$1188,HLOOKUP(INDIRECT(ADDRESS(2,COLUMN())),OFFSET($K$2,0,0,ROW()-1,5),ROW()-1,FALSE))</f>
        <v/>
      </c>
      <c r="K64">
        <f>0.101678001</f>
        <v>0.101678001</v>
      </c>
      <c r="L64">
        <f>0.038615002</f>
        <v>3.8615002000000002E-2</v>
      </c>
      <c r="M64">
        <f>0.027330099</f>
        <v>2.7330099E-2</v>
      </c>
      <c r="N64" t="str">
        <f>""</f>
        <v/>
      </c>
      <c r="O64" t="str">
        <f>""</f>
        <v/>
      </c>
    </row>
    <row r="65" spans="1:15" x14ac:dyDescent="0.25">
      <c r="A65" t="str">
        <f>"                    Yulon Motor Co Ltd"</f>
        <v xml:space="preserve">                    Yulon Motor Co Ltd</v>
      </c>
      <c r="B65" t="str">
        <f>"2201 TT Equity"</f>
        <v>2201 TT Equity</v>
      </c>
      <c r="C65" t="str">
        <f t="shared" si="3"/>
        <v>F0946</v>
      </c>
      <c r="D65" t="str">
        <f t="shared" si="4"/>
        <v>TOTAL_GHG_CO2_EMISSIONS</v>
      </c>
      <c r="E65" t="str">
        <f t="shared" si="5"/>
        <v>Dynamic</v>
      </c>
      <c r="F65" t="str">
        <f ca="1">IF(AND(ISNUMBER($F$1189),$B$1132=1),$F$1189,HLOOKUP(INDIRECT(ADDRESS(2,COLUMN())),OFFSET($K$2,0,0,ROW()-1,5),ROW()-1,FALSE))</f>
        <v/>
      </c>
      <c r="G65" t="str">
        <f ca="1">IF(AND(ISNUMBER($G$1189),$B$1132=1),$G$1189,HLOOKUP(INDIRECT(ADDRESS(2,COLUMN())),OFFSET($K$2,0,0,ROW()-1,5),ROW()-1,FALSE))</f>
        <v/>
      </c>
      <c r="H65" t="str">
        <f ca="1">IF(AND(ISNUMBER($H$1189),$B$1132=1),$H$1189,HLOOKUP(INDIRECT(ADDRESS(2,COLUMN())),OFFSET($K$2,0,0,ROW()-1,5),ROW()-1,FALSE))</f>
        <v/>
      </c>
      <c r="I65" t="str">
        <f ca="1">IF(AND(ISNUMBER($I$1189),$B$1132=1),$I$1189,HLOOKUP(INDIRECT(ADDRESS(2,COLUMN())),OFFSET($K$2,0,0,ROW()-1,5),ROW()-1,FALSE))</f>
        <v/>
      </c>
      <c r="J65" t="str">
        <f ca="1">IF(AND(ISNUMBER($J$1189),$B$1132=1),$J$1189,HLOOKUP(INDIRECT(ADDRESS(2,COLUMN())),OFFSET($K$2,0,0,ROW()-1,5),ROW()-1,FALSE))</f>
        <v/>
      </c>
      <c r="K65" t="str">
        <f>""</f>
        <v/>
      </c>
      <c r="L65" t="str">
        <f>""</f>
        <v/>
      </c>
      <c r="M65" t="str">
        <f>""</f>
        <v/>
      </c>
      <c r="N65" t="str">
        <f>""</f>
        <v/>
      </c>
      <c r="O65" t="str">
        <f>""</f>
        <v/>
      </c>
    </row>
    <row r="66" spans="1:15" x14ac:dyDescent="0.25">
      <c r="A66" t="str">
        <f>"                Auto Parts"</f>
        <v xml:space="preserve">                Auto Parts</v>
      </c>
      <c r="B66" t="str">
        <f>""</f>
        <v/>
      </c>
      <c r="E66" t="str">
        <f>"Sum"</f>
        <v>Sum</v>
      </c>
      <c r="F66">
        <f ca="1">IF(ISERROR(IF(SUM($F$67:$F$148) = 0, "", SUM($F$67:$F$148))), "", (IF(SUM($F$67:$F$148) = 0, "", SUM($F$67:$F$148))))</f>
        <v>10.028437935000001</v>
      </c>
      <c r="G66">
        <f ca="1">IF(ISERROR(IF(SUM($G$67:$G$148) = 0, "", SUM($G$67:$G$148))), "", (IF(SUM($G$67:$G$148) = 0, "", SUM($G$67:$G$148))))</f>
        <v>99.837414046999967</v>
      </c>
      <c r="H66">
        <f ca="1">IF(ISERROR(IF(SUM($H$67:$H$148) = 0, "", SUM($H$67:$H$148))), "", (IF(SUM($H$67:$H$148) = 0, "", SUM($H$67:$H$148))))</f>
        <v>94.734653196999986</v>
      </c>
      <c r="I66">
        <f ca="1">IF(ISERROR(IF(SUM($I$67:$I$148) = 0, "", SUM($I$67:$I$148))), "", (IF(SUM($I$67:$I$148) = 0, "", SUM($I$67:$I$148))))</f>
        <v>103.16968831699999</v>
      </c>
      <c r="J66">
        <f ca="1">IF(ISERROR(IF(SUM($J$67:$J$148) = 0, "", SUM($J$67:$J$148))), "", (IF(SUM($J$67:$J$148) = 0, "", SUM($J$67:$J$148))))</f>
        <v>101.62432000099996</v>
      </c>
      <c r="K66" t="str">
        <f>""</f>
        <v/>
      </c>
      <c r="L66">
        <f>99.83741404</f>
        <v>99.837414039999999</v>
      </c>
      <c r="M66">
        <f>94.7346532</f>
        <v>94.734653199999997</v>
      </c>
      <c r="N66">
        <f>103.1696883</f>
        <v>103.1696883</v>
      </c>
      <c r="O66">
        <f>101.62432</f>
        <v>101.62432</v>
      </c>
    </row>
    <row r="67" spans="1:15" x14ac:dyDescent="0.25">
      <c r="A67" t="str">
        <f>"                    Aeolus Tyre Co Ltd"</f>
        <v xml:space="preserve">                    Aeolus Tyre Co Ltd</v>
      </c>
      <c r="B67" t="str">
        <f>"600469 CH Equity"</f>
        <v>600469 CH Equity</v>
      </c>
      <c r="C67" t="str">
        <f t="shared" ref="C67:C98" si="6">"F0946"</f>
        <v>F0946</v>
      </c>
      <c r="D67" t="str">
        <f t="shared" ref="D67:D98" si="7">"TOTAL_GHG_CO2_EMISSIONS"</f>
        <v>TOTAL_GHG_CO2_EMISSIONS</v>
      </c>
      <c r="E67" t="str">
        <f t="shared" ref="E67:E98" si="8">"Dynamic"</f>
        <v>Dynamic</v>
      </c>
      <c r="F67" t="str">
        <f ca="1">IF(AND(ISNUMBER($F$1190),$B$1132=1),$F$1190,HLOOKUP(INDIRECT(ADDRESS(2,COLUMN())),OFFSET($K$2,0,0,ROW()-1,5),ROW()-1,FALSE))</f>
        <v/>
      </c>
      <c r="G67" t="str">
        <f ca="1">IF(AND(ISNUMBER($G$1190),$B$1132=1),$G$1190,HLOOKUP(INDIRECT(ADDRESS(2,COLUMN())),OFFSET($K$2,0,0,ROW()-1,5),ROW()-1,FALSE))</f>
        <v/>
      </c>
      <c r="H67" t="str">
        <f ca="1">IF(AND(ISNUMBER($H$1190),$B$1132=1),$H$1190,HLOOKUP(INDIRECT(ADDRESS(2,COLUMN())),OFFSET($K$2,0,0,ROW()-1,5),ROW()-1,FALSE))</f>
        <v/>
      </c>
      <c r="I67" t="str">
        <f ca="1">IF(AND(ISNUMBER($I$1190),$B$1132=1),$I$1190,HLOOKUP(INDIRECT(ADDRESS(2,COLUMN())),OFFSET($K$2,0,0,ROW()-1,5),ROW()-1,FALSE))</f>
        <v/>
      </c>
      <c r="J67" t="str">
        <f ca="1">IF(AND(ISNUMBER($J$1190),$B$1132=1),$J$1190,HLOOKUP(INDIRECT(ADDRESS(2,COLUMN())),OFFSET($K$2,0,0,ROW()-1,5),ROW()-1,FALSE))</f>
        <v/>
      </c>
      <c r="K67" t="str">
        <f>""</f>
        <v/>
      </c>
      <c r="L67" t="str">
        <f>""</f>
        <v/>
      </c>
      <c r="M67" t="str">
        <f>""</f>
        <v/>
      </c>
      <c r="N67" t="str">
        <f>""</f>
        <v/>
      </c>
      <c r="O67" t="str">
        <f>""</f>
        <v/>
      </c>
    </row>
    <row r="68" spans="1:15" x14ac:dyDescent="0.25">
      <c r="A68" t="str">
        <f>"                    AGC Inc"</f>
        <v xml:space="preserve">                    AGC Inc</v>
      </c>
      <c r="B68" t="str">
        <f>"5201 JP Equity"</f>
        <v>5201 JP Equity</v>
      </c>
      <c r="C68" t="str">
        <f t="shared" si="6"/>
        <v>F0946</v>
      </c>
      <c r="D68" t="str">
        <f t="shared" si="7"/>
        <v>TOTAL_GHG_CO2_EMISSIONS</v>
      </c>
      <c r="E68" t="str">
        <f t="shared" si="8"/>
        <v>Dynamic</v>
      </c>
      <c r="F68" t="str">
        <f ca="1">IF(AND(ISNUMBER($F$1191),$B$1132=1),$F$1191,HLOOKUP(INDIRECT(ADDRESS(2,COLUMN())),OFFSET($K$2,0,0,ROW()-1,5),ROW()-1,FALSE))</f>
        <v/>
      </c>
      <c r="G68">
        <f ca="1">IF(AND(ISNUMBER($G$1191),$B$1132=1),$G$1191,HLOOKUP(INDIRECT(ADDRESS(2,COLUMN())),OFFSET($K$2,0,0,ROW()-1,5),ROW()-1,FALSE))</f>
        <v>11.68240039</v>
      </c>
      <c r="H68">
        <f ca="1">IF(AND(ISNUMBER($H$1191),$B$1132=1),$H$1191,HLOOKUP(INDIRECT(ADDRESS(2,COLUMN())),OFFSET($K$2,0,0,ROW()-1,5),ROW()-1,FALSE))</f>
        <v>11.238</v>
      </c>
      <c r="I68">
        <f ca="1">IF(AND(ISNUMBER($I$1191),$B$1132=1),$I$1191,HLOOKUP(INDIRECT(ADDRESS(2,COLUMN())),OFFSET($K$2,0,0,ROW()-1,5),ROW()-1,FALSE))</f>
        <v>11.116</v>
      </c>
      <c r="J68">
        <f ca="1">IF(AND(ISNUMBER($J$1191),$B$1132=1),$J$1191,HLOOKUP(INDIRECT(ADDRESS(2,COLUMN())),OFFSET($K$2,0,0,ROW()-1,5),ROW()-1,FALSE))</f>
        <v>10.569000000000001</v>
      </c>
      <c r="K68" t="str">
        <f>""</f>
        <v/>
      </c>
      <c r="L68">
        <f>11.68240039</f>
        <v>11.68240039</v>
      </c>
      <c r="M68">
        <f>11.238</f>
        <v>11.238</v>
      </c>
      <c r="N68">
        <f>11.116</f>
        <v>11.116</v>
      </c>
      <c r="O68">
        <f>10.569</f>
        <v>10.569000000000001</v>
      </c>
    </row>
    <row r="69" spans="1:15" x14ac:dyDescent="0.25">
      <c r="A69" t="str">
        <f>"                    Aisin Corp"</f>
        <v xml:space="preserve">                    Aisin Corp</v>
      </c>
      <c r="B69" t="str">
        <f>"7259 JP Equity"</f>
        <v>7259 JP Equity</v>
      </c>
      <c r="C69" t="str">
        <f t="shared" si="6"/>
        <v>F0946</v>
      </c>
      <c r="D69" t="str">
        <f t="shared" si="7"/>
        <v>TOTAL_GHG_CO2_EMISSIONS</v>
      </c>
      <c r="E69" t="str">
        <f t="shared" si="8"/>
        <v>Dynamic</v>
      </c>
      <c r="F69" t="str">
        <f ca="1">IF(AND(ISNUMBER($F$1192),$B$1132=1),$F$1192,HLOOKUP(INDIRECT(ADDRESS(2,COLUMN())),OFFSET($K$2,0,0,ROW()-1,5),ROW()-1,FALSE))</f>
        <v/>
      </c>
      <c r="G69">
        <f ca="1">IF(AND(ISNUMBER($G$1192),$B$1132=1),$G$1192,HLOOKUP(INDIRECT(ADDRESS(2,COLUMN())),OFFSET($K$2,0,0,ROW()-1,5),ROW()-1,FALSE))</f>
        <v>2.5720900879999999</v>
      </c>
      <c r="H69">
        <f ca="1">IF(AND(ISNUMBER($H$1192),$B$1132=1),$H$1192,HLOOKUP(INDIRECT(ADDRESS(2,COLUMN())),OFFSET($K$2,0,0,ROW()-1,5),ROW()-1,FALSE))</f>
        <v>2.6037900390000002</v>
      </c>
      <c r="I69">
        <f ca="1">IF(AND(ISNUMBER($I$1192),$B$1132=1),$I$1192,HLOOKUP(INDIRECT(ADDRESS(2,COLUMN())),OFFSET($K$2,0,0,ROW()-1,5),ROW()-1,FALSE))</f>
        <v>2.81901001</v>
      </c>
      <c r="J69">
        <f ca="1">IF(AND(ISNUMBER($J$1192),$B$1132=1),$J$1192,HLOOKUP(INDIRECT(ADDRESS(2,COLUMN())),OFFSET($K$2,0,0,ROW()-1,5),ROW()-1,FALSE))</f>
        <v>1.3633399660000001</v>
      </c>
      <c r="K69" t="str">
        <f>""</f>
        <v/>
      </c>
      <c r="L69">
        <f>2.572090088</f>
        <v>2.5720900879999999</v>
      </c>
      <c r="M69">
        <f>2.603790039</f>
        <v>2.6037900390000002</v>
      </c>
      <c r="N69">
        <f>2.81901001</f>
        <v>2.81901001</v>
      </c>
      <c r="O69">
        <f>1.363339966</f>
        <v>1.3633399660000001</v>
      </c>
    </row>
    <row r="70" spans="1:15" x14ac:dyDescent="0.25">
      <c r="A70" t="str">
        <f>"                    Alfa SAB de CV"</f>
        <v xml:space="preserve">                    Alfa SAB de CV</v>
      </c>
      <c r="B70" t="str">
        <f>"ALFAA MM Equity"</f>
        <v>ALFAA MM Equity</v>
      </c>
      <c r="C70" t="str">
        <f t="shared" si="6"/>
        <v>F0946</v>
      </c>
      <c r="D70" t="str">
        <f t="shared" si="7"/>
        <v>TOTAL_GHG_CO2_EMISSIONS</v>
      </c>
      <c r="E70" t="str">
        <f t="shared" si="8"/>
        <v>Dynamic</v>
      </c>
      <c r="F70">
        <f ca="1">IF(AND(ISNUMBER($F$1193),$B$1132=1),$F$1193,HLOOKUP(INDIRECT(ADDRESS(2,COLUMN())),OFFSET($K$2,0,0,ROW()-1,5),ROW()-1,FALSE))</f>
        <v>2.65</v>
      </c>
      <c r="G70">
        <f ca="1">IF(AND(ISNUMBER($G$1193),$B$1132=1),$G$1193,HLOOKUP(INDIRECT(ADDRESS(2,COLUMN())),OFFSET($K$2,0,0,ROW()-1,5),ROW()-1,FALSE))</f>
        <v>2.84</v>
      </c>
      <c r="H70">
        <f ca="1">IF(AND(ISNUMBER($H$1193),$B$1132=1),$H$1193,HLOOKUP(INDIRECT(ADDRESS(2,COLUMN())),OFFSET($K$2,0,0,ROW()-1,5),ROW()-1,FALSE))</f>
        <v>3.9</v>
      </c>
      <c r="I70">
        <f ca="1">IF(AND(ISNUMBER($I$1193),$B$1132=1),$I$1193,HLOOKUP(INDIRECT(ADDRESS(2,COLUMN())),OFFSET($K$2,0,0,ROW()-1,5),ROW()-1,FALSE))</f>
        <v>6.94</v>
      </c>
      <c r="J70">
        <f ca="1">IF(AND(ISNUMBER($J$1193),$B$1132=1),$J$1193,HLOOKUP(INDIRECT(ADDRESS(2,COLUMN())),OFFSET($K$2,0,0,ROW()-1,5),ROW()-1,FALSE))</f>
        <v>4.3600000000000003</v>
      </c>
      <c r="K70">
        <f>2.65</f>
        <v>2.65</v>
      </c>
      <c r="L70">
        <f>2.84</f>
        <v>2.84</v>
      </c>
      <c r="M70">
        <f>3.9</f>
        <v>3.9</v>
      </c>
      <c r="N70">
        <f>6.94</f>
        <v>6.94</v>
      </c>
      <c r="O70">
        <f>4.36</f>
        <v>4.3600000000000003</v>
      </c>
    </row>
    <row r="71" spans="1:15" x14ac:dyDescent="0.25">
      <c r="A71" t="str">
        <f>"                    American Axle &amp; Manufacturing"</f>
        <v xml:space="preserve">                    American Axle &amp; Manufacturing</v>
      </c>
      <c r="B71" t="str">
        <f>"AXL US Equity"</f>
        <v>AXL US Equity</v>
      </c>
      <c r="C71" t="str">
        <f t="shared" si="6"/>
        <v>F0946</v>
      </c>
      <c r="D71" t="str">
        <f t="shared" si="7"/>
        <v>TOTAL_GHG_CO2_EMISSIONS</v>
      </c>
      <c r="E71" t="str">
        <f t="shared" si="8"/>
        <v>Dynamic</v>
      </c>
      <c r="F71" t="str">
        <f ca="1">IF(AND(ISNUMBER($F$1194),$B$1132=1),$F$1194,HLOOKUP(INDIRECT(ADDRESS(2,COLUMN())),OFFSET($K$2,0,0,ROW()-1,5),ROW()-1,FALSE))</f>
        <v/>
      </c>
      <c r="G71">
        <f ca="1">IF(AND(ISNUMBER($G$1194),$B$1132=1),$G$1194,HLOOKUP(INDIRECT(ADDRESS(2,COLUMN())),OFFSET($K$2,0,0,ROW()-1,5),ROW()-1,FALSE))</f>
        <v>0.56526599099999997</v>
      </c>
      <c r="H71">
        <f ca="1">IF(AND(ISNUMBER($H$1194),$B$1132=1),$H$1194,HLOOKUP(INDIRECT(ADDRESS(2,COLUMN())),OFFSET($K$2,0,0,ROW()-1,5),ROW()-1,FALSE))</f>
        <v>0.455231995</v>
      </c>
      <c r="I71">
        <f ca="1">IF(AND(ISNUMBER($I$1194),$B$1132=1),$I$1194,HLOOKUP(INDIRECT(ADDRESS(2,COLUMN())),OFFSET($K$2,0,0,ROW()-1,5),ROW()-1,FALSE))</f>
        <v>0.98444598400000005</v>
      </c>
      <c r="J71">
        <f ca="1">IF(AND(ISNUMBER($J$1194),$B$1132=1),$J$1194,HLOOKUP(INDIRECT(ADDRESS(2,COLUMN())),OFFSET($K$2,0,0,ROW()-1,5),ROW()-1,FALSE))</f>
        <v>1.3011899410000001</v>
      </c>
      <c r="K71" t="str">
        <f>""</f>
        <v/>
      </c>
      <c r="L71">
        <f>0.565265991</f>
        <v>0.56526599099999997</v>
      </c>
      <c r="M71">
        <f>0.455231995</f>
        <v>0.455231995</v>
      </c>
      <c r="N71">
        <f>0.984445984</f>
        <v>0.98444598400000005</v>
      </c>
      <c r="O71">
        <f>1.301189941</f>
        <v>1.3011899410000001</v>
      </c>
    </row>
    <row r="72" spans="1:15" x14ac:dyDescent="0.25">
      <c r="A72" t="str">
        <f>"                    Apollo Tyres Ltd"</f>
        <v xml:space="preserve">                    Apollo Tyres Ltd</v>
      </c>
      <c r="B72" t="str">
        <f>"APTY IN Equity"</f>
        <v>APTY IN Equity</v>
      </c>
      <c r="C72" t="str">
        <f t="shared" si="6"/>
        <v>F0946</v>
      </c>
      <c r="D72" t="str">
        <f t="shared" si="7"/>
        <v>TOTAL_GHG_CO2_EMISSIONS</v>
      </c>
      <c r="E72" t="str">
        <f t="shared" si="8"/>
        <v>Dynamic</v>
      </c>
      <c r="F72" t="str">
        <f ca="1">IF(AND(ISNUMBER($F$1195),$B$1132=1),$F$1195,HLOOKUP(INDIRECT(ADDRESS(2,COLUMN())),OFFSET($K$2,0,0,ROW()-1,5),ROW()-1,FALSE))</f>
        <v/>
      </c>
      <c r="G72">
        <f ca="1">IF(AND(ISNUMBER($G$1195),$B$1132=1),$G$1195,HLOOKUP(INDIRECT(ADDRESS(2,COLUMN())),OFFSET($K$2,0,0,ROW()-1,5),ROW()-1,FALSE))</f>
        <v>0.74053601099999999</v>
      </c>
      <c r="H72">
        <f ca="1">IF(AND(ISNUMBER($H$1195),$B$1132=1),$H$1195,HLOOKUP(INDIRECT(ADDRESS(2,COLUMN())),OFFSET($K$2,0,0,ROW()-1,5),ROW()-1,FALSE))</f>
        <v>0.64597601299999996</v>
      </c>
      <c r="I72">
        <f ca="1">IF(AND(ISNUMBER($I$1195),$B$1132=1),$I$1195,HLOOKUP(INDIRECT(ADDRESS(2,COLUMN())),OFFSET($K$2,0,0,ROW()-1,5),ROW()-1,FALSE))</f>
        <v>0.68533300799999997</v>
      </c>
      <c r="J72">
        <f ca="1">IF(AND(ISNUMBER($J$1195),$B$1132=1),$J$1195,HLOOKUP(INDIRECT(ADDRESS(2,COLUMN())),OFFSET($K$2,0,0,ROW()-1,5),ROW()-1,FALSE))</f>
        <v>0.72245398000000005</v>
      </c>
      <c r="K72" t="str">
        <f>""</f>
        <v/>
      </c>
      <c r="L72">
        <f>0.740536011</f>
        <v>0.74053601099999999</v>
      </c>
      <c r="M72">
        <f>0.645976013</f>
        <v>0.64597601299999996</v>
      </c>
      <c r="N72">
        <f>0.685333008</f>
        <v>0.68533300799999997</v>
      </c>
      <c r="O72">
        <f>0.72245398</f>
        <v>0.72245398000000005</v>
      </c>
    </row>
    <row r="73" spans="1:15" x14ac:dyDescent="0.25">
      <c r="A73" t="str">
        <f>"                    Aptiv PLC"</f>
        <v xml:space="preserve">                    Aptiv PLC</v>
      </c>
      <c r="B73" t="str">
        <f>"APTV US Equity"</f>
        <v>APTV US Equity</v>
      </c>
      <c r="C73" t="str">
        <f t="shared" si="6"/>
        <v>F0946</v>
      </c>
      <c r="D73" t="str">
        <f t="shared" si="7"/>
        <v>TOTAL_GHG_CO2_EMISSIONS</v>
      </c>
      <c r="E73" t="str">
        <f t="shared" si="8"/>
        <v>Dynamic</v>
      </c>
      <c r="F73" t="str">
        <f ca="1">IF(AND(ISNUMBER($F$1196),$B$1132=1),$F$1196,HLOOKUP(INDIRECT(ADDRESS(2,COLUMN())),OFFSET($K$2,0,0,ROW()-1,5),ROW()-1,FALSE))</f>
        <v/>
      </c>
      <c r="G73">
        <f ca="1">IF(AND(ISNUMBER($G$1196),$B$1132=1),$G$1196,HLOOKUP(INDIRECT(ADDRESS(2,COLUMN())),OFFSET($K$2,0,0,ROW()-1,5),ROW()-1,FALSE))</f>
        <v>0.32497601300000001</v>
      </c>
      <c r="H73">
        <f ca="1">IF(AND(ISNUMBER($H$1196),$B$1132=1),$H$1196,HLOOKUP(INDIRECT(ADDRESS(2,COLUMN())),OFFSET($K$2,0,0,ROW()-1,5),ROW()-1,FALSE))</f>
        <v>0.29301098599999997</v>
      </c>
      <c r="I73">
        <f ca="1">IF(AND(ISNUMBER($I$1196),$B$1132=1),$I$1196,HLOOKUP(INDIRECT(ADDRESS(2,COLUMN())),OFFSET($K$2,0,0,ROW()-1,5),ROW()-1,FALSE))</f>
        <v>0.36394799799999999</v>
      </c>
      <c r="J73">
        <f ca="1">IF(AND(ISNUMBER($J$1196),$B$1132=1),$J$1196,HLOOKUP(INDIRECT(ADDRESS(2,COLUMN())),OFFSET($K$2,0,0,ROW()-1,5),ROW()-1,FALSE))</f>
        <v>0.336609985</v>
      </c>
      <c r="K73" t="str">
        <f>""</f>
        <v/>
      </c>
      <c r="L73">
        <f>0.324976013</f>
        <v>0.32497601300000001</v>
      </c>
      <c r="M73">
        <f>0.293010986</f>
        <v>0.29301098599999997</v>
      </c>
      <c r="N73">
        <f>0.363947998</f>
        <v>0.36394799799999999</v>
      </c>
      <c r="O73">
        <f>0.336609985</f>
        <v>0.336609985</v>
      </c>
    </row>
    <row r="74" spans="1:15" x14ac:dyDescent="0.25">
      <c r="A74" t="str">
        <f>"                    Autoliv Inc"</f>
        <v xml:space="preserve">                    Autoliv Inc</v>
      </c>
      <c r="B74" t="str">
        <f>"ALV US Equity"</f>
        <v>ALV US Equity</v>
      </c>
      <c r="C74" t="str">
        <f t="shared" si="6"/>
        <v>F0946</v>
      </c>
      <c r="D74" t="str">
        <f t="shared" si="7"/>
        <v>TOTAL_GHG_CO2_EMISSIONS</v>
      </c>
      <c r="E74" t="str">
        <f t="shared" si="8"/>
        <v>Dynamic</v>
      </c>
      <c r="F74">
        <f ca="1">IF(AND(ISNUMBER($F$1197),$B$1132=1),$F$1197,HLOOKUP(INDIRECT(ADDRESS(2,COLUMN())),OFFSET($K$2,0,0,ROW()-1,5),ROW()-1,FALSE))</f>
        <v>0.378</v>
      </c>
      <c r="G74">
        <f ca="1">IF(AND(ISNUMBER($G$1197),$B$1132=1),$G$1197,HLOOKUP(INDIRECT(ADDRESS(2,COLUMN())),OFFSET($K$2,0,0,ROW()-1,5),ROW()-1,FALSE))</f>
        <v>0.39300000000000002</v>
      </c>
      <c r="H74">
        <f ca="1">IF(AND(ISNUMBER($H$1197),$B$1132=1),$H$1197,HLOOKUP(INDIRECT(ADDRESS(2,COLUMN())),OFFSET($K$2,0,0,ROW()-1,5),ROW()-1,FALSE))</f>
        <v>0.38164099099999998</v>
      </c>
      <c r="I74">
        <f ca="1">IF(AND(ISNUMBER($I$1197),$B$1132=1),$I$1197,HLOOKUP(INDIRECT(ADDRESS(2,COLUMN())),OFFSET($K$2,0,0,ROW()-1,5),ROW()-1,FALSE))</f>
        <v>0.41070498700000002</v>
      </c>
      <c r="J74">
        <f ca="1">IF(AND(ISNUMBER($J$1197),$B$1132=1),$J$1197,HLOOKUP(INDIRECT(ADDRESS(2,COLUMN())),OFFSET($K$2,0,0,ROW()-1,5),ROW()-1,FALSE))</f>
        <v>0.41066500900000003</v>
      </c>
      <c r="K74">
        <f>0.378</f>
        <v>0.378</v>
      </c>
      <c r="L74">
        <f>0.393</f>
        <v>0.39300000000000002</v>
      </c>
      <c r="M74">
        <f>0.381640991</f>
        <v>0.38164099099999998</v>
      </c>
      <c r="N74">
        <f>0.410704987</f>
        <v>0.41070498700000002</v>
      </c>
      <c r="O74">
        <f>0.410665009</f>
        <v>0.41066500900000003</v>
      </c>
    </row>
    <row r="75" spans="1:15" x14ac:dyDescent="0.25">
      <c r="A75" t="str">
        <f>"                    Akebono Brake Industry Co Ltd"</f>
        <v xml:space="preserve">                    Akebono Brake Industry Co Ltd</v>
      </c>
      <c r="B75" t="str">
        <f>"7238 JP Equity"</f>
        <v>7238 JP Equity</v>
      </c>
      <c r="C75" t="str">
        <f t="shared" si="6"/>
        <v>F0946</v>
      </c>
      <c r="D75" t="str">
        <f t="shared" si="7"/>
        <v>TOTAL_GHG_CO2_EMISSIONS</v>
      </c>
      <c r="E75" t="str">
        <f t="shared" si="8"/>
        <v>Dynamic</v>
      </c>
      <c r="F75" t="str">
        <f ca="1">IF(AND(ISNUMBER($F$1198),$B$1132=1),$F$1198,HLOOKUP(INDIRECT(ADDRESS(2,COLUMN())),OFFSET($K$2,0,0,ROW()-1,5),ROW()-1,FALSE))</f>
        <v/>
      </c>
      <c r="G75">
        <f ca="1">IF(AND(ISNUMBER($G$1198),$B$1132=1),$G$1198,HLOOKUP(INDIRECT(ADDRESS(2,COLUMN())),OFFSET($K$2,0,0,ROW()-1,5),ROW()-1,FALSE))</f>
        <v>0.188</v>
      </c>
      <c r="H75">
        <f ca="1">IF(AND(ISNUMBER($H$1198),$B$1132=1),$H$1198,HLOOKUP(INDIRECT(ADDRESS(2,COLUMN())),OFFSET($K$2,0,0,ROW()-1,5),ROW()-1,FALSE))</f>
        <v>0.17899999999999999</v>
      </c>
      <c r="I75">
        <f ca="1">IF(AND(ISNUMBER($I$1198),$B$1132=1),$I$1198,HLOOKUP(INDIRECT(ADDRESS(2,COLUMN())),OFFSET($K$2,0,0,ROW()-1,5),ROW()-1,FALSE))</f>
        <v>0.26964800999999999</v>
      </c>
      <c r="J75">
        <f ca="1">IF(AND(ISNUMBER($J$1198),$B$1132=1),$J$1198,HLOOKUP(INDIRECT(ADDRESS(2,COLUMN())),OFFSET($K$2,0,0,ROW()-1,5),ROW()-1,FALSE))</f>
        <v>0.30973199499999998</v>
      </c>
      <c r="K75" t="str">
        <f>""</f>
        <v/>
      </c>
      <c r="L75">
        <f>0.188</f>
        <v>0.188</v>
      </c>
      <c r="M75">
        <f>0.179</f>
        <v>0.17899999999999999</v>
      </c>
      <c r="N75">
        <f>0.26964801</f>
        <v>0.26964800999999999</v>
      </c>
      <c r="O75">
        <f>0.309731995</f>
        <v>0.30973199499999998</v>
      </c>
    </row>
    <row r="76" spans="1:15" x14ac:dyDescent="0.25">
      <c r="A76" t="str">
        <f>"                    BASF SE"</f>
        <v xml:space="preserve">                    BASF SE</v>
      </c>
      <c r="B76" t="str">
        <f>"BAS GR Equity"</f>
        <v>BAS GR Equity</v>
      </c>
      <c r="C76" t="str">
        <f t="shared" si="6"/>
        <v>F0946</v>
      </c>
      <c r="D76" t="str">
        <f t="shared" si="7"/>
        <v>TOTAL_GHG_CO2_EMISSIONS</v>
      </c>
      <c r="E76" t="str">
        <f t="shared" si="8"/>
        <v>Dynamic</v>
      </c>
      <c r="F76" t="str">
        <f ca="1">IF(AND(ISNUMBER($F$1199),$B$1132=1),$F$1199,HLOOKUP(INDIRECT(ADDRESS(2,COLUMN())),OFFSET($K$2,0,0,ROW()-1,5),ROW()-1,FALSE))</f>
        <v/>
      </c>
      <c r="G76">
        <f ca="1">IF(AND(ISNUMBER($G$1199),$B$1132=1),$G$1199,HLOOKUP(INDIRECT(ADDRESS(2,COLUMN())),OFFSET($K$2,0,0,ROW()-1,5),ROW()-1,FALSE))</f>
        <v>22.338000000000001</v>
      </c>
      <c r="H76">
        <f ca="1">IF(AND(ISNUMBER($H$1199),$B$1132=1),$H$1199,HLOOKUP(INDIRECT(ADDRESS(2,COLUMN())),OFFSET($K$2,0,0,ROW()-1,5),ROW()-1,FALSE))</f>
        <v>21.757000000000001</v>
      </c>
      <c r="I76">
        <f ca="1">IF(AND(ISNUMBER($I$1199),$B$1132=1),$I$1199,HLOOKUP(INDIRECT(ADDRESS(2,COLUMN())),OFFSET($K$2,0,0,ROW()-1,5),ROW()-1,FALSE))</f>
        <v>20.875</v>
      </c>
      <c r="J76">
        <f ca="1">IF(AND(ISNUMBER($J$1199),$B$1132=1),$J$1199,HLOOKUP(INDIRECT(ADDRESS(2,COLUMN())),OFFSET($K$2,0,0,ROW()-1,5),ROW()-1,FALSE))</f>
        <v>22.164999999999999</v>
      </c>
      <c r="K76" t="str">
        <f>""</f>
        <v/>
      </c>
      <c r="L76">
        <f>22.338</f>
        <v>22.338000000000001</v>
      </c>
      <c r="M76">
        <f>21.757</f>
        <v>21.757000000000001</v>
      </c>
      <c r="N76">
        <f>20.875</f>
        <v>20.875</v>
      </c>
      <c r="O76">
        <f>22.165</f>
        <v>22.164999999999999</v>
      </c>
    </row>
    <row r="77" spans="1:15" x14ac:dyDescent="0.25">
      <c r="A77" t="str">
        <f>"                    Benteler Business Services Gmb"</f>
        <v xml:space="preserve">                    Benteler Business Services Gmb</v>
      </c>
      <c r="B77" t="str">
        <f>"2333Z GR Equity"</f>
        <v>2333Z GR Equity</v>
      </c>
      <c r="C77" t="str">
        <f t="shared" si="6"/>
        <v>F0946</v>
      </c>
      <c r="D77" t="str">
        <f t="shared" si="7"/>
        <v>TOTAL_GHG_CO2_EMISSIONS</v>
      </c>
      <c r="E77" t="str">
        <f t="shared" si="8"/>
        <v>Dynamic</v>
      </c>
      <c r="F77" t="str">
        <f ca="1">IF(AND(ISNUMBER($F$1200),$B$1132=1),$F$1200,HLOOKUP(INDIRECT(ADDRESS(2,COLUMN())),OFFSET($K$2,0,0,ROW()-1,5),ROW()-1,FALSE))</f>
        <v/>
      </c>
      <c r="G77" t="str">
        <f ca="1">IF(AND(ISNUMBER($G$1200),$B$1132=1),$G$1200,HLOOKUP(INDIRECT(ADDRESS(2,COLUMN())),OFFSET($K$2,0,0,ROW()-1,5),ROW()-1,FALSE))</f>
        <v/>
      </c>
      <c r="H77" t="str">
        <f ca="1">IF(AND(ISNUMBER($H$1200),$B$1132=1),$H$1200,HLOOKUP(INDIRECT(ADDRESS(2,COLUMN())),OFFSET($K$2,0,0,ROW()-1,5),ROW()-1,FALSE))</f>
        <v/>
      </c>
      <c r="I77" t="str">
        <f ca="1">IF(AND(ISNUMBER($I$1200),$B$1132=1),$I$1200,HLOOKUP(INDIRECT(ADDRESS(2,COLUMN())),OFFSET($K$2,0,0,ROW()-1,5),ROW()-1,FALSE))</f>
        <v/>
      </c>
      <c r="J77" t="str">
        <f ca="1">IF(AND(ISNUMBER($J$1200),$B$1132=1),$J$1200,HLOOKUP(INDIRECT(ADDRESS(2,COLUMN())),OFFSET($K$2,0,0,ROW()-1,5),ROW()-1,FALSE))</f>
        <v/>
      </c>
      <c r="K77" t="str">
        <f>""</f>
        <v/>
      </c>
      <c r="L77" t="str">
        <f>""</f>
        <v/>
      </c>
      <c r="M77" t="str">
        <f>""</f>
        <v/>
      </c>
      <c r="N77" t="str">
        <f>""</f>
        <v/>
      </c>
      <c r="O77" t="str">
        <f>""</f>
        <v/>
      </c>
    </row>
    <row r="78" spans="1:15" x14ac:dyDescent="0.25">
      <c r="A78" t="str">
        <f>"                    BorgWarner Inc"</f>
        <v xml:space="preserve">                    BorgWarner Inc</v>
      </c>
      <c r="B78" t="str">
        <f>"BWA US Equity"</f>
        <v>BWA US Equity</v>
      </c>
      <c r="C78" t="str">
        <f t="shared" si="6"/>
        <v>F0946</v>
      </c>
      <c r="D78" t="str">
        <f t="shared" si="7"/>
        <v>TOTAL_GHG_CO2_EMISSIONS</v>
      </c>
      <c r="E78" t="str">
        <f t="shared" si="8"/>
        <v>Dynamic</v>
      </c>
      <c r="F78" t="str">
        <f ca="1">IF(AND(ISNUMBER($F$1201),$B$1132=1),$F$1201,HLOOKUP(INDIRECT(ADDRESS(2,COLUMN())),OFFSET($K$2,0,0,ROW()-1,5),ROW()-1,FALSE))</f>
        <v/>
      </c>
      <c r="G78">
        <f ca="1">IF(AND(ISNUMBER($G$1201),$B$1132=1),$G$1201,HLOOKUP(INDIRECT(ADDRESS(2,COLUMN())),OFFSET($K$2,0,0,ROW()-1,5),ROW()-1,FALSE))</f>
        <v>0.52047601300000002</v>
      </c>
      <c r="H78" t="str">
        <f ca="1">IF(AND(ISNUMBER($H$1201),$B$1132=1),$H$1201,HLOOKUP(INDIRECT(ADDRESS(2,COLUMN())),OFFSET($K$2,0,0,ROW()-1,5),ROW()-1,FALSE))</f>
        <v/>
      </c>
      <c r="I78" t="str">
        <f ca="1">IF(AND(ISNUMBER($I$1201),$B$1132=1),$I$1201,HLOOKUP(INDIRECT(ADDRESS(2,COLUMN())),OFFSET($K$2,0,0,ROW()-1,5),ROW()-1,FALSE))</f>
        <v/>
      </c>
      <c r="J78" t="str">
        <f ca="1">IF(AND(ISNUMBER($J$1201),$B$1132=1),$J$1201,HLOOKUP(INDIRECT(ADDRESS(2,COLUMN())),OFFSET($K$2,0,0,ROW()-1,5),ROW()-1,FALSE))</f>
        <v/>
      </c>
      <c r="K78" t="str">
        <f>""</f>
        <v/>
      </c>
      <c r="L78">
        <f>0.520476013</f>
        <v>0.52047601300000002</v>
      </c>
      <c r="M78" t="str">
        <f>""</f>
        <v/>
      </c>
      <c r="N78" t="str">
        <f>""</f>
        <v/>
      </c>
      <c r="O78" t="str">
        <f>""</f>
        <v/>
      </c>
    </row>
    <row r="79" spans="1:15" x14ac:dyDescent="0.25">
      <c r="A79" t="str">
        <f>"                    Bridgestone Corp"</f>
        <v xml:space="preserve">                    Bridgestone Corp</v>
      </c>
      <c r="B79" t="str">
        <f>"5108 JP Equity"</f>
        <v>5108 JP Equity</v>
      </c>
      <c r="C79" t="str">
        <f t="shared" si="6"/>
        <v>F0946</v>
      </c>
      <c r="D79" t="str">
        <f t="shared" si="7"/>
        <v>TOTAL_GHG_CO2_EMISSIONS</v>
      </c>
      <c r="E79" t="str">
        <f t="shared" si="8"/>
        <v>Dynamic</v>
      </c>
      <c r="F79" t="str">
        <f ca="1">IF(AND(ISNUMBER($F$1202),$B$1132=1),$F$1202,HLOOKUP(INDIRECT(ADDRESS(2,COLUMN())),OFFSET($K$2,0,0,ROW()-1,5),ROW()-1,FALSE))</f>
        <v/>
      </c>
      <c r="G79">
        <f ca="1">IF(AND(ISNUMBER($G$1202),$B$1132=1),$G$1202,HLOOKUP(INDIRECT(ADDRESS(2,COLUMN())),OFFSET($K$2,0,0,ROW()-1,5),ROW()-1,FALSE))</f>
        <v>3.7839999999999998</v>
      </c>
      <c r="H79">
        <f ca="1">IF(AND(ISNUMBER($H$1202),$B$1132=1),$H$1202,HLOOKUP(INDIRECT(ADDRESS(2,COLUMN())),OFFSET($K$2,0,0,ROW()-1,5),ROW()-1,FALSE))</f>
        <v>3.4359299320000001</v>
      </c>
      <c r="I79">
        <f ca="1">IF(AND(ISNUMBER($I$1202),$B$1132=1),$I$1202,HLOOKUP(INDIRECT(ADDRESS(2,COLUMN())),OFFSET($K$2,0,0,ROW()-1,5),ROW()-1,FALSE))</f>
        <v>4.0912600100000001</v>
      </c>
      <c r="J79">
        <f ca="1">IF(AND(ISNUMBER($J$1202),$B$1132=1),$J$1202,HLOOKUP(INDIRECT(ADDRESS(2,COLUMN())),OFFSET($K$2,0,0,ROW()-1,5),ROW()-1,FALSE))</f>
        <v>4.2470898439999996</v>
      </c>
      <c r="K79" t="str">
        <f>""</f>
        <v/>
      </c>
      <c r="L79">
        <f>3.784</f>
        <v>3.7839999999999998</v>
      </c>
      <c r="M79">
        <f>3.435929932</f>
        <v>3.4359299320000001</v>
      </c>
      <c r="N79">
        <f>4.09126001</f>
        <v>4.0912600100000001</v>
      </c>
      <c r="O79">
        <f>4.247089844</f>
        <v>4.2470898439999996</v>
      </c>
    </row>
    <row r="80" spans="1:15" x14ac:dyDescent="0.25">
      <c r="A80" t="str">
        <f>"                    Cheng Shin Rubber Industry Co"</f>
        <v xml:space="preserve">                    Cheng Shin Rubber Industry Co</v>
      </c>
      <c r="B80" t="str">
        <f>"2105 TT Equity"</f>
        <v>2105 TT Equity</v>
      </c>
      <c r="C80" t="str">
        <f t="shared" si="6"/>
        <v>F0946</v>
      </c>
      <c r="D80" t="str">
        <f t="shared" si="7"/>
        <v>TOTAL_GHG_CO2_EMISSIONS</v>
      </c>
      <c r="E80" t="str">
        <f t="shared" si="8"/>
        <v>Dynamic</v>
      </c>
      <c r="F80" t="str">
        <f ca="1">IF(AND(ISNUMBER($F$1203),$B$1132=1),$F$1203,HLOOKUP(INDIRECT(ADDRESS(2,COLUMN())),OFFSET($K$2,0,0,ROW()-1,5),ROW()-1,FALSE))</f>
        <v/>
      </c>
      <c r="G80" t="str">
        <f ca="1">IF(AND(ISNUMBER($G$1203),$B$1132=1),$G$1203,HLOOKUP(INDIRECT(ADDRESS(2,COLUMN())),OFFSET($K$2,0,0,ROW()-1,5),ROW()-1,FALSE))</f>
        <v/>
      </c>
      <c r="H80" t="str">
        <f ca="1">IF(AND(ISNUMBER($H$1203),$B$1132=1),$H$1203,HLOOKUP(INDIRECT(ADDRESS(2,COLUMN())),OFFSET($K$2,0,0,ROW()-1,5),ROW()-1,FALSE))</f>
        <v/>
      </c>
      <c r="I80" t="str">
        <f ca="1">IF(AND(ISNUMBER($I$1203),$B$1132=1),$I$1203,HLOOKUP(INDIRECT(ADDRESS(2,COLUMN())),OFFSET($K$2,0,0,ROW()-1,5),ROW()-1,FALSE))</f>
        <v/>
      </c>
      <c r="J80" t="str">
        <f ca="1">IF(AND(ISNUMBER($J$1203),$B$1132=1),$J$1203,HLOOKUP(INDIRECT(ADDRESS(2,COLUMN())),OFFSET($K$2,0,0,ROW()-1,5),ROW()-1,FALSE))</f>
        <v/>
      </c>
      <c r="K80" t="str">
        <f>""</f>
        <v/>
      </c>
      <c r="L80" t="str">
        <f>""</f>
        <v/>
      </c>
      <c r="M80" t="str">
        <f>""</f>
        <v/>
      </c>
      <c r="N80" t="str">
        <f>""</f>
        <v/>
      </c>
      <c r="O80" t="str">
        <f>""</f>
        <v/>
      </c>
    </row>
    <row r="81" spans="1:15" x14ac:dyDescent="0.25">
      <c r="A81" t="str">
        <f>"                    CIE Automotive SA"</f>
        <v xml:space="preserve">                    CIE Automotive SA</v>
      </c>
      <c r="B81" t="str">
        <f>"CIE SM Equity"</f>
        <v>CIE SM Equity</v>
      </c>
      <c r="C81" t="str">
        <f t="shared" si="6"/>
        <v>F0946</v>
      </c>
      <c r="D81" t="str">
        <f t="shared" si="7"/>
        <v>TOTAL_GHG_CO2_EMISSIONS</v>
      </c>
      <c r="E81" t="str">
        <f t="shared" si="8"/>
        <v>Dynamic</v>
      </c>
      <c r="F81">
        <f ca="1">IF(AND(ISNUMBER($F$1204),$B$1132=1),$F$1204,HLOOKUP(INDIRECT(ADDRESS(2,COLUMN())),OFFSET($K$2,0,0,ROW()-1,5),ROW()-1,FALSE))</f>
        <v>0.425315002</v>
      </c>
      <c r="G81">
        <f ca="1">IF(AND(ISNUMBER($G$1204),$B$1132=1),$G$1204,HLOOKUP(INDIRECT(ADDRESS(2,COLUMN())),OFFSET($K$2,0,0,ROW()-1,5),ROW()-1,FALSE))</f>
        <v>0.64357800300000001</v>
      </c>
      <c r="H81">
        <f ca="1">IF(AND(ISNUMBER($H$1204),$B$1132=1),$H$1204,HLOOKUP(INDIRECT(ADDRESS(2,COLUMN())),OFFSET($K$2,0,0,ROW()-1,5),ROW()-1,FALSE))</f>
        <v>0.41527600100000001</v>
      </c>
      <c r="I81">
        <f ca="1">IF(AND(ISNUMBER($I$1204),$B$1132=1),$I$1204,HLOOKUP(INDIRECT(ADDRESS(2,COLUMN())),OFFSET($K$2,0,0,ROW()-1,5),ROW()-1,FALSE))</f>
        <v>0.45096301300000002</v>
      </c>
      <c r="J81">
        <f ca="1">IF(AND(ISNUMBER($J$1204),$B$1132=1),$J$1204,HLOOKUP(INDIRECT(ADDRESS(2,COLUMN())),OFFSET($K$2,0,0,ROW()-1,5),ROW()-1,FALSE))</f>
        <v>0.45887799099999999</v>
      </c>
      <c r="K81">
        <f>0.425315002</f>
        <v>0.425315002</v>
      </c>
      <c r="L81">
        <f>0.643578003</f>
        <v>0.64357800300000001</v>
      </c>
      <c r="M81">
        <f>0.415276001</f>
        <v>0.41527600100000001</v>
      </c>
      <c r="N81">
        <f>0.450963013</f>
        <v>0.45096301300000002</v>
      </c>
      <c r="O81">
        <f>0.458877991</f>
        <v>0.45887799099999999</v>
      </c>
    </row>
    <row r="82" spans="1:15" x14ac:dyDescent="0.25">
      <c r="A82" t="str">
        <f>"                    Cie Plastic Omnium SA"</f>
        <v xml:space="preserve">                    Cie Plastic Omnium SA</v>
      </c>
      <c r="B82" t="str">
        <f>"POM FP Equity"</f>
        <v>POM FP Equity</v>
      </c>
      <c r="C82" t="str">
        <f t="shared" si="6"/>
        <v>F0946</v>
      </c>
      <c r="D82" t="str">
        <f t="shared" si="7"/>
        <v>TOTAL_GHG_CO2_EMISSIONS</v>
      </c>
      <c r="E82" t="str">
        <f t="shared" si="8"/>
        <v>Dynamic</v>
      </c>
      <c r="F82">
        <f ca="1">IF(AND(ISNUMBER($F$1205),$B$1132=1),$F$1205,HLOOKUP(INDIRECT(ADDRESS(2,COLUMN())),OFFSET($K$2,0,0,ROW()-1,5),ROW()-1,FALSE))</f>
        <v>0.38100000000000001</v>
      </c>
      <c r="G82">
        <f ca="1">IF(AND(ISNUMBER($G$1205),$B$1132=1),$G$1205,HLOOKUP(INDIRECT(ADDRESS(2,COLUMN())),OFFSET($K$2,0,0,ROW()-1,5),ROW()-1,FALSE))</f>
        <v>0.379109009</v>
      </c>
      <c r="H82">
        <f ca="1">IF(AND(ISNUMBER($H$1205),$B$1132=1),$H$1205,HLOOKUP(INDIRECT(ADDRESS(2,COLUMN())),OFFSET($K$2,0,0,ROW()-1,5),ROW()-1,FALSE))</f>
        <v>0.35479998800000001</v>
      </c>
      <c r="I82">
        <f ca="1">IF(AND(ISNUMBER($I$1205),$B$1132=1),$I$1205,HLOOKUP(INDIRECT(ADDRESS(2,COLUMN())),OFFSET($K$2,0,0,ROW()-1,5),ROW()-1,FALSE))</f>
        <v>0.44548098800000002</v>
      </c>
      <c r="J82">
        <f ca="1">IF(AND(ISNUMBER($J$1205),$B$1132=1),$J$1205,HLOOKUP(INDIRECT(ADDRESS(2,COLUMN())),OFFSET($K$2,0,0,ROW()-1,5),ROW()-1,FALSE))</f>
        <v>0.476908997</v>
      </c>
      <c r="K82">
        <f>0.381</f>
        <v>0.38100000000000001</v>
      </c>
      <c r="L82">
        <f>0.379109009</f>
        <v>0.379109009</v>
      </c>
      <c r="M82">
        <f>0.354799988</f>
        <v>0.35479998800000001</v>
      </c>
      <c r="N82">
        <f>0.445480988</f>
        <v>0.44548098800000002</v>
      </c>
      <c r="O82">
        <f>0.476908997</f>
        <v>0.476908997</v>
      </c>
    </row>
    <row r="83" spans="1:15" x14ac:dyDescent="0.25">
      <c r="A83" t="str">
        <f>"                    Continental AG"</f>
        <v xml:space="preserve">                    Continental AG</v>
      </c>
      <c r="B83" t="str">
        <f>"CON GR Equity"</f>
        <v>CON GR Equity</v>
      </c>
      <c r="C83" t="str">
        <f t="shared" si="6"/>
        <v>F0946</v>
      </c>
      <c r="D83" t="str">
        <f t="shared" si="7"/>
        <v>TOTAL_GHG_CO2_EMISSIONS</v>
      </c>
      <c r="E83" t="str">
        <f t="shared" si="8"/>
        <v>Dynamic</v>
      </c>
      <c r="F83" t="str">
        <f ca="1">IF(AND(ISNUMBER($F$1206),$B$1132=1),$F$1206,HLOOKUP(INDIRECT(ADDRESS(2,COLUMN())),OFFSET($K$2,0,0,ROW()-1,5),ROW()-1,FALSE))</f>
        <v/>
      </c>
      <c r="G83">
        <f ca="1">IF(AND(ISNUMBER($G$1206),$B$1132=1),$G$1206,HLOOKUP(INDIRECT(ADDRESS(2,COLUMN())),OFFSET($K$2,0,0,ROW()-1,5),ROW()-1,FALSE))</f>
        <v>2.9055700679999998</v>
      </c>
      <c r="H83">
        <f ca="1">IF(AND(ISNUMBER($H$1206),$B$1132=1),$H$1206,HLOOKUP(INDIRECT(ADDRESS(2,COLUMN())),OFFSET($K$2,0,0,ROW()-1,5),ROW()-1,FALSE))</f>
        <v>2.96</v>
      </c>
      <c r="I83">
        <f ca="1">IF(AND(ISNUMBER($I$1206),$B$1132=1),$I$1206,HLOOKUP(INDIRECT(ADDRESS(2,COLUMN())),OFFSET($K$2,0,0,ROW()-1,5),ROW()-1,FALSE))</f>
        <v>3.22</v>
      </c>
      <c r="J83">
        <f ca="1">IF(AND(ISNUMBER($J$1206),$B$1132=1),$J$1206,HLOOKUP(INDIRECT(ADDRESS(2,COLUMN())),OFFSET($K$2,0,0,ROW()-1,5),ROW()-1,FALSE))</f>
        <v>3.2206599119999999</v>
      </c>
      <c r="K83" t="str">
        <f>""</f>
        <v/>
      </c>
      <c r="L83">
        <f>2.905570068</f>
        <v>2.9055700679999998</v>
      </c>
      <c r="M83">
        <f>2.96</f>
        <v>2.96</v>
      </c>
      <c r="N83">
        <f>3.22</f>
        <v>3.22</v>
      </c>
      <c r="O83">
        <f>3.220659912</f>
        <v>3.2206599119999999</v>
      </c>
    </row>
    <row r="84" spans="1:15" x14ac:dyDescent="0.25">
      <c r="A84" t="str">
        <f>"                    Dana Inc"</f>
        <v xml:space="preserve">                    Dana Inc</v>
      </c>
      <c r="B84" t="str">
        <f>"DAN US Equity"</f>
        <v>DAN US Equity</v>
      </c>
      <c r="C84" t="str">
        <f t="shared" si="6"/>
        <v>F0946</v>
      </c>
      <c r="D84" t="str">
        <f t="shared" si="7"/>
        <v>TOTAL_GHG_CO2_EMISSIONS</v>
      </c>
      <c r="E84" t="str">
        <f t="shared" si="8"/>
        <v>Dynamic</v>
      </c>
      <c r="F84">
        <f ca="1">IF(AND(ISNUMBER($F$1207),$B$1132=1),$F$1207,HLOOKUP(INDIRECT(ADDRESS(2,COLUMN())),OFFSET($K$2,0,0,ROW()-1,5),ROW()-1,FALSE))</f>
        <v>0.49820901499999998</v>
      </c>
      <c r="G84">
        <f ca="1">IF(AND(ISNUMBER($G$1207),$B$1132=1),$G$1207,HLOOKUP(INDIRECT(ADDRESS(2,COLUMN())),OFFSET($K$2,0,0,ROW()-1,5),ROW()-1,FALSE))</f>
        <v>0.54655798300000002</v>
      </c>
      <c r="H84">
        <f ca="1">IF(AND(ISNUMBER($H$1207),$B$1132=1),$H$1207,HLOOKUP(INDIRECT(ADDRESS(2,COLUMN())),OFFSET($K$2,0,0,ROW()-1,5),ROW()-1,FALSE))</f>
        <v>0.521570007</v>
      </c>
      <c r="I84">
        <f ca="1">IF(AND(ISNUMBER($I$1207),$B$1132=1),$I$1207,HLOOKUP(INDIRECT(ADDRESS(2,COLUMN())),OFFSET($K$2,0,0,ROW()-1,5),ROW()-1,FALSE))</f>
        <v>0.61784198000000001</v>
      </c>
      <c r="J84">
        <f ca="1">IF(AND(ISNUMBER($J$1207),$B$1132=1),$J$1207,HLOOKUP(INDIRECT(ADDRESS(2,COLUMN())),OFFSET($K$2,0,0,ROW()-1,5),ROW()-1,FALSE))</f>
        <v>0.54212902799999996</v>
      </c>
      <c r="K84">
        <f>0.498209015</f>
        <v>0.49820901499999998</v>
      </c>
      <c r="L84">
        <f>0.546557983</f>
        <v>0.54655798300000002</v>
      </c>
      <c r="M84">
        <f>0.521570007</f>
        <v>0.521570007</v>
      </c>
      <c r="N84">
        <f>0.61784198</f>
        <v>0.61784198000000001</v>
      </c>
      <c r="O84">
        <f>0.542129028</f>
        <v>0.54212902799999996</v>
      </c>
    </row>
    <row r="85" spans="1:15" x14ac:dyDescent="0.25">
      <c r="A85" t="str">
        <f>"                    Denso Corp"</f>
        <v xml:space="preserve">                    Denso Corp</v>
      </c>
      <c r="B85" t="str">
        <f>"6902 JP Equity"</f>
        <v>6902 JP Equity</v>
      </c>
      <c r="C85" t="str">
        <f t="shared" si="6"/>
        <v>F0946</v>
      </c>
      <c r="D85" t="str">
        <f t="shared" si="7"/>
        <v>TOTAL_GHG_CO2_EMISSIONS</v>
      </c>
      <c r="E85" t="str">
        <f t="shared" si="8"/>
        <v>Dynamic</v>
      </c>
      <c r="F85" t="str">
        <f ca="1">IF(AND(ISNUMBER($F$1208),$B$1132=1),$F$1208,HLOOKUP(INDIRECT(ADDRESS(2,COLUMN())),OFFSET($K$2,0,0,ROW()-1,5),ROW()-1,FALSE))</f>
        <v/>
      </c>
      <c r="G85">
        <f ca="1">IF(AND(ISNUMBER($G$1208),$B$1132=1),$G$1208,HLOOKUP(INDIRECT(ADDRESS(2,COLUMN())),OFFSET($K$2,0,0,ROW()-1,5),ROW()-1,FALSE))</f>
        <v>2.1045800780000001</v>
      </c>
      <c r="H85">
        <f ca="1">IF(AND(ISNUMBER($H$1208),$B$1132=1),$H$1208,HLOOKUP(INDIRECT(ADDRESS(2,COLUMN())),OFFSET($K$2,0,0,ROW()-1,5),ROW()-1,FALSE))</f>
        <v>1.784</v>
      </c>
      <c r="I85">
        <f ca="1">IF(AND(ISNUMBER($I$1208),$B$1132=1),$I$1208,HLOOKUP(INDIRECT(ADDRESS(2,COLUMN())),OFFSET($K$2,0,0,ROW()-1,5),ROW()-1,FALSE))</f>
        <v>1.73</v>
      </c>
      <c r="J85">
        <f ca="1">IF(AND(ISNUMBER($J$1208),$B$1132=1),$J$1208,HLOOKUP(INDIRECT(ADDRESS(2,COLUMN())),OFFSET($K$2,0,0,ROW()-1,5),ROW()-1,FALSE))</f>
        <v>1.66</v>
      </c>
      <c r="K85" t="str">
        <f>""</f>
        <v/>
      </c>
      <c r="L85">
        <f>2.104580078</f>
        <v>2.1045800780000001</v>
      </c>
      <c r="M85">
        <f>1.784</f>
        <v>1.784</v>
      </c>
      <c r="N85">
        <f>1.73</f>
        <v>1.73</v>
      </c>
      <c r="O85">
        <f>1.66</f>
        <v>1.66</v>
      </c>
    </row>
    <row r="86" spans="1:15" x14ac:dyDescent="0.25">
      <c r="A86" t="str">
        <f>"                    Eaton Corp PLC"</f>
        <v xml:space="preserve">                    Eaton Corp PLC</v>
      </c>
      <c r="B86" t="str">
        <f>"ETN US Equity"</f>
        <v>ETN US Equity</v>
      </c>
      <c r="C86" t="str">
        <f t="shared" si="6"/>
        <v>F0946</v>
      </c>
      <c r="D86" t="str">
        <f t="shared" si="7"/>
        <v>TOTAL_GHG_CO2_EMISSIONS</v>
      </c>
      <c r="E86" t="str">
        <f t="shared" si="8"/>
        <v>Dynamic</v>
      </c>
      <c r="F86" t="str">
        <f ca="1">IF(AND(ISNUMBER($F$1209),$B$1132=1),$F$1209,HLOOKUP(INDIRECT(ADDRESS(2,COLUMN())),OFFSET($K$2,0,0,ROW()-1,5),ROW()-1,FALSE))</f>
        <v/>
      </c>
      <c r="G86">
        <f ca="1">IF(AND(ISNUMBER($G$1209),$B$1132=1),$G$1209,HLOOKUP(INDIRECT(ADDRESS(2,COLUMN())),OFFSET($K$2,0,0,ROW()-1,5),ROW()-1,FALSE))</f>
        <v>0.82987799100000004</v>
      </c>
      <c r="H86">
        <f ca="1">IF(AND(ISNUMBER($H$1209),$B$1132=1),$H$1209,HLOOKUP(INDIRECT(ADDRESS(2,COLUMN())),OFFSET($K$2,0,0,ROW()-1,5),ROW()-1,FALSE))</f>
        <v>0.97406897000000003</v>
      </c>
      <c r="I86">
        <f ca="1">IF(AND(ISNUMBER($I$1209),$B$1132=1),$I$1209,HLOOKUP(INDIRECT(ADDRESS(2,COLUMN())),OFFSET($K$2,0,0,ROW()-1,5),ROW()-1,FALSE))</f>
        <v>1.0662</v>
      </c>
      <c r="J86">
        <f ca="1">IF(AND(ISNUMBER($J$1209),$B$1132=1),$J$1209,HLOOKUP(INDIRECT(ADDRESS(2,COLUMN())),OFFSET($K$2,0,0,ROW()-1,5),ROW()-1,FALSE))</f>
        <v>1.1788900149999999</v>
      </c>
      <c r="K86" t="str">
        <f>""</f>
        <v/>
      </c>
      <c r="L86">
        <f>0.829877991</f>
        <v>0.82987799100000004</v>
      </c>
      <c r="M86">
        <f>0.97406897</f>
        <v>0.97406897000000003</v>
      </c>
      <c r="N86">
        <f>1.0662</f>
        <v>1.0662</v>
      </c>
      <c r="O86">
        <f>1.178890015</f>
        <v>1.1788900149999999</v>
      </c>
    </row>
    <row r="87" spans="1:15" x14ac:dyDescent="0.25">
      <c r="A87" t="str">
        <f>"                    Exedy Corp"</f>
        <v xml:space="preserve">                    Exedy Corp</v>
      </c>
      <c r="B87" t="str">
        <f>"7278 JP Equity"</f>
        <v>7278 JP Equity</v>
      </c>
      <c r="C87" t="str">
        <f t="shared" si="6"/>
        <v>F0946</v>
      </c>
      <c r="D87" t="str">
        <f t="shared" si="7"/>
        <v>TOTAL_GHG_CO2_EMISSIONS</v>
      </c>
      <c r="E87" t="str">
        <f t="shared" si="8"/>
        <v>Dynamic</v>
      </c>
      <c r="F87" t="str">
        <f ca="1">IF(AND(ISNUMBER($F$1210),$B$1132=1),$F$1210,HLOOKUP(INDIRECT(ADDRESS(2,COLUMN())),OFFSET($K$2,0,0,ROW()-1,5),ROW()-1,FALSE))</f>
        <v/>
      </c>
      <c r="G87">
        <f ca="1">IF(AND(ISNUMBER($G$1210),$B$1132=1),$G$1210,HLOOKUP(INDIRECT(ADDRESS(2,COLUMN())),OFFSET($K$2,0,0,ROW()-1,5),ROW()-1,FALSE))</f>
        <v>0.21835400399999999</v>
      </c>
      <c r="H87">
        <f ca="1">IF(AND(ISNUMBER($H$1210),$B$1132=1),$H$1210,HLOOKUP(INDIRECT(ADDRESS(2,COLUMN())),OFFSET($K$2,0,0,ROW()-1,5),ROW()-1,FALSE))</f>
        <v>0.21867500300000001</v>
      </c>
      <c r="I87">
        <f ca="1">IF(AND(ISNUMBER($I$1210),$B$1132=1),$I$1210,HLOOKUP(INDIRECT(ADDRESS(2,COLUMN())),OFFSET($K$2,0,0,ROW()-1,5),ROW()-1,FALSE))</f>
        <v>0.25258799700000001</v>
      </c>
      <c r="J87">
        <f ca="1">IF(AND(ISNUMBER($J$1210),$B$1132=1),$J$1210,HLOOKUP(INDIRECT(ADDRESS(2,COLUMN())),OFFSET($K$2,0,0,ROW()-1,5),ROW()-1,FALSE))</f>
        <v>0.27645800799999998</v>
      </c>
      <c r="K87" t="str">
        <f>""</f>
        <v/>
      </c>
      <c r="L87">
        <f>0.218354004</f>
        <v>0.21835400399999999</v>
      </c>
      <c r="M87">
        <f>0.218675003</f>
        <v>0.21867500300000001</v>
      </c>
      <c r="N87">
        <f>0.252587997</f>
        <v>0.25258799700000001</v>
      </c>
      <c r="O87">
        <f>0.276458008</f>
        <v>0.27645800799999998</v>
      </c>
    </row>
    <row r="88" spans="1:15" x14ac:dyDescent="0.25">
      <c r="A88" t="str">
        <f>"                    Eberspaecher Climate Control S"</f>
        <v xml:space="preserve">                    Eberspaecher Climate Control S</v>
      </c>
      <c r="B88" t="str">
        <f>"3577080Z GR Equity"</f>
        <v>3577080Z GR Equity</v>
      </c>
      <c r="C88" t="str">
        <f t="shared" si="6"/>
        <v>F0946</v>
      </c>
      <c r="D88" t="str">
        <f t="shared" si="7"/>
        <v>TOTAL_GHG_CO2_EMISSIONS</v>
      </c>
      <c r="E88" t="str">
        <f t="shared" si="8"/>
        <v>Dynamic</v>
      </c>
      <c r="F88" t="str">
        <f ca="1">IF(AND(ISNUMBER($F$1211),$B$1132=1),$F$1211,HLOOKUP(INDIRECT(ADDRESS(2,COLUMN())),OFFSET($K$2,0,0,ROW()-1,5),ROW()-1,FALSE))</f>
        <v/>
      </c>
      <c r="G88" t="str">
        <f ca="1">IF(AND(ISNUMBER($G$1211),$B$1132=1),$G$1211,HLOOKUP(INDIRECT(ADDRESS(2,COLUMN())),OFFSET($K$2,0,0,ROW()-1,5),ROW()-1,FALSE))</f>
        <v/>
      </c>
      <c r="H88" t="str">
        <f ca="1">IF(AND(ISNUMBER($H$1211),$B$1132=1),$H$1211,HLOOKUP(INDIRECT(ADDRESS(2,COLUMN())),OFFSET($K$2,0,0,ROW()-1,5),ROW()-1,FALSE))</f>
        <v/>
      </c>
      <c r="I88" t="str">
        <f ca="1">IF(AND(ISNUMBER($I$1211),$B$1132=1),$I$1211,HLOOKUP(INDIRECT(ADDRESS(2,COLUMN())),OFFSET($K$2,0,0,ROW()-1,5),ROW()-1,FALSE))</f>
        <v/>
      </c>
      <c r="J88" t="str">
        <f ca="1">IF(AND(ISNUMBER($J$1211),$B$1132=1),$J$1211,HLOOKUP(INDIRECT(ADDRESS(2,COLUMN())),OFFSET($K$2,0,0,ROW()-1,5),ROW()-1,FALSE))</f>
        <v/>
      </c>
      <c r="K88" t="str">
        <f>""</f>
        <v/>
      </c>
      <c r="L88" t="str">
        <f>""</f>
        <v/>
      </c>
      <c r="M88" t="str">
        <f>""</f>
        <v/>
      </c>
      <c r="N88" t="str">
        <f>""</f>
        <v/>
      </c>
      <c r="O88" t="str">
        <f>""</f>
        <v/>
      </c>
    </row>
    <row r="89" spans="1:15" x14ac:dyDescent="0.25">
      <c r="A89" t="str">
        <f>"                    F-Tech Inc"</f>
        <v xml:space="preserve">                    F-Tech Inc</v>
      </c>
      <c r="B89" t="str">
        <f>"7212 JP Equity"</f>
        <v>7212 JP Equity</v>
      </c>
      <c r="C89" t="str">
        <f t="shared" si="6"/>
        <v>F0946</v>
      </c>
      <c r="D89" t="str">
        <f t="shared" si="7"/>
        <v>TOTAL_GHG_CO2_EMISSIONS</v>
      </c>
      <c r="E89" t="str">
        <f t="shared" si="8"/>
        <v>Dynamic</v>
      </c>
      <c r="F89" t="str">
        <f ca="1">IF(AND(ISNUMBER($F$1212),$B$1132=1),$F$1212,HLOOKUP(INDIRECT(ADDRESS(2,COLUMN())),OFFSET($K$2,0,0,ROW()-1,5),ROW()-1,FALSE))</f>
        <v/>
      </c>
      <c r="G89">
        <f ca="1">IF(AND(ISNUMBER($G$1212),$B$1132=1),$G$1212,HLOOKUP(INDIRECT(ADDRESS(2,COLUMN())),OFFSET($K$2,0,0,ROW()-1,5),ROW()-1,FALSE))</f>
        <v>9.2438004000000004E-2</v>
      </c>
      <c r="H89">
        <f ca="1">IF(AND(ISNUMBER($H$1212),$B$1132=1),$H$1212,HLOOKUP(INDIRECT(ADDRESS(2,COLUMN())),OFFSET($K$2,0,0,ROW()-1,5),ROW()-1,FALSE))</f>
        <v>9.1103996000000007E-2</v>
      </c>
      <c r="I89">
        <f ca="1">IF(AND(ISNUMBER($I$1212),$B$1132=1),$I$1212,HLOOKUP(INDIRECT(ADDRESS(2,COLUMN())),OFFSET($K$2,0,0,ROW()-1,5),ROW()-1,FALSE))</f>
        <v>0.11654299899999999</v>
      </c>
      <c r="J89">
        <f ca="1">IF(AND(ISNUMBER($J$1212),$B$1132=1),$J$1212,HLOOKUP(INDIRECT(ADDRESS(2,COLUMN())),OFFSET($K$2,0,0,ROW()-1,5),ROW()-1,FALSE))</f>
        <v>0.13059500099999999</v>
      </c>
      <c r="K89" t="str">
        <f>""</f>
        <v/>
      </c>
      <c r="L89">
        <f>0.092438004</f>
        <v>9.2438004000000004E-2</v>
      </c>
      <c r="M89">
        <f>0.091103996</f>
        <v>9.1103996000000007E-2</v>
      </c>
      <c r="N89">
        <f>0.116542999</f>
        <v>0.11654299899999999</v>
      </c>
      <c r="O89">
        <f>0.130595001</f>
        <v>0.13059500099999999</v>
      </c>
    </row>
    <row r="90" spans="1:15" x14ac:dyDescent="0.25">
      <c r="A90" t="str">
        <f>"                    Fuyao Glass Industry Group Co"</f>
        <v xml:space="preserve">                    Fuyao Glass Industry Group Co</v>
      </c>
      <c r="B90" t="str">
        <f>"600660 CH Equity"</f>
        <v>600660 CH Equity</v>
      </c>
      <c r="C90" t="str">
        <f t="shared" si="6"/>
        <v>F0946</v>
      </c>
      <c r="D90" t="str">
        <f t="shared" si="7"/>
        <v>TOTAL_GHG_CO2_EMISSIONS</v>
      </c>
      <c r="E90" t="str">
        <f t="shared" si="8"/>
        <v>Dynamic</v>
      </c>
      <c r="F90">
        <f ca="1">IF(AND(ISNUMBER($F$1213),$B$1132=1),$F$1213,HLOOKUP(INDIRECT(ADDRESS(2,COLUMN())),OFFSET($K$2,0,0,ROW()-1,5),ROW()-1,FALSE))</f>
        <v>1.8848599850000001</v>
      </c>
      <c r="G90">
        <f ca="1">IF(AND(ISNUMBER($G$1213),$B$1132=1),$G$1213,HLOOKUP(INDIRECT(ADDRESS(2,COLUMN())),OFFSET($K$2,0,0,ROW()-1,5),ROW()-1,FALSE))</f>
        <v>1.8326800539999999</v>
      </c>
      <c r="H90">
        <f ca="1">IF(AND(ISNUMBER($H$1213),$B$1132=1),$H$1213,HLOOKUP(INDIRECT(ADDRESS(2,COLUMN())),OFFSET($K$2,0,0,ROW()-1,5),ROW()-1,FALSE))</f>
        <v>1.6489499510000001</v>
      </c>
      <c r="I90">
        <f ca="1">IF(AND(ISNUMBER($I$1213),$B$1132=1),$I$1213,HLOOKUP(INDIRECT(ADDRESS(2,COLUMN())),OFFSET($K$2,0,0,ROW()-1,5),ROW()-1,FALSE))</f>
        <v>1.9398499760000001</v>
      </c>
      <c r="J90">
        <f ca="1">IF(AND(ISNUMBER($J$1213),$B$1132=1),$J$1213,HLOOKUP(INDIRECT(ADDRESS(2,COLUMN())),OFFSET($K$2,0,0,ROW()-1,5),ROW()-1,FALSE))</f>
        <v>1.7601300049999999</v>
      </c>
      <c r="K90">
        <f>1.884859985</f>
        <v>1.8848599850000001</v>
      </c>
      <c r="L90">
        <f>1.832680054</f>
        <v>1.8326800539999999</v>
      </c>
      <c r="M90">
        <f>1.648949951</f>
        <v>1.6489499510000001</v>
      </c>
      <c r="N90">
        <f>1.939849976</f>
        <v>1.9398499760000001</v>
      </c>
      <c r="O90">
        <f>1.760130005</f>
        <v>1.7601300049999999</v>
      </c>
    </row>
    <row r="91" spans="1:15" x14ac:dyDescent="0.25">
      <c r="A91" t="str">
        <f>"                    Faurecia SE"</f>
        <v xml:space="preserve">                    Faurecia SE</v>
      </c>
      <c r="B91" t="str">
        <f>"EO FP Equity"</f>
        <v>EO FP Equity</v>
      </c>
      <c r="C91" t="str">
        <f t="shared" si="6"/>
        <v>F0946</v>
      </c>
      <c r="D91" t="str">
        <f t="shared" si="7"/>
        <v>TOTAL_GHG_CO2_EMISSIONS</v>
      </c>
      <c r="E91" t="str">
        <f t="shared" si="8"/>
        <v>Dynamic</v>
      </c>
      <c r="F91">
        <f ca="1">IF(AND(ISNUMBER($F$1214),$B$1132=1),$F$1214,HLOOKUP(INDIRECT(ADDRESS(2,COLUMN())),OFFSET($K$2,0,0,ROW()-1,5),ROW()-1,FALSE))</f>
        <v>0.59899999999999998</v>
      </c>
      <c r="G91">
        <f ca="1">IF(AND(ISNUMBER($G$1214),$B$1132=1),$G$1214,HLOOKUP(INDIRECT(ADDRESS(2,COLUMN())),OFFSET($K$2,0,0,ROW()-1,5),ROW()-1,FALSE))</f>
        <v>0.72199999999999998</v>
      </c>
      <c r="H91">
        <f ca="1">IF(AND(ISNUMBER($H$1214),$B$1132=1),$H$1214,HLOOKUP(INDIRECT(ADDRESS(2,COLUMN())),OFFSET($K$2,0,0,ROW()-1,5),ROW()-1,FALSE))</f>
        <v>0.79600000000000004</v>
      </c>
      <c r="I91">
        <f ca="1">IF(AND(ISNUMBER($I$1214),$B$1132=1),$I$1214,HLOOKUP(INDIRECT(ADDRESS(2,COLUMN())),OFFSET($K$2,0,0,ROW()-1,5),ROW()-1,FALSE))</f>
        <v>0.93</v>
      </c>
      <c r="J91">
        <f ca="1">IF(AND(ISNUMBER($J$1214),$B$1132=1),$J$1214,HLOOKUP(INDIRECT(ADDRESS(2,COLUMN())),OFFSET($K$2,0,0,ROW()-1,5),ROW()-1,FALSE))</f>
        <v>0.72312097200000003</v>
      </c>
      <c r="K91">
        <f>0.599</f>
        <v>0.59899999999999998</v>
      </c>
      <c r="L91">
        <f>0.722</f>
        <v>0.72199999999999998</v>
      </c>
      <c r="M91">
        <f>0.796</f>
        <v>0.79600000000000004</v>
      </c>
      <c r="N91">
        <f>0.93</f>
        <v>0.93</v>
      </c>
      <c r="O91">
        <f>0.723120972</f>
        <v>0.72312097200000003</v>
      </c>
    </row>
    <row r="92" spans="1:15" x14ac:dyDescent="0.25">
      <c r="A92" t="str">
        <f>"                    Gajah Tunggal Tbk PT"</f>
        <v xml:space="preserve">                    Gajah Tunggal Tbk PT</v>
      </c>
      <c r="B92" t="str">
        <f>"GJTL IJ Equity"</f>
        <v>GJTL IJ Equity</v>
      </c>
      <c r="C92" t="str">
        <f t="shared" si="6"/>
        <v>F0946</v>
      </c>
      <c r="D92" t="str">
        <f t="shared" si="7"/>
        <v>TOTAL_GHG_CO2_EMISSIONS</v>
      </c>
      <c r="E92" t="str">
        <f t="shared" si="8"/>
        <v>Dynamic</v>
      </c>
      <c r="F92" t="str">
        <f ca="1">IF(AND(ISNUMBER($F$1215),$B$1132=1),$F$1215,HLOOKUP(INDIRECT(ADDRESS(2,COLUMN())),OFFSET($K$2,0,0,ROW()-1,5),ROW()-1,FALSE))</f>
        <v/>
      </c>
      <c r="G92" t="str">
        <f ca="1">IF(AND(ISNUMBER($G$1215),$B$1132=1),$G$1215,HLOOKUP(INDIRECT(ADDRESS(2,COLUMN())),OFFSET($K$2,0,0,ROW()-1,5),ROW()-1,FALSE))</f>
        <v/>
      </c>
      <c r="H92" t="str">
        <f ca="1">IF(AND(ISNUMBER($H$1215),$B$1132=1),$H$1215,HLOOKUP(INDIRECT(ADDRESS(2,COLUMN())),OFFSET($K$2,0,0,ROW()-1,5),ROW()-1,FALSE))</f>
        <v/>
      </c>
      <c r="I92" t="str">
        <f ca="1">IF(AND(ISNUMBER($I$1215),$B$1132=1),$I$1215,HLOOKUP(INDIRECT(ADDRESS(2,COLUMN())),OFFSET($K$2,0,0,ROW()-1,5),ROW()-1,FALSE))</f>
        <v/>
      </c>
      <c r="J92" t="str">
        <f ca="1">IF(AND(ISNUMBER($J$1215),$B$1132=1),$J$1215,HLOOKUP(INDIRECT(ADDRESS(2,COLUMN())),OFFSET($K$2,0,0,ROW()-1,5),ROW()-1,FALSE))</f>
        <v/>
      </c>
      <c r="K92" t="str">
        <f>""</f>
        <v/>
      </c>
      <c r="L92" t="str">
        <f>""</f>
        <v/>
      </c>
      <c r="M92" t="str">
        <f>""</f>
        <v/>
      </c>
      <c r="N92" t="str">
        <f>""</f>
        <v/>
      </c>
      <c r="O92" t="str">
        <f>""</f>
        <v/>
      </c>
    </row>
    <row r="93" spans="1:15" x14ac:dyDescent="0.25">
      <c r="A93" t="str">
        <f>"                    Gentex Corp"</f>
        <v xml:space="preserve">                    Gentex Corp</v>
      </c>
      <c r="B93" t="str">
        <f>"GNTX US Equity"</f>
        <v>GNTX US Equity</v>
      </c>
      <c r="C93" t="str">
        <f t="shared" si="6"/>
        <v>F0946</v>
      </c>
      <c r="D93" t="str">
        <f t="shared" si="7"/>
        <v>TOTAL_GHG_CO2_EMISSIONS</v>
      </c>
      <c r="E93" t="str">
        <f t="shared" si="8"/>
        <v>Dynamic</v>
      </c>
      <c r="F93">
        <f ca="1">IF(AND(ISNUMBER($F$1216),$B$1132=1),$F$1216,HLOOKUP(INDIRECT(ADDRESS(2,COLUMN())),OFFSET($K$2,0,0,ROW()-1,5),ROW()-1,FALSE))</f>
        <v>0.102989998</v>
      </c>
      <c r="G93">
        <f ca="1">IF(AND(ISNUMBER($G$1216),$B$1132=1),$G$1216,HLOOKUP(INDIRECT(ADDRESS(2,COLUMN())),OFFSET($K$2,0,0,ROW()-1,5),ROW()-1,FALSE))</f>
        <v>0.10906099700000001</v>
      </c>
      <c r="H93">
        <f ca="1">IF(AND(ISNUMBER($H$1216),$B$1132=1),$H$1216,HLOOKUP(INDIRECT(ADDRESS(2,COLUMN())),OFFSET($K$2,0,0,ROW()-1,5),ROW()-1,FALSE))</f>
        <v>0.108822998</v>
      </c>
      <c r="I93">
        <f ca="1">IF(AND(ISNUMBER($I$1216),$B$1132=1),$I$1216,HLOOKUP(INDIRECT(ADDRESS(2,COLUMN())),OFFSET($K$2,0,0,ROW()-1,5),ROW()-1,FALSE))</f>
        <v>0.111081001</v>
      </c>
      <c r="J93">
        <f ca="1">IF(AND(ISNUMBER($J$1216),$B$1132=1),$J$1216,HLOOKUP(INDIRECT(ADDRESS(2,COLUMN())),OFFSET($K$2,0,0,ROW()-1,5),ROW()-1,FALSE))</f>
        <v>0.105611</v>
      </c>
      <c r="K93">
        <f>0.102989998</f>
        <v>0.102989998</v>
      </c>
      <c r="L93">
        <f>0.109060997</f>
        <v>0.10906099700000001</v>
      </c>
      <c r="M93">
        <f>0.108822998</f>
        <v>0.108822998</v>
      </c>
      <c r="N93">
        <f>0.111081001</f>
        <v>0.111081001</v>
      </c>
      <c r="O93">
        <f>0.105611</f>
        <v>0.105611</v>
      </c>
    </row>
    <row r="94" spans="1:15" x14ac:dyDescent="0.25">
      <c r="A94" t="str">
        <f>"                    Georg Fischer AG"</f>
        <v xml:space="preserve">                    Georg Fischer AG</v>
      </c>
      <c r="B94" t="str">
        <f>"GF SW Equity"</f>
        <v>GF SW Equity</v>
      </c>
      <c r="C94" t="str">
        <f t="shared" si="6"/>
        <v>F0946</v>
      </c>
      <c r="D94" t="str">
        <f t="shared" si="7"/>
        <v>TOTAL_GHG_CO2_EMISSIONS</v>
      </c>
      <c r="E94" t="str">
        <f t="shared" si="8"/>
        <v>Dynamic</v>
      </c>
      <c r="F94">
        <f ca="1">IF(AND(ISNUMBER($F$1217),$B$1132=1),$F$1217,HLOOKUP(INDIRECT(ADDRESS(2,COLUMN())),OFFSET($K$2,0,0,ROW()-1,5),ROW()-1,FALSE))</f>
        <v>0.35399999999999998</v>
      </c>
      <c r="G94">
        <f ca="1">IF(AND(ISNUMBER($G$1217),$B$1132=1),$G$1217,HLOOKUP(INDIRECT(ADDRESS(2,COLUMN())),OFFSET($K$2,0,0,ROW()-1,5),ROW()-1,FALSE))</f>
        <v>0.377</v>
      </c>
      <c r="H94">
        <f ca="1">IF(AND(ISNUMBER($H$1217),$B$1132=1),$H$1217,HLOOKUP(INDIRECT(ADDRESS(2,COLUMN())),OFFSET($K$2,0,0,ROW()-1,5),ROW()-1,FALSE))</f>
        <v>0.36499999999999999</v>
      </c>
      <c r="I94">
        <f ca="1">IF(AND(ISNUMBER($I$1217),$B$1132=1),$I$1217,HLOOKUP(INDIRECT(ADDRESS(2,COLUMN())),OFFSET($K$2,0,0,ROW()-1,5),ROW()-1,FALSE))</f>
        <v>0.41</v>
      </c>
      <c r="J94">
        <f ca="1">IF(AND(ISNUMBER($J$1217),$B$1132=1),$J$1217,HLOOKUP(INDIRECT(ADDRESS(2,COLUMN())),OFFSET($K$2,0,0,ROW()-1,5),ROW()-1,FALSE))</f>
        <v>0.624</v>
      </c>
      <c r="K94">
        <f>0.354</f>
        <v>0.35399999999999998</v>
      </c>
      <c r="L94">
        <f>0.377</f>
        <v>0.377</v>
      </c>
      <c r="M94">
        <f>0.365</f>
        <v>0.36499999999999999</v>
      </c>
      <c r="N94">
        <f>0.41</f>
        <v>0.41</v>
      </c>
      <c r="O94">
        <f>0.624</f>
        <v>0.624</v>
      </c>
    </row>
    <row r="95" spans="1:15" x14ac:dyDescent="0.25">
      <c r="A95" t="str">
        <f>"                    Guizhou Tyre Co Ltd"</f>
        <v xml:space="preserve">                    Guizhou Tyre Co Ltd</v>
      </c>
      <c r="B95" t="str">
        <f>"000589 CH Equity"</f>
        <v>000589 CH Equity</v>
      </c>
      <c r="C95" t="str">
        <f t="shared" si="6"/>
        <v>F0946</v>
      </c>
      <c r="D95" t="str">
        <f t="shared" si="7"/>
        <v>TOTAL_GHG_CO2_EMISSIONS</v>
      </c>
      <c r="E95" t="str">
        <f t="shared" si="8"/>
        <v>Dynamic</v>
      </c>
      <c r="F95" t="str">
        <f ca="1">IF(AND(ISNUMBER($F$1218),$B$1132=1),$F$1218,HLOOKUP(INDIRECT(ADDRESS(2,COLUMN())),OFFSET($K$2,0,0,ROW()-1,5),ROW()-1,FALSE))</f>
        <v/>
      </c>
      <c r="G95" t="str">
        <f ca="1">IF(AND(ISNUMBER($G$1218),$B$1132=1),$G$1218,HLOOKUP(INDIRECT(ADDRESS(2,COLUMN())),OFFSET($K$2,0,0,ROW()-1,5),ROW()-1,FALSE))</f>
        <v/>
      </c>
      <c r="H95" t="str">
        <f ca="1">IF(AND(ISNUMBER($H$1218),$B$1132=1),$H$1218,HLOOKUP(INDIRECT(ADDRESS(2,COLUMN())),OFFSET($K$2,0,0,ROW()-1,5),ROW()-1,FALSE))</f>
        <v/>
      </c>
      <c r="I95" t="str">
        <f ca="1">IF(AND(ISNUMBER($I$1218),$B$1132=1),$I$1218,HLOOKUP(INDIRECT(ADDRESS(2,COLUMN())),OFFSET($K$2,0,0,ROW()-1,5),ROW()-1,FALSE))</f>
        <v/>
      </c>
      <c r="J95" t="str">
        <f ca="1">IF(AND(ISNUMBER($J$1218),$B$1132=1),$J$1218,HLOOKUP(INDIRECT(ADDRESS(2,COLUMN())),OFFSET($K$2,0,0,ROW()-1,5),ROW()-1,FALSE))</f>
        <v/>
      </c>
      <c r="K95" t="str">
        <f>""</f>
        <v/>
      </c>
      <c r="L95" t="str">
        <f>""</f>
        <v/>
      </c>
      <c r="M95" t="str">
        <f>""</f>
        <v/>
      </c>
      <c r="N95" t="str">
        <f>""</f>
        <v/>
      </c>
      <c r="O95" t="str">
        <f>""</f>
        <v/>
      </c>
    </row>
    <row r="96" spans="1:15" x14ac:dyDescent="0.25">
      <c r="A96" t="str">
        <f>"                    Hella GmbH &amp; Co KGaA"</f>
        <v xml:space="preserve">                    Hella GmbH &amp; Co KGaA</v>
      </c>
      <c r="B96" t="str">
        <f>"HLE GR Equity"</f>
        <v>HLE GR Equity</v>
      </c>
      <c r="C96" t="str">
        <f t="shared" si="6"/>
        <v>F0946</v>
      </c>
      <c r="D96" t="str">
        <f t="shared" si="7"/>
        <v>TOTAL_GHG_CO2_EMISSIONS</v>
      </c>
      <c r="E96" t="str">
        <f t="shared" si="8"/>
        <v>Dynamic</v>
      </c>
      <c r="F96" t="str">
        <f ca="1">IF(AND(ISNUMBER($F$1219),$B$1132=1),$F$1219,HLOOKUP(INDIRECT(ADDRESS(2,COLUMN())),OFFSET($K$2,0,0,ROW()-1,5),ROW()-1,FALSE))</f>
        <v/>
      </c>
      <c r="G96">
        <f ca="1">IF(AND(ISNUMBER($G$1219),$B$1132=1),$G$1219,HLOOKUP(INDIRECT(ADDRESS(2,COLUMN())),OFFSET($K$2,0,0,ROW()-1,5),ROW()-1,FALSE))</f>
        <v>0.203983002</v>
      </c>
      <c r="H96">
        <f ca="1">IF(AND(ISNUMBER($H$1219),$B$1132=1),$H$1219,HLOOKUP(INDIRECT(ADDRESS(2,COLUMN())),OFFSET($K$2,0,0,ROW()-1,5),ROW()-1,FALSE))</f>
        <v>0.22248500099999999</v>
      </c>
      <c r="I96">
        <f ca="1">IF(AND(ISNUMBER($I$1219),$B$1132=1),$I$1219,HLOOKUP(INDIRECT(ADDRESS(2,COLUMN())),OFFSET($K$2,0,0,ROW()-1,5),ROW()-1,FALSE))</f>
        <v>0.25766900599999998</v>
      </c>
      <c r="J96" t="str">
        <f ca="1">IF(AND(ISNUMBER($J$1219),$B$1132=1),$J$1219,HLOOKUP(INDIRECT(ADDRESS(2,COLUMN())),OFFSET($K$2,0,0,ROW()-1,5),ROW()-1,FALSE))</f>
        <v/>
      </c>
      <c r="K96" t="str">
        <f>""</f>
        <v/>
      </c>
      <c r="L96">
        <f>0.203983002</f>
        <v>0.203983002</v>
      </c>
      <c r="M96">
        <f>0.222485001</f>
        <v>0.22248500099999999</v>
      </c>
      <c r="N96">
        <f>0.257669006</f>
        <v>0.25766900599999998</v>
      </c>
      <c r="O96" t="str">
        <f>""</f>
        <v/>
      </c>
    </row>
    <row r="97" spans="1:15" x14ac:dyDescent="0.25">
      <c r="A97" t="str">
        <f>"                    Hitachi Ltd"</f>
        <v xml:space="preserve">                    Hitachi Ltd</v>
      </c>
      <c r="B97" t="str">
        <f>"6501 JP Equity"</f>
        <v>6501 JP Equity</v>
      </c>
      <c r="C97" t="str">
        <f t="shared" si="6"/>
        <v>F0946</v>
      </c>
      <c r="D97" t="str">
        <f t="shared" si="7"/>
        <v>TOTAL_GHG_CO2_EMISSIONS</v>
      </c>
      <c r="E97" t="str">
        <f t="shared" si="8"/>
        <v>Dynamic</v>
      </c>
      <c r="F97" t="str">
        <f ca="1">IF(AND(ISNUMBER($F$1220),$B$1132=1),$F$1220,HLOOKUP(INDIRECT(ADDRESS(2,COLUMN())),OFFSET($K$2,0,0,ROW()-1,5),ROW()-1,FALSE))</f>
        <v/>
      </c>
      <c r="G97">
        <f ca="1">IF(AND(ISNUMBER($G$1220),$B$1132=1),$G$1220,HLOOKUP(INDIRECT(ADDRESS(2,COLUMN())),OFFSET($K$2,0,0,ROW()-1,5),ROW()-1,FALSE))</f>
        <v>3.41</v>
      </c>
      <c r="H97">
        <f ca="1">IF(AND(ISNUMBER($H$1220),$B$1132=1),$H$1220,HLOOKUP(INDIRECT(ADDRESS(2,COLUMN())),OFFSET($K$2,0,0,ROW()-1,5),ROW()-1,FALSE))</f>
        <v>3.610679932</v>
      </c>
      <c r="I97">
        <f ca="1">IF(AND(ISNUMBER($I$1220),$B$1132=1),$I$1220,HLOOKUP(INDIRECT(ADDRESS(2,COLUMN())),OFFSET($K$2,0,0,ROW()-1,5),ROW()-1,FALSE))</f>
        <v>4.42</v>
      </c>
      <c r="J97">
        <f ca="1">IF(AND(ISNUMBER($J$1220),$B$1132=1),$J$1220,HLOOKUP(INDIRECT(ADDRESS(2,COLUMN())),OFFSET($K$2,0,0,ROW()-1,5),ROW()-1,FALSE))</f>
        <v>4.47</v>
      </c>
      <c r="K97" t="str">
        <f>""</f>
        <v/>
      </c>
      <c r="L97">
        <f>3.41</f>
        <v>3.41</v>
      </c>
      <c r="M97">
        <f>3.610679932</f>
        <v>3.610679932</v>
      </c>
      <c r="N97">
        <f>4.42</f>
        <v>4.42</v>
      </c>
      <c r="O97">
        <f>4.47</f>
        <v>4.47</v>
      </c>
    </row>
    <row r="98" spans="1:15" x14ac:dyDescent="0.25">
      <c r="A98" t="str">
        <f>"                    HL Holdings Corp"</f>
        <v xml:space="preserve">                    HL Holdings Corp</v>
      </c>
      <c r="B98" t="str">
        <f>"060980 KS Equity"</f>
        <v>060980 KS Equity</v>
      </c>
      <c r="C98" t="str">
        <f t="shared" si="6"/>
        <v>F0946</v>
      </c>
      <c r="D98" t="str">
        <f t="shared" si="7"/>
        <v>TOTAL_GHG_CO2_EMISSIONS</v>
      </c>
      <c r="E98" t="str">
        <f t="shared" si="8"/>
        <v>Dynamic</v>
      </c>
      <c r="F98" t="str">
        <f ca="1">IF(AND(ISNUMBER($F$1221),$B$1132=1),$F$1221,HLOOKUP(INDIRECT(ADDRESS(2,COLUMN())),OFFSET($K$2,0,0,ROW()-1,5),ROW()-1,FALSE))</f>
        <v/>
      </c>
      <c r="G98" t="str">
        <f ca="1">IF(AND(ISNUMBER($G$1221),$B$1132=1),$G$1221,HLOOKUP(INDIRECT(ADDRESS(2,COLUMN())),OFFSET($K$2,0,0,ROW()-1,5),ROW()-1,FALSE))</f>
        <v/>
      </c>
      <c r="H98" t="str">
        <f ca="1">IF(AND(ISNUMBER($H$1221),$B$1132=1),$H$1221,HLOOKUP(INDIRECT(ADDRESS(2,COLUMN())),OFFSET($K$2,0,0,ROW()-1,5),ROW()-1,FALSE))</f>
        <v/>
      </c>
      <c r="I98" t="str">
        <f ca="1">IF(AND(ISNUMBER($I$1221),$B$1132=1),$I$1221,HLOOKUP(INDIRECT(ADDRESS(2,COLUMN())),OFFSET($K$2,0,0,ROW()-1,5),ROW()-1,FALSE))</f>
        <v/>
      </c>
      <c r="J98" t="str">
        <f ca="1">IF(AND(ISNUMBER($J$1221),$B$1132=1),$J$1221,HLOOKUP(INDIRECT(ADDRESS(2,COLUMN())),OFFSET($K$2,0,0,ROW()-1,5),ROW()-1,FALSE))</f>
        <v/>
      </c>
      <c r="K98" t="str">
        <f>""</f>
        <v/>
      </c>
      <c r="L98" t="str">
        <f>""</f>
        <v/>
      </c>
      <c r="M98" t="str">
        <f>""</f>
        <v/>
      </c>
      <c r="N98" t="str">
        <f>""</f>
        <v/>
      </c>
      <c r="O98" t="str">
        <f>""</f>
        <v/>
      </c>
    </row>
    <row r="99" spans="1:15" x14ac:dyDescent="0.25">
      <c r="A99" t="str">
        <f>"                    Hyundai Mobis Co Ltd"</f>
        <v xml:space="preserve">                    Hyundai Mobis Co Ltd</v>
      </c>
      <c r="B99" t="str">
        <f>"012330 KS Equity"</f>
        <v>012330 KS Equity</v>
      </c>
      <c r="C99" t="str">
        <f t="shared" ref="C99:C130" si="9">"F0946"</f>
        <v>F0946</v>
      </c>
      <c r="D99" t="str">
        <f t="shared" ref="D99:D130" si="10">"TOTAL_GHG_CO2_EMISSIONS"</f>
        <v>TOTAL_GHG_CO2_EMISSIONS</v>
      </c>
      <c r="E99" t="str">
        <f t="shared" ref="E99:E130" si="11">"Dynamic"</f>
        <v>Dynamic</v>
      </c>
      <c r="F99">
        <f ca="1">IF(AND(ISNUMBER($F$1222),$B$1132=1),$F$1222,HLOOKUP(INDIRECT(ADDRESS(2,COLUMN())),OFFSET($K$2,0,0,ROW()-1,5),ROW()-1,FALSE))</f>
        <v>0.28936898799999999</v>
      </c>
      <c r="G99">
        <f ca="1">IF(AND(ISNUMBER($G$1222),$B$1132=1),$G$1222,HLOOKUP(INDIRECT(ADDRESS(2,COLUMN())),OFFSET($K$2,0,0,ROW()-1,5),ROW()-1,FALSE))</f>
        <v>0.356334015</v>
      </c>
      <c r="H99">
        <f ca="1">IF(AND(ISNUMBER($H$1222),$B$1132=1),$H$1222,HLOOKUP(INDIRECT(ADDRESS(2,COLUMN())),OFFSET($K$2,0,0,ROW()-1,5),ROW()-1,FALSE))</f>
        <v>0.38743200700000002</v>
      </c>
      <c r="I99">
        <f ca="1">IF(AND(ISNUMBER($I$1222),$B$1132=1),$I$1222,HLOOKUP(INDIRECT(ADDRESS(2,COLUMN())),OFFSET($K$2,0,0,ROW()-1,5),ROW()-1,FALSE))</f>
        <v>0.377588013</v>
      </c>
      <c r="J99">
        <f ca="1">IF(AND(ISNUMBER($J$1222),$B$1132=1),$J$1222,HLOOKUP(INDIRECT(ADDRESS(2,COLUMN())),OFFSET($K$2,0,0,ROW()-1,5),ROW()-1,FALSE))</f>
        <v>0.37030899</v>
      </c>
      <c r="K99">
        <f>0.289368988</f>
        <v>0.28936898799999999</v>
      </c>
      <c r="L99">
        <f>0.356334015</f>
        <v>0.356334015</v>
      </c>
      <c r="M99">
        <f>0.387432007</f>
        <v>0.38743200700000002</v>
      </c>
      <c r="N99">
        <f>0.377588013</f>
        <v>0.377588013</v>
      </c>
      <c r="O99">
        <f>0.37030899</f>
        <v>0.37030899</v>
      </c>
    </row>
    <row r="100" spans="1:15" x14ac:dyDescent="0.25">
      <c r="A100" t="str">
        <f>"                    Hyundai Wia Corp"</f>
        <v xml:space="preserve">                    Hyundai Wia Corp</v>
      </c>
      <c r="B100" t="str">
        <f>"011210 KS Equity"</f>
        <v>011210 KS Equity</v>
      </c>
      <c r="C100" t="str">
        <f t="shared" si="9"/>
        <v>F0946</v>
      </c>
      <c r="D100" t="str">
        <f t="shared" si="10"/>
        <v>TOTAL_GHG_CO2_EMISSIONS</v>
      </c>
      <c r="E100" t="str">
        <f t="shared" si="11"/>
        <v>Dynamic</v>
      </c>
      <c r="F100" t="str">
        <f ca="1">IF(AND(ISNUMBER($F$1223),$B$1132=1),$F$1223,HLOOKUP(INDIRECT(ADDRESS(2,COLUMN())),OFFSET($K$2,0,0,ROW()-1,5),ROW()-1,FALSE))</f>
        <v/>
      </c>
      <c r="G100">
        <f ca="1">IF(AND(ISNUMBER($G$1223),$B$1132=1),$G$1223,HLOOKUP(INDIRECT(ADDRESS(2,COLUMN())),OFFSET($K$2,0,0,ROW()-1,5),ROW()-1,FALSE))</f>
        <v>0.35342199699999999</v>
      </c>
      <c r="H100">
        <f ca="1">IF(AND(ISNUMBER($H$1223),$B$1132=1),$H$1223,HLOOKUP(INDIRECT(ADDRESS(2,COLUMN())),OFFSET($K$2,0,0,ROW()-1,5),ROW()-1,FALSE))</f>
        <v>0.170179001</v>
      </c>
      <c r="I100">
        <f ca="1">IF(AND(ISNUMBER($I$1223),$B$1132=1),$I$1223,HLOOKUP(INDIRECT(ADDRESS(2,COLUMN())),OFFSET($K$2,0,0,ROW()-1,5),ROW()-1,FALSE))</f>
        <v>0.20114399699999999</v>
      </c>
      <c r="J100">
        <f ca="1">IF(AND(ISNUMBER($J$1223),$B$1132=1),$J$1223,HLOOKUP(INDIRECT(ADDRESS(2,COLUMN())),OFFSET($K$2,0,0,ROW()-1,5),ROW()-1,FALSE))</f>
        <v>0.22146600299999999</v>
      </c>
      <c r="K100" t="str">
        <f>""</f>
        <v/>
      </c>
      <c r="L100">
        <f>0.353421997</f>
        <v>0.35342199699999999</v>
      </c>
      <c r="M100">
        <f>0.170179001</f>
        <v>0.170179001</v>
      </c>
      <c r="N100">
        <f>0.201143997</f>
        <v>0.20114399699999999</v>
      </c>
      <c r="O100">
        <f>0.221466003</f>
        <v>0.22146600299999999</v>
      </c>
    </row>
    <row r="101" spans="1:15" x14ac:dyDescent="0.25">
      <c r="A101" t="str">
        <f>"                    Hankook Tire &amp; Technology Co L"</f>
        <v xml:space="preserve">                    Hankook Tire &amp; Technology Co L</v>
      </c>
      <c r="B101" t="str">
        <f>"161390 KS Equity"</f>
        <v>161390 KS Equity</v>
      </c>
      <c r="C101" t="str">
        <f t="shared" si="9"/>
        <v>F0946</v>
      </c>
      <c r="D101" t="str">
        <f t="shared" si="10"/>
        <v>TOTAL_GHG_CO2_EMISSIONS</v>
      </c>
      <c r="E101" t="str">
        <f t="shared" si="11"/>
        <v>Dynamic</v>
      </c>
      <c r="F101" t="str">
        <f ca="1">IF(AND(ISNUMBER($F$1224),$B$1132=1),$F$1224,HLOOKUP(INDIRECT(ADDRESS(2,COLUMN())),OFFSET($K$2,0,0,ROW()-1,5),ROW()-1,FALSE))</f>
        <v/>
      </c>
      <c r="G101">
        <f ca="1">IF(AND(ISNUMBER($G$1224),$B$1132=1),$G$1224,HLOOKUP(INDIRECT(ADDRESS(2,COLUMN())),OFFSET($K$2,0,0,ROW()-1,5),ROW()-1,FALSE))</f>
        <v>1.1086800539999999</v>
      </c>
      <c r="H101">
        <f ca="1">IF(AND(ISNUMBER($H$1224),$B$1132=1),$H$1224,HLOOKUP(INDIRECT(ADDRESS(2,COLUMN())),OFFSET($K$2,0,0,ROW()-1,5),ROW()-1,FALSE))</f>
        <v>1.1368800050000001</v>
      </c>
      <c r="I101">
        <f ca="1">IF(AND(ISNUMBER($I$1224),$B$1132=1),$I$1224,HLOOKUP(INDIRECT(ADDRESS(2,COLUMN())),OFFSET($K$2,0,0,ROW()-1,5),ROW()-1,FALSE))</f>
        <v>1.219910034</v>
      </c>
      <c r="J101">
        <f ca="1">IF(AND(ISNUMBER($J$1224),$B$1132=1),$J$1224,HLOOKUP(INDIRECT(ADDRESS(2,COLUMN())),OFFSET($K$2,0,0,ROW()-1,5),ROW()-1,FALSE))</f>
        <v>1.2833900149999999</v>
      </c>
      <c r="K101" t="str">
        <f>""</f>
        <v/>
      </c>
      <c r="L101">
        <f>1.108680054</f>
        <v>1.1086800539999999</v>
      </c>
      <c r="M101">
        <f>1.136880005</f>
        <v>1.1368800050000001</v>
      </c>
      <c r="N101">
        <f>1.219910034</f>
        <v>1.219910034</v>
      </c>
      <c r="O101">
        <f>1.283390015</f>
        <v>1.2833900149999999</v>
      </c>
    </row>
    <row r="102" spans="1:15" x14ac:dyDescent="0.25">
      <c r="A102" t="str">
        <f>"                    Honeywell International Inc"</f>
        <v xml:space="preserve">                    Honeywell International Inc</v>
      </c>
      <c r="B102" t="str">
        <f>"HON US Equity"</f>
        <v>HON US Equity</v>
      </c>
      <c r="C102" t="str">
        <f t="shared" si="9"/>
        <v>F0946</v>
      </c>
      <c r="D102" t="str">
        <f t="shared" si="10"/>
        <v>TOTAL_GHG_CO2_EMISSIONS</v>
      </c>
      <c r="E102" t="str">
        <f t="shared" si="11"/>
        <v>Dynamic</v>
      </c>
      <c r="F102" t="str">
        <f ca="1">IF(AND(ISNUMBER($F$1225),$B$1132=1),$F$1225,HLOOKUP(INDIRECT(ADDRESS(2,COLUMN())),OFFSET($K$2,0,0,ROW()-1,5),ROW()-1,FALSE))</f>
        <v/>
      </c>
      <c r="G102">
        <f ca="1">IF(AND(ISNUMBER($G$1225),$B$1132=1),$G$1225,HLOOKUP(INDIRECT(ADDRESS(2,COLUMN())),OFFSET($K$2,0,0,ROW()-1,5),ROW()-1,FALSE))</f>
        <v>2.0180300290000002</v>
      </c>
      <c r="H102">
        <f ca="1">IF(AND(ISNUMBER($H$1225),$B$1132=1),$H$1225,HLOOKUP(INDIRECT(ADDRESS(2,COLUMN())),OFFSET($K$2,0,0,ROW()-1,5),ROW()-1,FALSE))</f>
        <v>2.248310059</v>
      </c>
      <c r="I102">
        <f ca="1">IF(AND(ISNUMBER($I$1225),$B$1132=1),$I$1225,HLOOKUP(INDIRECT(ADDRESS(2,COLUMN())),OFFSET($K$2,0,0,ROW()-1,5),ROW()-1,FALSE))</f>
        <v>2.0426300049999999</v>
      </c>
      <c r="J102">
        <f ca="1">IF(AND(ISNUMBER($J$1225),$B$1132=1),$J$1225,HLOOKUP(INDIRECT(ADDRESS(2,COLUMN())),OFFSET($K$2,0,0,ROW()-1,5),ROW()-1,FALSE))</f>
        <v>2.52798999</v>
      </c>
      <c r="K102" t="str">
        <f>""</f>
        <v/>
      </c>
      <c r="L102">
        <f>2.018030029</f>
        <v>2.0180300290000002</v>
      </c>
      <c r="M102">
        <f>2.248310059</f>
        <v>2.248310059</v>
      </c>
      <c r="N102">
        <f>2.042630005</f>
        <v>2.0426300049999999</v>
      </c>
      <c r="O102">
        <f>2.52798999</f>
        <v>2.52798999</v>
      </c>
    </row>
    <row r="103" spans="1:15" x14ac:dyDescent="0.25">
      <c r="A103" t="str">
        <f>"                    IHO Holding GmbH &amp; Co KG"</f>
        <v xml:space="preserve">                    IHO Holding GmbH &amp; Co KG</v>
      </c>
      <c r="B103" t="str">
        <f>"668130Z GR Equity"</f>
        <v>668130Z GR Equity</v>
      </c>
      <c r="C103" t="str">
        <f t="shared" si="9"/>
        <v>F0946</v>
      </c>
      <c r="D103" t="str">
        <f t="shared" si="10"/>
        <v>TOTAL_GHG_CO2_EMISSIONS</v>
      </c>
      <c r="E103" t="str">
        <f t="shared" si="11"/>
        <v>Dynamic</v>
      </c>
      <c r="F103" t="str">
        <f ca="1">IF(AND(ISNUMBER($F$1226),$B$1132=1),$F$1226,HLOOKUP(INDIRECT(ADDRESS(2,COLUMN())),OFFSET($K$2,0,0,ROW()-1,5),ROW()-1,FALSE))</f>
        <v/>
      </c>
      <c r="G103" t="str">
        <f ca="1">IF(AND(ISNUMBER($G$1226),$B$1132=1),$G$1226,HLOOKUP(INDIRECT(ADDRESS(2,COLUMN())),OFFSET($K$2,0,0,ROW()-1,5),ROW()-1,FALSE))</f>
        <v/>
      </c>
      <c r="H103" t="str">
        <f ca="1">IF(AND(ISNUMBER($H$1226),$B$1132=1),$H$1226,HLOOKUP(INDIRECT(ADDRESS(2,COLUMN())),OFFSET($K$2,0,0,ROW()-1,5),ROW()-1,FALSE))</f>
        <v/>
      </c>
      <c r="I103" t="str">
        <f ca="1">IF(AND(ISNUMBER($I$1226),$B$1132=1),$I$1226,HLOOKUP(INDIRECT(ADDRESS(2,COLUMN())),OFFSET($K$2,0,0,ROW()-1,5),ROW()-1,FALSE))</f>
        <v/>
      </c>
      <c r="J103" t="str">
        <f ca="1">IF(AND(ISNUMBER($J$1226),$B$1132=1),$J$1226,HLOOKUP(INDIRECT(ADDRESS(2,COLUMN())),OFFSET($K$2,0,0,ROW()-1,5),ROW()-1,FALSE))</f>
        <v/>
      </c>
      <c r="K103" t="str">
        <f>""</f>
        <v/>
      </c>
      <c r="L103" t="str">
        <f>""</f>
        <v/>
      </c>
      <c r="M103" t="str">
        <f>""</f>
        <v/>
      </c>
      <c r="N103" t="str">
        <f>""</f>
        <v/>
      </c>
      <c r="O103" t="str">
        <f>""</f>
        <v/>
      </c>
    </row>
    <row r="104" spans="1:15" x14ac:dyDescent="0.25">
      <c r="A104" t="str">
        <f>"                    Iochpe Maxion SA"</f>
        <v xml:space="preserve">                    Iochpe Maxion SA</v>
      </c>
      <c r="B104" t="str">
        <f>"MYPK3 BZ Equity"</f>
        <v>MYPK3 BZ Equity</v>
      </c>
      <c r="C104" t="str">
        <f t="shared" si="9"/>
        <v>F0946</v>
      </c>
      <c r="D104" t="str">
        <f t="shared" si="10"/>
        <v>TOTAL_GHG_CO2_EMISSIONS</v>
      </c>
      <c r="E104" t="str">
        <f t="shared" si="11"/>
        <v>Dynamic</v>
      </c>
      <c r="F104" t="str">
        <f ca="1">IF(AND(ISNUMBER($F$1227),$B$1132=1),$F$1227,HLOOKUP(INDIRECT(ADDRESS(2,COLUMN())),OFFSET($K$2,0,0,ROW()-1,5),ROW()-1,FALSE))</f>
        <v/>
      </c>
      <c r="G104">
        <f ca="1">IF(AND(ISNUMBER($G$1227),$B$1132=1),$G$1227,HLOOKUP(INDIRECT(ADDRESS(2,COLUMN())),OFFSET($K$2,0,0,ROW()-1,5),ROW()-1,FALSE))</f>
        <v>0.40402600100000002</v>
      </c>
      <c r="H104" t="str">
        <f ca="1">IF(AND(ISNUMBER($H$1227),$B$1132=1),$H$1227,HLOOKUP(INDIRECT(ADDRESS(2,COLUMN())),OFFSET($K$2,0,0,ROW()-1,5),ROW()-1,FALSE))</f>
        <v/>
      </c>
      <c r="I104" t="str">
        <f ca="1">IF(AND(ISNUMBER($I$1227),$B$1132=1),$I$1227,HLOOKUP(INDIRECT(ADDRESS(2,COLUMN())),OFFSET($K$2,0,0,ROW()-1,5),ROW()-1,FALSE))</f>
        <v/>
      </c>
      <c r="J104" t="str">
        <f ca="1">IF(AND(ISNUMBER($J$1227),$B$1132=1),$J$1227,HLOOKUP(INDIRECT(ADDRESS(2,COLUMN())),OFFSET($K$2,0,0,ROW()-1,5),ROW()-1,FALSE))</f>
        <v/>
      </c>
      <c r="K104" t="str">
        <f>""</f>
        <v/>
      </c>
      <c r="L104">
        <f>0.404026001</f>
        <v>0.40402600100000002</v>
      </c>
      <c r="M104" t="str">
        <f>""</f>
        <v/>
      </c>
      <c r="N104" t="str">
        <f>""</f>
        <v/>
      </c>
      <c r="O104" t="str">
        <f>""</f>
        <v/>
      </c>
    </row>
    <row r="105" spans="1:15" x14ac:dyDescent="0.25">
      <c r="A105" t="str">
        <f>"                    JK Tyre &amp; Industries Ltd"</f>
        <v xml:space="preserve">                    JK Tyre &amp; Industries Ltd</v>
      </c>
      <c r="B105" t="str">
        <f>"JKI IN Equity"</f>
        <v>JKI IN Equity</v>
      </c>
      <c r="C105" t="str">
        <f t="shared" si="9"/>
        <v>F0946</v>
      </c>
      <c r="D105" t="str">
        <f t="shared" si="10"/>
        <v>TOTAL_GHG_CO2_EMISSIONS</v>
      </c>
      <c r="E105" t="str">
        <f t="shared" si="11"/>
        <v>Dynamic</v>
      </c>
      <c r="F105" t="str">
        <f ca="1">IF(AND(ISNUMBER($F$1228),$B$1132=1),$F$1228,HLOOKUP(INDIRECT(ADDRESS(2,COLUMN())),OFFSET($K$2,0,0,ROW()-1,5),ROW()-1,FALSE))</f>
        <v/>
      </c>
      <c r="G105">
        <f ca="1">IF(AND(ISNUMBER($G$1228),$B$1132=1),$G$1228,HLOOKUP(INDIRECT(ADDRESS(2,COLUMN())),OFFSET($K$2,0,0,ROW()-1,5),ROW()-1,FALSE))</f>
        <v>0.24909300200000001</v>
      </c>
      <c r="H105">
        <f ca="1">IF(AND(ISNUMBER($H$1228),$B$1132=1),$H$1228,HLOOKUP(INDIRECT(ADDRESS(2,COLUMN())),OFFSET($K$2,0,0,ROW()-1,5),ROW()-1,FALSE))</f>
        <v>0.41059298700000002</v>
      </c>
      <c r="I105">
        <f ca="1">IF(AND(ISNUMBER($I$1228),$B$1132=1),$I$1228,HLOOKUP(INDIRECT(ADDRESS(2,COLUMN())),OFFSET($K$2,0,0,ROW()-1,5),ROW()-1,FALSE))</f>
        <v>0.24699200399999999</v>
      </c>
      <c r="J105">
        <f ca="1">IF(AND(ISNUMBER($J$1228),$B$1132=1),$J$1228,HLOOKUP(INDIRECT(ADDRESS(2,COLUMN())),OFFSET($K$2,0,0,ROW()-1,5),ROW()-1,FALSE))</f>
        <v>0.32175500499999998</v>
      </c>
      <c r="K105" t="str">
        <f>""</f>
        <v/>
      </c>
      <c r="L105">
        <f>0.249093002</f>
        <v>0.24909300200000001</v>
      </c>
      <c r="M105">
        <f>0.410592987</f>
        <v>0.41059298700000002</v>
      </c>
      <c r="N105">
        <f>0.246992004</f>
        <v>0.24699200399999999</v>
      </c>
      <c r="O105">
        <f>0.321755005</f>
        <v>0.32175500499999998</v>
      </c>
    </row>
    <row r="106" spans="1:15" x14ac:dyDescent="0.25">
      <c r="A106" t="str">
        <f>"                    JTEKT Corp"</f>
        <v xml:space="preserve">                    JTEKT Corp</v>
      </c>
      <c r="B106" t="str">
        <f>"6473 JP Equity"</f>
        <v>6473 JP Equity</v>
      </c>
      <c r="C106" t="str">
        <f t="shared" si="9"/>
        <v>F0946</v>
      </c>
      <c r="D106" t="str">
        <f t="shared" si="10"/>
        <v>TOTAL_GHG_CO2_EMISSIONS</v>
      </c>
      <c r="E106" t="str">
        <f t="shared" si="11"/>
        <v>Dynamic</v>
      </c>
      <c r="F106" t="str">
        <f ca="1">IF(AND(ISNUMBER($F$1229),$B$1132=1),$F$1229,HLOOKUP(INDIRECT(ADDRESS(2,COLUMN())),OFFSET($K$2,0,0,ROW()-1,5),ROW()-1,FALSE))</f>
        <v/>
      </c>
      <c r="G106">
        <f ca="1">IF(AND(ISNUMBER($G$1229),$B$1132=1),$G$1229,HLOOKUP(INDIRECT(ADDRESS(2,COLUMN())),OFFSET($K$2,0,0,ROW()-1,5),ROW()-1,FALSE))</f>
        <v>0.621</v>
      </c>
      <c r="H106">
        <f ca="1">IF(AND(ISNUMBER($H$1229),$B$1132=1),$H$1229,HLOOKUP(INDIRECT(ADDRESS(2,COLUMN())),OFFSET($K$2,0,0,ROW()-1,5),ROW()-1,FALSE))</f>
        <v>0.68200000000000005</v>
      </c>
      <c r="I106">
        <f ca="1">IF(AND(ISNUMBER($I$1229),$B$1132=1),$I$1229,HLOOKUP(INDIRECT(ADDRESS(2,COLUMN())),OFFSET($K$2,0,0,ROW()-1,5),ROW()-1,FALSE))</f>
        <v>0.755</v>
      </c>
      <c r="J106">
        <f ca="1">IF(AND(ISNUMBER($J$1229),$B$1132=1),$J$1229,HLOOKUP(INDIRECT(ADDRESS(2,COLUMN())),OFFSET($K$2,0,0,ROW()-1,5),ROW()-1,FALSE))</f>
        <v>0.80700000000000005</v>
      </c>
      <c r="K106" t="str">
        <f>""</f>
        <v/>
      </c>
      <c r="L106">
        <f>0.621</f>
        <v>0.621</v>
      </c>
      <c r="M106">
        <f>0.682</f>
        <v>0.68200000000000005</v>
      </c>
      <c r="N106">
        <f>0.755</f>
        <v>0.755</v>
      </c>
      <c r="O106">
        <f>0.807</f>
        <v>0.80700000000000005</v>
      </c>
    </row>
    <row r="107" spans="1:15" x14ac:dyDescent="0.25">
      <c r="A107" t="str">
        <f>"                    Kumho Tire Co Inc"</f>
        <v xml:space="preserve">                    Kumho Tire Co Inc</v>
      </c>
      <c r="B107" t="str">
        <f>"073240 KS Equity"</f>
        <v>073240 KS Equity</v>
      </c>
      <c r="C107" t="str">
        <f t="shared" si="9"/>
        <v>F0946</v>
      </c>
      <c r="D107" t="str">
        <f t="shared" si="10"/>
        <v>TOTAL_GHG_CO2_EMISSIONS</v>
      </c>
      <c r="E107" t="str">
        <f t="shared" si="11"/>
        <v>Dynamic</v>
      </c>
      <c r="F107" t="str">
        <f ca="1">IF(AND(ISNUMBER($F$1230),$B$1132=1),$F$1230,HLOOKUP(INDIRECT(ADDRESS(2,COLUMN())),OFFSET($K$2,0,0,ROW()-1,5),ROW()-1,FALSE))</f>
        <v/>
      </c>
      <c r="G107">
        <f ca="1">IF(AND(ISNUMBER($G$1230),$B$1132=1),$G$1230,HLOOKUP(INDIRECT(ADDRESS(2,COLUMN())),OFFSET($K$2,0,0,ROW()-1,5),ROW()-1,FALSE))</f>
        <v>0.48258700599999999</v>
      </c>
      <c r="H107">
        <f ca="1">IF(AND(ISNUMBER($H$1230),$B$1132=1),$H$1230,HLOOKUP(INDIRECT(ADDRESS(2,COLUMN())),OFFSET($K$2,0,0,ROW()-1,5),ROW()-1,FALSE))</f>
        <v>0.44776400799999999</v>
      </c>
      <c r="I107">
        <f ca="1">IF(AND(ISNUMBER($I$1230),$B$1132=1),$I$1230,HLOOKUP(INDIRECT(ADDRESS(2,COLUMN())),OFFSET($K$2,0,0,ROW()-1,5),ROW()-1,FALSE))</f>
        <v>0.48208999600000002</v>
      </c>
      <c r="J107" t="str">
        <f ca="1">IF(AND(ISNUMBER($J$1230),$B$1132=1),$J$1230,HLOOKUP(INDIRECT(ADDRESS(2,COLUMN())),OFFSET($K$2,0,0,ROW()-1,5),ROW()-1,FALSE))</f>
        <v/>
      </c>
      <c r="K107" t="str">
        <f>""</f>
        <v/>
      </c>
      <c r="L107">
        <f>0.482587006</f>
        <v>0.48258700599999999</v>
      </c>
      <c r="M107">
        <f>0.447764008</f>
        <v>0.44776400799999999</v>
      </c>
      <c r="N107">
        <f>0.482089996</f>
        <v>0.48208999600000002</v>
      </c>
      <c r="O107" t="str">
        <f>""</f>
        <v/>
      </c>
    </row>
    <row r="108" spans="1:15" x14ac:dyDescent="0.25">
      <c r="A108" t="str">
        <f>"                    Koito Manufacturing Co Ltd"</f>
        <v xml:space="preserve">                    Koito Manufacturing Co Ltd</v>
      </c>
      <c r="B108" t="str">
        <f>"7276 JP Equity"</f>
        <v>7276 JP Equity</v>
      </c>
      <c r="C108" t="str">
        <f t="shared" si="9"/>
        <v>F0946</v>
      </c>
      <c r="D108" t="str">
        <f t="shared" si="10"/>
        <v>TOTAL_GHG_CO2_EMISSIONS</v>
      </c>
      <c r="E108" t="str">
        <f t="shared" si="11"/>
        <v>Dynamic</v>
      </c>
      <c r="F108" t="str">
        <f ca="1">IF(AND(ISNUMBER($F$1231),$B$1132=1),$F$1231,HLOOKUP(INDIRECT(ADDRESS(2,COLUMN())),OFFSET($K$2,0,0,ROW()-1,5),ROW()-1,FALSE))</f>
        <v/>
      </c>
      <c r="G108" t="str">
        <f ca="1">IF(AND(ISNUMBER($G$1231),$B$1132=1),$G$1231,HLOOKUP(INDIRECT(ADDRESS(2,COLUMN())),OFFSET($K$2,0,0,ROW()-1,5),ROW()-1,FALSE))</f>
        <v/>
      </c>
      <c r="H108" t="str">
        <f ca="1">IF(AND(ISNUMBER($H$1231),$B$1132=1),$H$1231,HLOOKUP(INDIRECT(ADDRESS(2,COLUMN())),OFFSET($K$2,0,0,ROW()-1,5),ROW()-1,FALSE))</f>
        <v/>
      </c>
      <c r="I108">
        <f ca="1">IF(AND(ISNUMBER($I$1231),$B$1132=1),$I$1231,HLOOKUP(INDIRECT(ADDRESS(2,COLUMN())),OFFSET($K$2,0,0,ROW()-1,5),ROW()-1,FALSE))</f>
        <v>0.36</v>
      </c>
      <c r="J108">
        <f ca="1">IF(AND(ISNUMBER($J$1231),$B$1132=1),$J$1231,HLOOKUP(INDIRECT(ADDRESS(2,COLUMN())),OFFSET($K$2,0,0,ROW()-1,5),ROW()-1,FALSE))</f>
        <v>0.375</v>
      </c>
      <c r="K108" t="str">
        <f>""</f>
        <v/>
      </c>
      <c r="L108" t="str">
        <f>""</f>
        <v/>
      </c>
      <c r="M108" t="str">
        <f>""</f>
        <v/>
      </c>
      <c r="N108">
        <f>0.36</f>
        <v>0.36</v>
      </c>
      <c r="O108">
        <f>0.375</f>
        <v>0.375</v>
      </c>
    </row>
    <row r="109" spans="1:15" x14ac:dyDescent="0.25">
      <c r="A109" t="str">
        <f>"                    Lear Corp"</f>
        <v xml:space="preserve">                    Lear Corp</v>
      </c>
      <c r="B109" t="str">
        <f>"LEA US Equity"</f>
        <v>LEA US Equity</v>
      </c>
      <c r="C109" t="str">
        <f t="shared" si="9"/>
        <v>F0946</v>
      </c>
      <c r="D109" t="str">
        <f t="shared" si="10"/>
        <v>TOTAL_GHG_CO2_EMISSIONS</v>
      </c>
      <c r="E109" t="str">
        <f t="shared" si="11"/>
        <v>Dynamic</v>
      </c>
      <c r="F109" t="str">
        <f ca="1">IF(AND(ISNUMBER($F$1232),$B$1132=1),$F$1232,HLOOKUP(INDIRECT(ADDRESS(2,COLUMN())),OFFSET($K$2,0,0,ROW()-1,5),ROW()-1,FALSE))</f>
        <v/>
      </c>
      <c r="G109">
        <f ca="1">IF(AND(ISNUMBER($G$1232),$B$1132=1),$G$1232,HLOOKUP(INDIRECT(ADDRESS(2,COLUMN())),OFFSET($K$2,0,0,ROW()-1,5),ROW()-1,FALSE))</f>
        <v>0.379027008</v>
      </c>
      <c r="H109">
        <f ca="1">IF(AND(ISNUMBER($H$1232),$B$1132=1),$H$1232,HLOOKUP(INDIRECT(ADDRESS(2,COLUMN())),OFFSET($K$2,0,0,ROW()-1,5),ROW()-1,FALSE))</f>
        <v>0.42811199999999999</v>
      </c>
      <c r="I109">
        <f ca="1">IF(AND(ISNUMBER($I$1232),$B$1132=1),$I$1232,HLOOKUP(INDIRECT(ADDRESS(2,COLUMN())),OFFSET($K$2,0,0,ROW()-1,5),ROW()-1,FALSE))</f>
        <v>0.48382800300000001</v>
      </c>
      <c r="J109">
        <f ca="1">IF(AND(ISNUMBER($J$1232),$B$1132=1),$J$1232,HLOOKUP(INDIRECT(ADDRESS(2,COLUMN())),OFFSET($K$2,0,0,ROW()-1,5),ROW()-1,FALSE))</f>
        <v>0.50234799200000002</v>
      </c>
      <c r="K109" t="str">
        <f>""</f>
        <v/>
      </c>
      <c r="L109">
        <f>0.379027008</f>
        <v>0.379027008</v>
      </c>
      <c r="M109">
        <f>0.428112</f>
        <v>0.42811199999999999</v>
      </c>
      <c r="N109">
        <f>0.483828003</f>
        <v>0.48382800300000001</v>
      </c>
      <c r="O109">
        <f>0.502347992</f>
        <v>0.50234799200000002</v>
      </c>
    </row>
    <row r="110" spans="1:15" x14ac:dyDescent="0.25">
      <c r="A110" t="str">
        <f>"                    Leoni AG"</f>
        <v xml:space="preserve">                    Leoni AG</v>
      </c>
      <c r="B110" t="str">
        <f>"LEO GR Equity"</f>
        <v>LEO GR Equity</v>
      </c>
      <c r="C110" t="str">
        <f t="shared" si="9"/>
        <v>F0946</v>
      </c>
      <c r="D110" t="str">
        <f t="shared" si="10"/>
        <v>TOTAL_GHG_CO2_EMISSIONS</v>
      </c>
      <c r="E110" t="str">
        <f t="shared" si="11"/>
        <v>Dynamic</v>
      </c>
      <c r="F110" t="str">
        <f ca="1">IF(AND(ISNUMBER($F$1233),$B$1132=1),$F$1233,HLOOKUP(INDIRECT(ADDRESS(2,COLUMN())),OFFSET($K$2,0,0,ROW()-1,5),ROW()-1,FALSE))</f>
        <v/>
      </c>
      <c r="G110">
        <f ca="1">IF(AND(ISNUMBER($G$1233),$B$1132=1),$G$1233,HLOOKUP(INDIRECT(ADDRESS(2,COLUMN())),OFFSET($K$2,0,0,ROW()-1,5),ROW()-1,FALSE))</f>
        <v>0.17569000200000001</v>
      </c>
      <c r="H110">
        <f ca="1">IF(AND(ISNUMBER($H$1233),$B$1132=1),$H$1233,HLOOKUP(INDIRECT(ADDRESS(2,COLUMN())),OFFSET($K$2,0,0,ROW()-1,5),ROW()-1,FALSE))</f>
        <v>0.26065301499999999</v>
      </c>
      <c r="I110">
        <f ca="1">IF(AND(ISNUMBER($I$1233),$B$1132=1),$I$1233,HLOOKUP(INDIRECT(ADDRESS(2,COLUMN())),OFFSET($K$2,0,0,ROW()-1,5),ROW()-1,FALSE))</f>
        <v>0.19197099300000001</v>
      </c>
      <c r="J110">
        <f ca="1">IF(AND(ISNUMBER($J$1233),$B$1132=1),$J$1233,HLOOKUP(INDIRECT(ADDRESS(2,COLUMN())),OFFSET($K$2,0,0,ROW()-1,5),ROW()-1,FALSE))</f>
        <v>0.20393699600000001</v>
      </c>
      <c r="K110" t="str">
        <f>""</f>
        <v/>
      </c>
      <c r="L110">
        <f>0.175690002</f>
        <v>0.17569000200000001</v>
      </c>
      <c r="M110">
        <f>0.260653015</f>
        <v>0.26065301499999999</v>
      </c>
      <c r="N110">
        <f>0.191970993</f>
        <v>0.19197099300000001</v>
      </c>
      <c r="O110">
        <f>0.203936996</f>
        <v>0.20393699600000001</v>
      </c>
    </row>
    <row r="111" spans="1:15" x14ac:dyDescent="0.25">
      <c r="A111" t="str">
        <f>"                    LG Chem Ltd"</f>
        <v xml:space="preserve">                    LG Chem Ltd</v>
      </c>
      <c r="B111" t="str">
        <f>"051910 KS Equity"</f>
        <v>051910 KS Equity</v>
      </c>
      <c r="C111" t="str">
        <f t="shared" si="9"/>
        <v>F0946</v>
      </c>
      <c r="D111" t="str">
        <f t="shared" si="10"/>
        <v>TOTAL_GHG_CO2_EMISSIONS</v>
      </c>
      <c r="E111" t="str">
        <f t="shared" si="11"/>
        <v>Dynamic</v>
      </c>
      <c r="F111" t="str">
        <f ca="1">IF(AND(ISNUMBER($F$1234),$B$1132=1),$F$1234,HLOOKUP(INDIRECT(ADDRESS(2,COLUMN())),OFFSET($K$2,0,0,ROW()-1,5),ROW()-1,FALSE))</f>
        <v/>
      </c>
      <c r="G111">
        <f ca="1">IF(AND(ISNUMBER($G$1234),$B$1132=1),$G$1234,HLOOKUP(INDIRECT(ADDRESS(2,COLUMN())),OFFSET($K$2,0,0,ROW()-1,5),ROW()-1,FALSE))</f>
        <v>10.339700199999999</v>
      </c>
      <c r="H111">
        <f ca="1">IF(AND(ISNUMBER($H$1234),$B$1132=1),$H$1234,HLOOKUP(INDIRECT(ADDRESS(2,COLUMN())),OFFSET($K$2,0,0,ROW()-1,5),ROW()-1,FALSE))</f>
        <v>9.5197802730000003</v>
      </c>
      <c r="I111">
        <f ca="1">IF(AND(ISNUMBER($I$1234),$B$1132=1),$I$1234,HLOOKUP(INDIRECT(ADDRESS(2,COLUMN())),OFFSET($K$2,0,0,ROW()-1,5),ROW()-1,FALSE))</f>
        <v>10.5832002</v>
      </c>
      <c r="J111">
        <f ca="1">IF(AND(ISNUMBER($J$1234),$B$1132=1),$J$1234,HLOOKUP(INDIRECT(ADDRESS(2,COLUMN())),OFFSET($K$2,0,0,ROW()-1,5),ROW()-1,FALSE))</f>
        <v>9.9878701169999999</v>
      </c>
      <c r="K111" t="str">
        <f>""</f>
        <v/>
      </c>
      <c r="L111">
        <f>10.3397002</f>
        <v>10.339700199999999</v>
      </c>
      <c r="M111">
        <f>9.519780273</f>
        <v>9.5197802730000003</v>
      </c>
      <c r="N111">
        <f>10.5832002</f>
        <v>10.5832002</v>
      </c>
      <c r="O111">
        <f>9.987870117</f>
        <v>9.9878701169999999</v>
      </c>
    </row>
    <row r="112" spans="1:15" x14ac:dyDescent="0.25">
      <c r="A112" t="str">
        <f>"                    Linamar Corp"</f>
        <v xml:space="preserve">                    Linamar Corp</v>
      </c>
      <c r="B112" t="str">
        <f>"LNR CN Equity"</f>
        <v>LNR CN Equity</v>
      </c>
      <c r="C112" t="str">
        <f t="shared" si="9"/>
        <v>F0946</v>
      </c>
      <c r="D112" t="str">
        <f t="shared" si="10"/>
        <v>TOTAL_GHG_CO2_EMISSIONS</v>
      </c>
      <c r="E112" t="str">
        <f t="shared" si="11"/>
        <v>Dynamic</v>
      </c>
      <c r="F112" t="str">
        <f ca="1">IF(AND(ISNUMBER($F$1235),$B$1132=1),$F$1235,HLOOKUP(INDIRECT(ADDRESS(2,COLUMN())),OFFSET($K$2,0,0,ROW()-1,5),ROW()-1,FALSE))</f>
        <v/>
      </c>
      <c r="G112" t="str">
        <f ca="1">IF(AND(ISNUMBER($G$1235),$B$1132=1),$G$1235,HLOOKUP(INDIRECT(ADDRESS(2,COLUMN())),OFFSET($K$2,0,0,ROW()-1,5),ROW()-1,FALSE))</f>
        <v/>
      </c>
      <c r="H112" t="str">
        <f ca="1">IF(AND(ISNUMBER($H$1235),$B$1132=1),$H$1235,HLOOKUP(INDIRECT(ADDRESS(2,COLUMN())),OFFSET($K$2,0,0,ROW()-1,5),ROW()-1,FALSE))</f>
        <v/>
      </c>
      <c r="I112" t="str">
        <f ca="1">IF(AND(ISNUMBER($I$1235),$B$1132=1),$I$1235,HLOOKUP(INDIRECT(ADDRESS(2,COLUMN())),OFFSET($K$2,0,0,ROW()-1,5),ROW()-1,FALSE))</f>
        <v/>
      </c>
      <c r="J112" t="str">
        <f ca="1">IF(AND(ISNUMBER($J$1235),$B$1132=1),$J$1235,HLOOKUP(INDIRECT(ADDRESS(2,COLUMN())),OFFSET($K$2,0,0,ROW()-1,5),ROW()-1,FALSE))</f>
        <v/>
      </c>
      <c r="K112" t="str">
        <f>""</f>
        <v/>
      </c>
      <c r="L112" t="str">
        <f>""</f>
        <v/>
      </c>
      <c r="M112" t="str">
        <f>""</f>
        <v/>
      </c>
      <c r="N112" t="str">
        <f>""</f>
        <v/>
      </c>
      <c r="O112" t="str">
        <f>""</f>
        <v/>
      </c>
    </row>
    <row r="113" spans="1:15" x14ac:dyDescent="0.25">
      <c r="A113" t="str">
        <f>"                    MAHLE Behr GmbH &amp; Co KG"</f>
        <v xml:space="preserve">                    MAHLE Behr GmbH &amp; Co KG</v>
      </c>
      <c r="B113" t="str">
        <f>"2551Z GR Equity"</f>
        <v>2551Z GR Equity</v>
      </c>
      <c r="C113" t="str">
        <f t="shared" si="9"/>
        <v>F0946</v>
      </c>
      <c r="D113" t="str">
        <f t="shared" si="10"/>
        <v>TOTAL_GHG_CO2_EMISSIONS</v>
      </c>
      <c r="E113" t="str">
        <f t="shared" si="11"/>
        <v>Dynamic</v>
      </c>
      <c r="F113" t="str">
        <f ca="1">IF(AND(ISNUMBER($F$1236),$B$1132=1),$F$1236,HLOOKUP(INDIRECT(ADDRESS(2,COLUMN())),OFFSET($K$2,0,0,ROW()-1,5),ROW()-1,FALSE))</f>
        <v/>
      </c>
      <c r="G113" t="str">
        <f ca="1">IF(AND(ISNUMBER($G$1236),$B$1132=1),$G$1236,HLOOKUP(INDIRECT(ADDRESS(2,COLUMN())),OFFSET($K$2,0,0,ROW()-1,5),ROW()-1,FALSE))</f>
        <v/>
      </c>
      <c r="H113" t="str">
        <f ca="1">IF(AND(ISNUMBER($H$1236),$B$1132=1),$H$1236,HLOOKUP(INDIRECT(ADDRESS(2,COLUMN())),OFFSET($K$2,0,0,ROW()-1,5),ROW()-1,FALSE))</f>
        <v/>
      </c>
      <c r="I113" t="str">
        <f ca="1">IF(AND(ISNUMBER($I$1236),$B$1132=1),$I$1236,HLOOKUP(INDIRECT(ADDRESS(2,COLUMN())),OFFSET($K$2,0,0,ROW()-1,5),ROW()-1,FALSE))</f>
        <v/>
      </c>
      <c r="J113" t="str">
        <f ca="1">IF(AND(ISNUMBER($J$1236),$B$1132=1),$J$1236,HLOOKUP(INDIRECT(ADDRESS(2,COLUMN())),OFFSET($K$2,0,0,ROW()-1,5),ROW()-1,FALSE))</f>
        <v/>
      </c>
      <c r="K113" t="str">
        <f>""</f>
        <v/>
      </c>
      <c r="L113" t="str">
        <f>""</f>
        <v/>
      </c>
      <c r="M113" t="str">
        <f>""</f>
        <v/>
      </c>
      <c r="N113" t="str">
        <f>""</f>
        <v/>
      </c>
      <c r="O113" t="str">
        <f>""</f>
        <v/>
      </c>
    </row>
    <row r="114" spans="1:15" x14ac:dyDescent="0.25">
      <c r="A114" t="str">
        <f>"                    Martinrea International Inc"</f>
        <v xml:space="preserve">                    Martinrea International Inc</v>
      </c>
      <c r="B114" t="str">
        <f>"MRE CN Equity"</f>
        <v>MRE CN Equity</v>
      </c>
      <c r="C114" t="str">
        <f t="shared" si="9"/>
        <v>F0946</v>
      </c>
      <c r="D114" t="str">
        <f t="shared" si="10"/>
        <v>TOTAL_GHG_CO2_EMISSIONS</v>
      </c>
      <c r="E114" t="str">
        <f t="shared" si="11"/>
        <v>Dynamic</v>
      </c>
      <c r="F114" t="str">
        <f ca="1">IF(AND(ISNUMBER($F$1237),$B$1132=1),$F$1237,HLOOKUP(INDIRECT(ADDRESS(2,COLUMN())),OFFSET($K$2,0,0,ROW()-1,5),ROW()-1,FALSE))</f>
        <v/>
      </c>
      <c r="G114">
        <f ca="1">IF(AND(ISNUMBER($G$1237),$B$1132=1),$G$1237,HLOOKUP(INDIRECT(ADDRESS(2,COLUMN())),OFFSET($K$2,0,0,ROW()-1,5),ROW()-1,FALSE))</f>
        <v>0.25654299899999999</v>
      </c>
      <c r="H114">
        <f ca="1">IF(AND(ISNUMBER($H$1237),$B$1132=1),$H$1237,HLOOKUP(INDIRECT(ADDRESS(2,COLUMN())),OFFSET($K$2,0,0,ROW()-1,5),ROW()-1,FALSE))</f>
        <v>0.253940002</v>
      </c>
      <c r="I114">
        <f ca="1">IF(AND(ISNUMBER($I$1237),$B$1132=1),$I$1237,HLOOKUP(INDIRECT(ADDRESS(2,COLUMN())),OFFSET($K$2,0,0,ROW()-1,5),ROW()-1,FALSE))</f>
        <v>0.29277499400000001</v>
      </c>
      <c r="J114" t="str">
        <f ca="1">IF(AND(ISNUMBER($J$1237),$B$1132=1),$J$1237,HLOOKUP(INDIRECT(ADDRESS(2,COLUMN())),OFFSET($K$2,0,0,ROW()-1,5),ROW()-1,FALSE))</f>
        <v/>
      </c>
      <c r="K114" t="str">
        <f>""</f>
        <v/>
      </c>
      <c r="L114">
        <f>0.256542999</f>
        <v>0.25654299899999999</v>
      </c>
      <c r="M114">
        <f>0.253940002</f>
        <v>0.253940002</v>
      </c>
      <c r="N114">
        <f>0.292774994</f>
        <v>0.29277499400000001</v>
      </c>
      <c r="O114" t="str">
        <f>""</f>
        <v/>
      </c>
    </row>
    <row r="115" spans="1:15" x14ac:dyDescent="0.25">
      <c r="A115" t="str">
        <f>"                    Mitsuba Corp"</f>
        <v xml:space="preserve">                    Mitsuba Corp</v>
      </c>
      <c r="B115" t="str">
        <f>"7280 JP Equity"</f>
        <v>7280 JP Equity</v>
      </c>
      <c r="C115" t="str">
        <f t="shared" si="9"/>
        <v>F0946</v>
      </c>
      <c r="D115" t="str">
        <f t="shared" si="10"/>
        <v>TOTAL_GHG_CO2_EMISSIONS</v>
      </c>
      <c r="E115" t="str">
        <f t="shared" si="11"/>
        <v>Dynamic</v>
      </c>
      <c r="F115" t="str">
        <f ca="1">IF(AND(ISNUMBER($F$1238),$B$1132=1),$F$1238,HLOOKUP(INDIRECT(ADDRESS(2,COLUMN())),OFFSET($K$2,0,0,ROW()-1,5),ROW()-1,FALSE))</f>
        <v/>
      </c>
      <c r="G115">
        <f ca="1">IF(AND(ISNUMBER($G$1238),$B$1132=1),$G$1238,HLOOKUP(INDIRECT(ADDRESS(2,COLUMN())),OFFSET($K$2,0,0,ROW()-1,5),ROW()-1,FALSE))</f>
        <v>0.16058799700000001</v>
      </c>
      <c r="H115">
        <f ca="1">IF(AND(ISNUMBER($H$1238),$B$1132=1),$H$1238,HLOOKUP(INDIRECT(ADDRESS(2,COLUMN())),OFFSET($K$2,0,0,ROW()-1,5),ROW()-1,FALSE))</f>
        <v>0.156412994</v>
      </c>
      <c r="I115">
        <f ca="1">IF(AND(ISNUMBER($I$1238),$B$1132=1),$I$1238,HLOOKUP(INDIRECT(ADDRESS(2,COLUMN())),OFFSET($K$2,0,0,ROW()-1,5),ROW()-1,FALSE))</f>
        <v>0.17</v>
      </c>
      <c r="J115">
        <f ca="1">IF(AND(ISNUMBER($J$1238),$B$1132=1),$J$1238,HLOOKUP(INDIRECT(ADDRESS(2,COLUMN())),OFFSET($K$2,0,0,ROW()-1,5),ROW()-1,FALSE))</f>
        <v>0.17299999999999999</v>
      </c>
      <c r="K115" t="str">
        <f>""</f>
        <v/>
      </c>
      <c r="L115">
        <f>0.160587997</f>
        <v>0.16058799700000001</v>
      </c>
      <c r="M115">
        <f>0.156412994</f>
        <v>0.156412994</v>
      </c>
      <c r="N115">
        <f>0.17</f>
        <v>0.17</v>
      </c>
      <c r="O115">
        <f>0.173</f>
        <v>0.17299999999999999</v>
      </c>
    </row>
    <row r="116" spans="1:15" x14ac:dyDescent="0.25">
      <c r="A116" t="str">
        <f>"                    Modine Manufacturing Co"</f>
        <v xml:space="preserve">                    Modine Manufacturing Co</v>
      </c>
      <c r="B116" t="str">
        <f>"MOD US Equity"</f>
        <v>MOD US Equity</v>
      </c>
      <c r="C116" t="str">
        <f t="shared" si="9"/>
        <v>F0946</v>
      </c>
      <c r="D116" t="str">
        <f t="shared" si="10"/>
        <v>TOTAL_GHG_CO2_EMISSIONS</v>
      </c>
      <c r="E116" t="str">
        <f t="shared" si="11"/>
        <v>Dynamic</v>
      </c>
      <c r="F116" t="str">
        <f ca="1">IF(AND(ISNUMBER($F$1239),$B$1132=1),$F$1239,HLOOKUP(INDIRECT(ADDRESS(2,COLUMN())),OFFSET($K$2,0,0,ROW()-1,5),ROW()-1,FALSE))</f>
        <v/>
      </c>
      <c r="G116" t="str">
        <f ca="1">IF(AND(ISNUMBER($G$1239),$B$1132=1),$G$1239,HLOOKUP(INDIRECT(ADDRESS(2,COLUMN())),OFFSET($K$2,0,0,ROW()-1,5),ROW()-1,FALSE))</f>
        <v/>
      </c>
      <c r="H116" t="str">
        <f ca="1">IF(AND(ISNUMBER($H$1239),$B$1132=1),$H$1239,HLOOKUP(INDIRECT(ADDRESS(2,COLUMN())),OFFSET($K$2,0,0,ROW()-1,5),ROW()-1,FALSE))</f>
        <v/>
      </c>
      <c r="I116" t="str">
        <f ca="1">IF(AND(ISNUMBER($I$1239),$B$1132=1),$I$1239,HLOOKUP(INDIRECT(ADDRESS(2,COLUMN())),OFFSET($K$2,0,0,ROW()-1,5),ROW()-1,FALSE))</f>
        <v/>
      </c>
      <c r="J116" t="str">
        <f ca="1">IF(AND(ISNUMBER($J$1239),$B$1132=1),$J$1239,HLOOKUP(INDIRECT(ADDRESS(2,COLUMN())),OFFSET($K$2,0,0,ROW()-1,5),ROW()-1,FALSE))</f>
        <v/>
      </c>
      <c r="K116" t="str">
        <f>""</f>
        <v/>
      </c>
      <c r="L116" t="str">
        <f>""</f>
        <v/>
      </c>
      <c r="M116" t="str">
        <f>""</f>
        <v/>
      </c>
      <c r="N116" t="str">
        <f>""</f>
        <v/>
      </c>
      <c r="O116" t="str">
        <f>""</f>
        <v/>
      </c>
    </row>
    <row r="117" spans="1:15" x14ac:dyDescent="0.25">
      <c r="A117" t="str">
        <f>"                    Magna International Inc"</f>
        <v xml:space="preserve">                    Magna International Inc</v>
      </c>
      <c r="B117" t="str">
        <f>"MGA US Equity"</f>
        <v>MGA US Equity</v>
      </c>
      <c r="C117" t="str">
        <f t="shared" si="9"/>
        <v>F0946</v>
      </c>
      <c r="D117" t="str">
        <f t="shared" si="10"/>
        <v>TOTAL_GHG_CO2_EMISSIONS</v>
      </c>
      <c r="E117" t="str">
        <f t="shared" si="11"/>
        <v>Dynamic</v>
      </c>
      <c r="F117" t="str">
        <f ca="1">IF(AND(ISNUMBER($F$1240),$B$1132=1),$F$1240,HLOOKUP(INDIRECT(ADDRESS(2,COLUMN())),OFFSET($K$2,0,0,ROW()-1,5),ROW()-1,FALSE))</f>
        <v/>
      </c>
      <c r="G117">
        <f ca="1">IF(AND(ISNUMBER($G$1240),$B$1132=1),$G$1240,HLOOKUP(INDIRECT(ADDRESS(2,COLUMN())),OFFSET($K$2,0,0,ROW()-1,5),ROW()-1,FALSE))</f>
        <v>1.563170044</v>
      </c>
      <c r="H117">
        <f ca="1">IF(AND(ISNUMBER($H$1240),$B$1132=1),$H$1240,HLOOKUP(INDIRECT(ADDRESS(2,COLUMN())),OFFSET($K$2,0,0,ROW()-1,5),ROW()-1,FALSE))</f>
        <v>1.705900024</v>
      </c>
      <c r="I117">
        <f ca="1">IF(AND(ISNUMBER($I$1240),$B$1132=1),$I$1240,HLOOKUP(INDIRECT(ADDRESS(2,COLUMN())),OFFSET($K$2,0,0,ROW()-1,5),ROW()-1,FALSE))</f>
        <v>2.1266799320000001</v>
      </c>
      <c r="J117">
        <f ca="1">IF(AND(ISNUMBER($J$1240),$B$1132=1),$J$1240,HLOOKUP(INDIRECT(ADDRESS(2,COLUMN())),OFFSET($K$2,0,0,ROW()-1,5),ROW()-1,FALSE))</f>
        <v>2.1203000489999999</v>
      </c>
      <c r="K117" t="str">
        <f>""</f>
        <v/>
      </c>
      <c r="L117">
        <f>1.563170044</f>
        <v>1.563170044</v>
      </c>
      <c r="M117">
        <f>1.705900024</f>
        <v>1.705900024</v>
      </c>
      <c r="N117">
        <f>2.126679932</f>
        <v>2.1266799320000001</v>
      </c>
      <c r="O117">
        <f>2.120300049</f>
        <v>2.1203000489999999</v>
      </c>
    </row>
    <row r="118" spans="1:15" x14ac:dyDescent="0.25">
      <c r="A118" t="str">
        <f>"                    Mahle GmbH"</f>
        <v xml:space="preserve">                    Mahle GmbH</v>
      </c>
      <c r="B118" t="str">
        <f>"MAHL GR Equity"</f>
        <v>MAHL GR Equity</v>
      </c>
      <c r="C118" t="str">
        <f t="shared" si="9"/>
        <v>F0946</v>
      </c>
      <c r="D118" t="str">
        <f t="shared" si="10"/>
        <v>TOTAL_GHG_CO2_EMISSIONS</v>
      </c>
      <c r="E118" t="str">
        <f t="shared" si="11"/>
        <v>Dynamic</v>
      </c>
      <c r="F118" t="str">
        <f ca="1">IF(AND(ISNUMBER($F$1241),$B$1132=1),$F$1241,HLOOKUP(INDIRECT(ADDRESS(2,COLUMN())),OFFSET($K$2,0,0,ROW()-1,5),ROW()-1,FALSE))</f>
        <v/>
      </c>
      <c r="G118" t="str">
        <f ca="1">IF(AND(ISNUMBER($G$1241),$B$1132=1),$G$1241,HLOOKUP(INDIRECT(ADDRESS(2,COLUMN())),OFFSET($K$2,0,0,ROW()-1,5),ROW()-1,FALSE))</f>
        <v/>
      </c>
      <c r="H118" t="str">
        <f ca="1">IF(AND(ISNUMBER($H$1241),$B$1132=1),$H$1241,HLOOKUP(INDIRECT(ADDRESS(2,COLUMN())),OFFSET($K$2,0,0,ROW()-1,5),ROW()-1,FALSE))</f>
        <v/>
      </c>
      <c r="I118" t="str">
        <f ca="1">IF(AND(ISNUMBER($I$1241),$B$1132=1),$I$1241,HLOOKUP(INDIRECT(ADDRESS(2,COLUMN())),OFFSET($K$2,0,0,ROW()-1,5),ROW()-1,FALSE))</f>
        <v/>
      </c>
      <c r="J118" t="str">
        <f ca="1">IF(AND(ISNUMBER($J$1241),$B$1132=1),$J$1241,HLOOKUP(INDIRECT(ADDRESS(2,COLUMN())),OFFSET($K$2,0,0,ROW()-1,5),ROW()-1,FALSE))</f>
        <v/>
      </c>
      <c r="K118" t="str">
        <f>""</f>
        <v/>
      </c>
      <c r="L118" t="str">
        <f>""</f>
        <v/>
      </c>
      <c r="M118" t="str">
        <f>""</f>
        <v/>
      </c>
      <c r="N118" t="str">
        <f>""</f>
        <v/>
      </c>
      <c r="O118" t="str">
        <f>""</f>
        <v/>
      </c>
    </row>
    <row r="119" spans="1:15" x14ac:dyDescent="0.25">
      <c r="A119" t="str">
        <f>"                    Cie Generale des Etablissement"</f>
        <v xml:space="preserve">                    Cie Generale des Etablissement</v>
      </c>
      <c r="B119" t="str">
        <f>"ML FP Equity"</f>
        <v>ML FP Equity</v>
      </c>
      <c r="C119" t="str">
        <f t="shared" si="9"/>
        <v>F0946</v>
      </c>
      <c r="D119" t="str">
        <f t="shared" si="10"/>
        <v>TOTAL_GHG_CO2_EMISSIONS</v>
      </c>
      <c r="E119" t="str">
        <f t="shared" si="11"/>
        <v>Dynamic</v>
      </c>
      <c r="F119" t="str">
        <f ca="1">IF(AND(ISNUMBER($F$1242),$B$1132=1),$F$1242,HLOOKUP(INDIRECT(ADDRESS(2,COLUMN())),OFFSET($K$2,0,0,ROW()-1,5),ROW()-1,FALSE))</f>
        <v/>
      </c>
      <c r="G119">
        <f ca="1">IF(AND(ISNUMBER($G$1242),$B$1132=1),$G$1242,HLOOKUP(INDIRECT(ADDRESS(2,COLUMN())),OFFSET($K$2,0,0,ROW()-1,5),ROW()-1,FALSE))</f>
        <v>2.7629999999999999</v>
      </c>
      <c r="H119">
        <f ca="1">IF(AND(ISNUMBER($H$1242),$B$1132=1),$H$1242,HLOOKUP(INDIRECT(ADDRESS(2,COLUMN())),OFFSET($K$2,0,0,ROW()-1,5),ROW()-1,FALSE))</f>
        <v>2.7935300289999998</v>
      </c>
      <c r="I119">
        <f ca="1">IF(AND(ISNUMBER($I$1242),$B$1132=1),$I$1242,HLOOKUP(INDIRECT(ADDRESS(2,COLUMN())),OFFSET($K$2,0,0,ROW()-1,5),ROW()-1,FALSE))</f>
        <v>3.250580078</v>
      </c>
      <c r="J119">
        <f ca="1">IF(AND(ISNUMBER($J$1242),$B$1132=1),$J$1242,HLOOKUP(INDIRECT(ADDRESS(2,COLUMN())),OFFSET($K$2,0,0,ROW()-1,5),ROW()-1,FALSE))</f>
        <v>3.390860107</v>
      </c>
      <c r="K119" t="str">
        <f>""</f>
        <v/>
      </c>
      <c r="L119">
        <f>2.763</f>
        <v>2.7629999999999999</v>
      </c>
      <c r="M119">
        <f>2.793530029</f>
        <v>2.7935300289999998</v>
      </c>
      <c r="N119">
        <f>3.250580078</f>
        <v>3.250580078</v>
      </c>
      <c r="O119">
        <f>3.390860107</f>
        <v>3.390860107</v>
      </c>
    </row>
    <row r="120" spans="1:15" x14ac:dyDescent="0.25">
      <c r="A120" t="str">
        <f>"                    MRF Ltd"</f>
        <v xml:space="preserve">                    MRF Ltd</v>
      </c>
      <c r="B120" t="str">
        <f>"MRF IN Equity"</f>
        <v>MRF IN Equity</v>
      </c>
      <c r="C120" t="str">
        <f t="shared" si="9"/>
        <v>F0946</v>
      </c>
      <c r="D120" t="str">
        <f t="shared" si="10"/>
        <v>TOTAL_GHG_CO2_EMISSIONS</v>
      </c>
      <c r="E120" t="str">
        <f t="shared" si="11"/>
        <v>Dynamic</v>
      </c>
      <c r="F120" t="str">
        <f ca="1">IF(AND(ISNUMBER($F$1243),$B$1132=1),$F$1243,HLOOKUP(INDIRECT(ADDRESS(2,COLUMN())),OFFSET($K$2,0,0,ROW()-1,5),ROW()-1,FALSE))</f>
        <v/>
      </c>
      <c r="G120" t="str">
        <f ca="1">IF(AND(ISNUMBER($G$1243),$B$1132=1),$G$1243,HLOOKUP(INDIRECT(ADDRESS(2,COLUMN())),OFFSET($K$2,0,0,ROW()-1,5),ROW()-1,FALSE))</f>
        <v/>
      </c>
      <c r="H120" t="str">
        <f ca="1">IF(AND(ISNUMBER($H$1243),$B$1132=1),$H$1243,HLOOKUP(INDIRECT(ADDRESS(2,COLUMN())),OFFSET($K$2,0,0,ROW()-1,5),ROW()-1,FALSE))</f>
        <v/>
      </c>
      <c r="I120" t="str">
        <f ca="1">IF(AND(ISNUMBER($I$1243),$B$1132=1),$I$1243,HLOOKUP(INDIRECT(ADDRESS(2,COLUMN())),OFFSET($K$2,0,0,ROW()-1,5),ROW()-1,FALSE))</f>
        <v/>
      </c>
      <c r="J120" t="str">
        <f ca="1">IF(AND(ISNUMBER($J$1243),$B$1132=1),$J$1243,HLOOKUP(INDIRECT(ADDRESS(2,COLUMN())),OFFSET($K$2,0,0,ROW()-1,5),ROW()-1,FALSE))</f>
        <v/>
      </c>
      <c r="K120" t="str">
        <f>""</f>
        <v/>
      </c>
      <c r="L120" t="str">
        <f>""</f>
        <v/>
      </c>
      <c r="M120" t="str">
        <f>""</f>
        <v/>
      </c>
      <c r="N120" t="str">
        <f>""</f>
        <v/>
      </c>
      <c r="O120" t="str">
        <f>""</f>
        <v/>
      </c>
    </row>
    <row r="121" spans="1:15" x14ac:dyDescent="0.25">
      <c r="A121" t="str">
        <f>"                    Nexen Tire Corp"</f>
        <v xml:space="preserve">                    Nexen Tire Corp</v>
      </c>
      <c r="B121" t="str">
        <f>"002350 KS Equity"</f>
        <v>002350 KS Equity</v>
      </c>
      <c r="C121" t="str">
        <f t="shared" si="9"/>
        <v>F0946</v>
      </c>
      <c r="D121" t="str">
        <f t="shared" si="10"/>
        <v>TOTAL_GHG_CO2_EMISSIONS</v>
      </c>
      <c r="E121" t="str">
        <f t="shared" si="11"/>
        <v>Dynamic</v>
      </c>
      <c r="F121" t="str">
        <f ca="1">IF(AND(ISNUMBER($F$1244),$B$1132=1),$F$1244,HLOOKUP(INDIRECT(ADDRESS(2,COLUMN())),OFFSET($K$2,0,0,ROW()-1,5),ROW()-1,FALSE))</f>
        <v/>
      </c>
      <c r="G121">
        <f ca="1">IF(AND(ISNUMBER($G$1244),$B$1132=1),$G$1244,HLOOKUP(INDIRECT(ADDRESS(2,COLUMN())),OFFSET($K$2,0,0,ROW()-1,5),ROW()-1,FALSE))</f>
        <v>0.36829599000000002</v>
      </c>
      <c r="H121">
        <f ca="1">IF(AND(ISNUMBER($H$1244),$B$1132=1),$H$1244,HLOOKUP(INDIRECT(ADDRESS(2,COLUMN())),OFFSET($K$2,0,0,ROW()-1,5),ROW()-1,FALSE))</f>
        <v>0.30922198499999998</v>
      </c>
      <c r="I121">
        <f ca="1">IF(AND(ISNUMBER($I$1244),$B$1132=1),$I$1244,HLOOKUP(INDIRECT(ADDRESS(2,COLUMN())),OFFSET($K$2,0,0,ROW()-1,5),ROW()-1,FALSE))</f>
        <v>0.34778601100000001</v>
      </c>
      <c r="J121">
        <f ca="1">IF(AND(ISNUMBER($J$1244),$B$1132=1),$J$1244,HLOOKUP(INDIRECT(ADDRESS(2,COLUMN())),OFFSET($K$2,0,0,ROW()-1,5),ROW()-1,FALSE))</f>
        <v>0.210869995</v>
      </c>
      <c r="K121" t="str">
        <f>""</f>
        <v/>
      </c>
      <c r="L121">
        <f>0.36829599</f>
        <v>0.36829599000000002</v>
      </c>
      <c r="M121">
        <f>0.309221985</f>
        <v>0.30922198499999998</v>
      </c>
      <c r="N121">
        <f>0.347786011</f>
        <v>0.34778601100000001</v>
      </c>
      <c r="O121">
        <f>0.210869995</f>
        <v>0.210869995</v>
      </c>
    </row>
    <row r="122" spans="1:15" x14ac:dyDescent="0.25">
      <c r="A122" t="str">
        <f>"                    Nokian Renkaat Oyj"</f>
        <v xml:space="preserve">                    Nokian Renkaat Oyj</v>
      </c>
      <c r="B122" t="str">
        <f>"TYRES FH Equity"</f>
        <v>TYRES FH Equity</v>
      </c>
      <c r="C122" t="str">
        <f t="shared" si="9"/>
        <v>F0946</v>
      </c>
      <c r="D122" t="str">
        <f t="shared" si="10"/>
        <v>TOTAL_GHG_CO2_EMISSIONS</v>
      </c>
      <c r="E122" t="str">
        <f t="shared" si="11"/>
        <v>Dynamic</v>
      </c>
      <c r="F122">
        <f ca="1">IF(AND(ISNUMBER($F$1245),$B$1132=1),$F$1245,HLOOKUP(INDIRECT(ADDRESS(2,COLUMN())),OFFSET($K$2,0,0,ROW()-1,5),ROW()-1,FALSE))</f>
        <v>0.106</v>
      </c>
      <c r="G122">
        <f ca="1">IF(AND(ISNUMBER($G$1245),$B$1132=1),$G$1245,HLOOKUP(INDIRECT(ADDRESS(2,COLUMN())),OFFSET($K$2,0,0,ROW()-1,5),ROW()-1,FALSE))</f>
        <v>0.13958000200000001</v>
      </c>
      <c r="H122">
        <f ca="1">IF(AND(ISNUMBER($H$1245),$B$1132=1),$H$1245,HLOOKUP(INDIRECT(ADDRESS(2,COLUMN())),OFFSET($K$2,0,0,ROW()-1,5),ROW()-1,FALSE))</f>
        <v>0.123209999</v>
      </c>
      <c r="I122">
        <f ca="1">IF(AND(ISNUMBER($I$1245),$B$1132=1),$I$1245,HLOOKUP(INDIRECT(ADDRESS(2,COLUMN())),OFFSET($K$2,0,0,ROW()-1,5),ROW()-1,FALSE))</f>
        <v>0.122544998</v>
      </c>
      <c r="J122">
        <f ca="1">IF(AND(ISNUMBER($J$1245),$B$1132=1),$J$1245,HLOOKUP(INDIRECT(ADDRESS(2,COLUMN())),OFFSET($K$2,0,0,ROW()-1,5),ROW()-1,FALSE))</f>
        <v>0.122276001</v>
      </c>
      <c r="K122">
        <f>0.106</f>
        <v>0.106</v>
      </c>
      <c r="L122">
        <f>0.139580002</f>
        <v>0.13958000200000001</v>
      </c>
      <c r="M122">
        <f>0.123209999</f>
        <v>0.123209999</v>
      </c>
      <c r="N122">
        <f>0.122544998</f>
        <v>0.122544998</v>
      </c>
      <c r="O122">
        <f>0.122276001</f>
        <v>0.122276001</v>
      </c>
    </row>
    <row r="123" spans="1:15" x14ac:dyDescent="0.25">
      <c r="A123" t="str">
        <f>"                    NHK Spring Co Ltd"</f>
        <v xml:space="preserve">                    NHK Spring Co Ltd</v>
      </c>
      <c r="B123" t="str">
        <f>"5991 JP Equity"</f>
        <v>5991 JP Equity</v>
      </c>
      <c r="C123" t="str">
        <f t="shared" si="9"/>
        <v>F0946</v>
      </c>
      <c r="D123" t="str">
        <f t="shared" si="10"/>
        <v>TOTAL_GHG_CO2_EMISSIONS</v>
      </c>
      <c r="E123" t="str">
        <f t="shared" si="11"/>
        <v>Dynamic</v>
      </c>
      <c r="F123" t="str">
        <f ca="1">IF(AND(ISNUMBER($F$1246),$B$1132=1),$F$1246,HLOOKUP(INDIRECT(ADDRESS(2,COLUMN())),OFFSET($K$2,0,0,ROW()-1,5),ROW()-1,FALSE))</f>
        <v/>
      </c>
      <c r="G123">
        <f ca="1">IF(AND(ISNUMBER($G$1246),$B$1132=1),$G$1246,HLOOKUP(INDIRECT(ADDRESS(2,COLUMN())),OFFSET($K$2,0,0,ROW()-1,5),ROW()-1,FALSE))</f>
        <v>9.7500000000000003E-2</v>
      </c>
      <c r="H123">
        <f ca="1">IF(AND(ISNUMBER($H$1246),$B$1132=1),$H$1246,HLOOKUP(INDIRECT(ADDRESS(2,COLUMN())),OFFSET($K$2,0,0,ROW()-1,5),ROW()-1,FALSE))</f>
        <v>9.2781998000000004E-2</v>
      </c>
      <c r="I123">
        <f ca="1">IF(AND(ISNUMBER($I$1246),$B$1132=1),$I$1246,HLOOKUP(INDIRECT(ADDRESS(2,COLUMN())),OFFSET($K$2,0,0,ROW()-1,5),ROW()-1,FALSE))</f>
        <v>9.5983001999999998E-2</v>
      </c>
      <c r="J123">
        <f ca="1">IF(AND(ISNUMBER($J$1246),$B$1132=1),$J$1246,HLOOKUP(INDIRECT(ADDRESS(2,COLUMN())),OFFSET($K$2,0,0,ROW()-1,5),ROW()-1,FALSE))</f>
        <v>9.0563004000000003E-2</v>
      </c>
      <c r="K123" t="str">
        <f>""</f>
        <v/>
      </c>
      <c r="L123">
        <f>0.0975</f>
        <v>9.7500000000000003E-2</v>
      </c>
      <c r="M123">
        <f>0.092781998</f>
        <v>9.2781998000000004E-2</v>
      </c>
      <c r="N123">
        <f>0.095983002</f>
        <v>9.5983001999999998E-2</v>
      </c>
      <c r="O123">
        <f>0.090563004</f>
        <v>9.0563004000000003E-2</v>
      </c>
    </row>
    <row r="124" spans="1:15" x14ac:dyDescent="0.25">
      <c r="A124" t="str">
        <f>"                    NSK Ltd"</f>
        <v xml:space="preserve">                    NSK Ltd</v>
      </c>
      <c r="B124" t="str">
        <f>"6471 JP Equity"</f>
        <v>6471 JP Equity</v>
      </c>
      <c r="C124" t="str">
        <f t="shared" si="9"/>
        <v>F0946</v>
      </c>
      <c r="D124" t="str">
        <f t="shared" si="10"/>
        <v>TOTAL_GHG_CO2_EMISSIONS</v>
      </c>
      <c r="E124" t="str">
        <f t="shared" si="11"/>
        <v>Dynamic</v>
      </c>
      <c r="F124" t="str">
        <f ca="1">IF(AND(ISNUMBER($F$1247),$B$1132=1),$F$1247,HLOOKUP(INDIRECT(ADDRESS(2,COLUMN())),OFFSET($K$2,0,0,ROW()-1,5),ROW()-1,FALSE))</f>
        <v/>
      </c>
      <c r="G124">
        <f ca="1">IF(AND(ISNUMBER($G$1247),$B$1132=1),$G$1247,HLOOKUP(INDIRECT(ADDRESS(2,COLUMN())),OFFSET($K$2,0,0,ROW()-1,5),ROW()-1,FALSE))</f>
        <v>0.89212200900000005</v>
      </c>
      <c r="H124">
        <f ca="1">IF(AND(ISNUMBER($H$1247),$B$1132=1),$H$1247,HLOOKUP(INDIRECT(ADDRESS(2,COLUMN())),OFFSET($K$2,0,0,ROW()-1,5),ROW()-1,FALSE))</f>
        <v>0.82361798100000005</v>
      </c>
      <c r="I124">
        <f ca="1">IF(AND(ISNUMBER($I$1247),$B$1132=1),$I$1247,HLOOKUP(INDIRECT(ADDRESS(2,COLUMN())),OFFSET($K$2,0,0,ROW()-1,5),ROW()-1,FALSE))</f>
        <v>0.84</v>
      </c>
      <c r="J124">
        <f ca="1">IF(AND(ISNUMBER($J$1247),$B$1132=1),$J$1247,HLOOKUP(INDIRECT(ADDRESS(2,COLUMN())),OFFSET($K$2,0,0,ROW()-1,5),ROW()-1,FALSE))</f>
        <v>0.97799999999999998</v>
      </c>
      <c r="K124" t="str">
        <f>""</f>
        <v/>
      </c>
      <c r="L124">
        <f>0.892122009</f>
        <v>0.89212200900000005</v>
      </c>
      <c r="M124">
        <f>0.823617981</f>
        <v>0.82361798100000005</v>
      </c>
      <c r="N124">
        <f>0.84</f>
        <v>0.84</v>
      </c>
      <c r="O124">
        <f>0.978</f>
        <v>0.97799999999999998</v>
      </c>
    </row>
    <row r="125" spans="1:15" x14ac:dyDescent="0.25">
      <c r="A125" t="str">
        <f>"                    NTN Corp"</f>
        <v xml:space="preserve">                    NTN Corp</v>
      </c>
      <c r="B125" t="str">
        <f>"6472 JP Equity"</f>
        <v>6472 JP Equity</v>
      </c>
      <c r="C125" t="str">
        <f t="shared" si="9"/>
        <v>F0946</v>
      </c>
      <c r="D125" t="str">
        <f t="shared" si="10"/>
        <v>TOTAL_GHG_CO2_EMISSIONS</v>
      </c>
      <c r="E125" t="str">
        <f t="shared" si="11"/>
        <v>Dynamic</v>
      </c>
      <c r="F125" t="str">
        <f ca="1">IF(AND(ISNUMBER($F$1248),$B$1132=1),$F$1248,HLOOKUP(INDIRECT(ADDRESS(2,COLUMN())),OFFSET($K$2,0,0,ROW()-1,5),ROW()-1,FALSE))</f>
        <v/>
      </c>
      <c r="G125">
        <f ca="1">IF(AND(ISNUMBER($G$1248),$B$1132=1),$G$1248,HLOOKUP(INDIRECT(ADDRESS(2,COLUMN())),OFFSET($K$2,0,0,ROW()-1,5),ROW()-1,FALSE))</f>
        <v>0.57699999999999996</v>
      </c>
      <c r="H125">
        <f ca="1">IF(AND(ISNUMBER($H$1248),$B$1132=1),$H$1248,HLOOKUP(INDIRECT(ADDRESS(2,COLUMN())),OFFSET($K$2,0,0,ROW()-1,5),ROW()-1,FALSE))</f>
        <v>0.55600000000000005</v>
      </c>
      <c r="I125">
        <f ca="1">IF(AND(ISNUMBER($I$1248),$B$1132=1),$I$1248,HLOOKUP(INDIRECT(ADDRESS(2,COLUMN())),OFFSET($K$2,0,0,ROW()-1,5),ROW()-1,FALSE))</f>
        <v>0.60599999999999998</v>
      </c>
      <c r="J125">
        <f ca="1">IF(AND(ISNUMBER($J$1248),$B$1132=1),$J$1248,HLOOKUP(INDIRECT(ADDRESS(2,COLUMN())),OFFSET($K$2,0,0,ROW()-1,5),ROW()-1,FALSE))</f>
        <v>0.67300000000000004</v>
      </c>
      <c r="K125" t="str">
        <f>""</f>
        <v/>
      </c>
      <c r="L125">
        <f>0.577</f>
        <v>0.57699999999999996</v>
      </c>
      <c r="M125">
        <f>0.556</f>
        <v>0.55600000000000005</v>
      </c>
      <c r="N125">
        <f>0.606</f>
        <v>0.60599999999999998</v>
      </c>
      <c r="O125">
        <f>0.673</f>
        <v>0.67300000000000004</v>
      </c>
    </row>
    <row r="126" spans="1:15" x14ac:dyDescent="0.25">
      <c r="A126" t="str">
        <f>"                    Omron Corp"</f>
        <v xml:space="preserve">                    Omron Corp</v>
      </c>
      <c r="B126" t="str">
        <f>"6645 JP Equity"</f>
        <v>6645 JP Equity</v>
      </c>
      <c r="C126" t="str">
        <f t="shared" si="9"/>
        <v>F0946</v>
      </c>
      <c r="D126" t="str">
        <f t="shared" si="10"/>
        <v>TOTAL_GHG_CO2_EMISSIONS</v>
      </c>
      <c r="E126" t="str">
        <f t="shared" si="11"/>
        <v>Dynamic</v>
      </c>
      <c r="F126" t="str">
        <f ca="1">IF(AND(ISNUMBER($F$1249),$B$1132=1),$F$1249,HLOOKUP(INDIRECT(ADDRESS(2,COLUMN())),OFFSET($K$2,0,0,ROW()-1,5),ROW()-1,FALSE))</f>
        <v/>
      </c>
      <c r="G126">
        <f ca="1">IF(AND(ISNUMBER($G$1249),$B$1132=1),$G$1249,HLOOKUP(INDIRECT(ADDRESS(2,COLUMN())),OFFSET($K$2,0,0,ROW()-1,5),ROW()-1,FALSE))</f>
        <v>0.122042999</v>
      </c>
      <c r="H126">
        <f ca="1">IF(AND(ISNUMBER($H$1249),$B$1132=1),$H$1249,HLOOKUP(INDIRECT(ADDRESS(2,COLUMN())),OFFSET($K$2,0,0,ROW()-1,5),ROW()-1,FALSE))</f>
        <v>0.12339399700000001</v>
      </c>
      <c r="I126">
        <f ca="1">IF(AND(ISNUMBER($I$1249),$B$1132=1),$I$1249,HLOOKUP(INDIRECT(ADDRESS(2,COLUMN())),OFFSET($K$2,0,0,ROW()-1,5),ROW()-1,FALSE))</f>
        <v>0.16608999599999999</v>
      </c>
      <c r="J126">
        <f ca="1">IF(AND(ISNUMBER($J$1249),$B$1132=1),$J$1249,HLOOKUP(INDIRECT(ADDRESS(2,COLUMN())),OFFSET($K$2,0,0,ROW()-1,5),ROW()-1,FALSE))</f>
        <v>0.23455700700000001</v>
      </c>
      <c r="K126" t="str">
        <f>""</f>
        <v/>
      </c>
      <c r="L126">
        <f>0.122042999</f>
        <v>0.122042999</v>
      </c>
      <c r="M126">
        <f>0.123393997</f>
        <v>0.12339399700000001</v>
      </c>
      <c r="N126">
        <f>0.166089996</f>
        <v>0.16608999599999999</v>
      </c>
      <c r="O126">
        <f>0.234557007</f>
        <v>0.23455700700000001</v>
      </c>
    </row>
    <row r="127" spans="1:15" x14ac:dyDescent="0.25">
      <c r="A127" t="str">
        <f>"                    Rieter Automotive Systems - Se"</f>
        <v xml:space="preserve">                    Rieter Automotive Systems - Se</v>
      </c>
      <c r="B127" t="str">
        <f>"219215Z GR Equity"</f>
        <v>219215Z GR Equity</v>
      </c>
      <c r="C127" t="str">
        <f t="shared" si="9"/>
        <v>F0946</v>
      </c>
      <c r="D127" t="str">
        <f t="shared" si="10"/>
        <v>TOTAL_GHG_CO2_EMISSIONS</v>
      </c>
      <c r="E127" t="str">
        <f t="shared" si="11"/>
        <v>Dynamic</v>
      </c>
      <c r="F127" t="str">
        <f ca="1">IF(AND(ISNUMBER($F$1250),$B$1132=1),$F$1250,HLOOKUP(INDIRECT(ADDRESS(2,COLUMN())),OFFSET($K$2,0,0,ROW()-1,5),ROW()-1,FALSE))</f>
        <v/>
      </c>
      <c r="G127" t="str">
        <f ca="1">IF(AND(ISNUMBER($G$1250),$B$1132=1),$G$1250,HLOOKUP(INDIRECT(ADDRESS(2,COLUMN())),OFFSET($K$2,0,0,ROW()-1,5),ROW()-1,FALSE))</f>
        <v/>
      </c>
      <c r="H127" t="str">
        <f ca="1">IF(AND(ISNUMBER($H$1250),$B$1132=1),$H$1250,HLOOKUP(INDIRECT(ADDRESS(2,COLUMN())),OFFSET($K$2,0,0,ROW()-1,5),ROW()-1,FALSE))</f>
        <v/>
      </c>
      <c r="I127" t="str">
        <f ca="1">IF(AND(ISNUMBER($I$1250),$B$1132=1),$I$1250,HLOOKUP(INDIRECT(ADDRESS(2,COLUMN())),OFFSET($K$2,0,0,ROW()-1,5),ROW()-1,FALSE))</f>
        <v/>
      </c>
      <c r="J127" t="str">
        <f ca="1">IF(AND(ISNUMBER($J$1250),$B$1132=1),$J$1250,HLOOKUP(INDIRECT(ADDRESS(2,COLUMN())),OFFSET($K$2,0,0,ROW()-1,5),ROW()-1,FALSE))</f>
        <v/>
      </c>
      <c r="K127" t="str">
        <f>""</f>
        <v/>
      </c>
      <c r="L127" t="str">
        <f>""</f>
        <v/>
      </c>
      <c r="M127" t="str">
        <f>""</f>
        <v/>
      </c>
      <c r="N127" t="str">
        <f>""</f>
        <v/>
      </c>
      <c r="O127" t="str">
        <f>""</f>
        <v/>
      </c>
    </row>
    <row r="128" spans="1:15" x14ac:dyDescent="0.25">
      <c r="A128" t="str">
        <f>"                    Robert Bosch GmbH"</f>
        <v xml:space="preserve">                    Robert Bosch GmbH</v>
      </c>
      <c r="B128" t="str">
        <f>"RBOS GR Equity"</f>
        <v>RBOS GR Equity</v>
      </c>
      <c r="C128" t="str">
        <f t="shared" si="9"/>
        <v>F0946</v>
      </c>
      <c r="D128" t="str">
        <f t="shared" si="10"/>
        <v>TOTAL_GHG_CO2_EMISSIONS</v>
      </c>
      <c r="E128" t="str">
        <f t="shared" si="11"/>
        <v>Dynamic</v>
      </c>
      <c r="F128" t="str">
        <f ca="1">IF(AND(ISNUMBER($F$1251),$B$1132=1),$F$1251,HLOOKUP(INDIRECT(ADDRESS(2,COLUMN())),OFFSET($K$2,0,0,ROW()-1,5),ROW()-1,FALSE))</f>
        <v/>
      </c>
      <c r="G128">
        <f ca="1">IF(AND(ISNUMBER($G$1251),$B$1132=1),$G$1251,HLOOKUP(INDIRECT(ADDRESS(2,COLUMN())),OFFSET($K$2,0,0,ROW()-1,5),ROW()-1,FALSE))</f>
        <v>2.7970100100000002</v>
      </c>
      <c r="H128">
        <f ca="1">IF(AND(ISNUMBER($H$1251),$B$1132=1),$H$1251,HLOOKUP(INDIRECT(ADDRESS(2,COLUMN())),OFFSET($K$2,0,0,ROW()-1,5),ROW()-1,FALSE))</f>
        <v>0.93799999999999994</v>
      </c>
      <c r="I128">
        <f ca="1">IF(AND(ISNUMBER($I$1251),$B$1132=1),$I$1251,HLOOKUP(INDIRECT(ADDRESS(2,COLUMN())),OFFSET($K$2,0,0,ROW()-1,5),ROW()-1,FALSE))</f>
        <v>1.9430000000000001</v>
      </c>
      <c r="J128">
        <f ca="1">IF(AND(ISNUMBER($J$1251),$B$1132=1),$J$1251,HLOOKUP(INDIRECT(ADDRESS(2,COLUMN())),OFFSET($K$2,0,0,ROW()-1,5),ROW()-1,FALSE))</f>
        <v>3.258</v>
      </c>
      <c r="K128" t="str">
        <f>""</f>
        <v/>
      </c>
      <c r="L128">
        <f>2.79701001</f>
        <v>2.7970100100000002</v>
      </c>
      <c r="M128">
        <f>0.938</f>
        <v>0.93799999999999994</v>
      </c>
      <c r="N128">
        <f>1.943</f>
        <v>1.9430000000000001</v>
      </c>
      <c r="O128">
        <f>3.258</f>
        <v>3.258</v>
      </c>
    </row>
    <row r="129" spans="1:15" x14ac:dyDescent="0.25">
      <c r="A129" t="str">
        <f>"                    Sanden Corp"</f>
        <v xml:space="preserve">                    Sanden Corp</v>
      </c>
      <c r="B129" t="str">
        <f>"6444 JP Equity"</f>
        <v>6444 JP Equity</v>
      </c>
      <c r="C129" t="str">
        <f t="shared" si="9"/>
        <v>F0946</v>
      </c>
      <c r="D129" t="str">
        <f t="shared" si="10"/>
        <v>TOTAL_GHG_CO2_EMISSIONS</v>
      </c>
      <c r="E129" t="str">
        <f t="shared" si="11"/>
        <v>Dynamic</v>
      </c>
      <c r="F129" t="str">
        <f ca="1">IF(AND(ISNUMBER($F$1252),$B$1132=1),$F$1252,HLOOKUP(INDIRECT(ADDRESS(2,COLUMN())),OFFSET($K$2,0,0,ROW()-1,5),ROW()-1,FALSE))</f>
        <v/>
      </c>
      <c r="G129" t="str">
        <f ca="1">IF(AND(ISNUMBER($G$1252),$B$1132=1),$G$1252,HLOOKUP(INDIRECT(ADDRESS(2,COLUMN())),OFFSET($K$2,0,0,ROW()-1,5),ROW()-1,FALSE))</f>
        <v/>
      </c>
      <c r="H129">
        <f ca="1">IF(AND(ISNUMBER($H$1252),$B$1132=1),$H$1252,HLOOKUP(INDIRECT(ADDRESS(2,COLUMN())),OFFSET($K$2,0,0,ROW()-1,5),ROW()-1,FALSE))</f>
        <v>9.4760001999999996E-2</v>
      </c>
      <c r="I129">
        <f ca="1">IF(AND(ISNUMBER($I$1252),$B$1132=1),$I$1252,HLOOKUP(INDIRECT(ADDRESS(2,COLUMN())),OFFSET($K$2,0,0,ROW()-1,5),ROW()-1,FALSE))</f>
        <v>0.115746002</v>
      </c>
      <c r="J129">
        <f ca="1">IF(AND(ISNUMBER($J$1252),$B$1132=1),$J$1252,HLOOKUP(INDIRECT(ADDRESS(2,COLUMN())),OFFSET($K$2,0,0,ROW()-1,5),ROW()-1,FALSE))</f>
        <v>0.12952699300000001</v>
      </c>
      <c r="K129" t="str">
        <f>""</f>
        <v/>
      </c>
      <c r="L129" t="str">
        <f>""</f>
        <v/>
      </c>
      <c r="M129">
        <f>0.094760002</f>
        <v>9.4760001999999996E-2</v>
      </c>
      <c r="N129">
        <f>0.115746002</f>
        <v>0.115746002</v>
      </c>
      <c r="O129">
        <f>0.129526993</f>
        <v>0.12952699300000001</v>
      </c>
    </row>
    <row r="130" spans="1:15" x14ac:dyDescent="0.25">
      <c r="A130" t="str">
        <f>"                    Shanghai Huayi Group Co Ltd"</f>
        <v xml:space="preserve">                    Shanghai Huayi Group Co Ltd</v>
      </c>
      <c r="B130" t="str">
        <f>"900909 CH Equity"</f>
        <v>900909 CH Equity</v>
      </c>
      <c r="C130" t="str">
        <f t="shared" si="9"/>
        <v>F0946</v>
      </c>
      <c r="D130" t="str">
        <f t="shared" si="10"/>
        <v>TOTAL_GHG_CO2_EMISSIONS</v>
      </c>
      <c r="E130" t="str">
        <f t="shared" si="11"/>
        <v>Dynamic</v>
      </c>
      <c r="F130" t="str">
        <f ca="1">IF(AND(ISNUMBER($F$1253),$B$1132=1),$F$1253,HLOOKUP(INDIRECT(ADDRESS(2,COLUMN())),OFFSET($K$2,0,0,ROW()-1,5),ROW()-1,FALSE))</f>
        <v/>
      </c>
      <c r="G130" t="str">
        <f ca="1">IF(AND(ISNUMBER($G$1253),$B$1132=1),$G$1253,HLOOKUP(INDIRECT(ADDRESS(2,COLUMN())),OFFSET($K$2,0,0,ROW()-1,5),ROW()-1,FALSE))</f>
        <v/>
      </c>
      <c r="H130" t="str">
        <f ca="1">IF(AND(ISNUMBER($H$1253),$B$1132=1),$H$1253,HLOOKUP(INDIRECT(ADDRESS(2,COLUMN())),OFFSET($K$2,0,0,ROW()-1,5),ROW()-1,FALSE))</f>
        <v/>
      </c>
      <c r="I130" t="str">
        <f ca="1">IF(AND(ISNUMBER($I$1253),$B$1132=1),$I$1253,HLOOKUP(INDIRECT(ADDRESS(2,COLUMN())),OFFSET($K$2,0,0,ROW()-1,5),ROW()-1,FALSE))</f>
        <v/>
      </c>
      <c r="J130" t="str">
        <f ca="1">IF(AND(ISNUMBER($J$1253),$B$1132=1),$J$1253,HLOOKUP(INDIRECT(ADDRESS(2,COLUMN())),OFFSET($K$2,0,0,ROW()-1,5),ROW()-1,FALSE))</f>
        <v/>
      </c>
      <c r="K130" t="str">
        <f>""</f>
        <v/>
      </c>
      <c r="L130" t="str">
        <f>""</f>
        <v/>
      </c>
      <c r="M130" t="str">
        <f>""</f>
        <v/>
      </c>
      <c r="N130" t="str">
        <f>""</f>
        <v/>
      </c>
      <c r="O130" t="str">
        <f>""</f>
        <v/>
      </c>
    </row>
    <row r="131" spans="1:15" x14ac:dyDescent="0.25">
      <c r="A131" t="str">
        <f>"                    Shenma Industry Co Ltd"</f>
        <v xml:space="preserve">                    Shenma Industry Co Ltd</v>
      </c>
      <c r="B131" t="str">
        <f>"600810 CH Equity"</f>
        <v>600810 CH Equity</v>
      </c>
      <c r="C131" t="str">
        <f t="shared" ref="C131:C148" si="12">"F0946"</f>
        <v>F0946</v>
      </c>
      <c r="D131" t="str">
        <f t="shared" ref="D131:D148" si="13">"TOTAL_GHG_CO2_EMISSIONS"</f>
        <v>TOTAL_GHG_CO2_EMISSIONS</v>
      </c>
      <c r="E131" t="str">
        <f t="shared" ref="E131:E148" si="14">"Dynamic"</f>
        <v>Dynamic</v>
      </c>
      <c r="F131" t="str">
        <f ca="1">IF(AND(ISNUMBER($F$1254),$B$1132=1),$F$1254,HLOOKUP(INDIRECT(ADDRESS(2,COLUMN())),OFFSET($K$2,0,0,ROW()-1,5),ROW()-1,FALSE))</f>
        <v/>
      </c>
      <c r="G131">
        <f ca="1">IF(AND(ISNUMBER($G$1254),$B$1132=1),$G$1254,HLOOKUP(INDIRECT(ADDRESS(2,COLUMN())),OFFSET($K$2,0,0,ROW()-1,5),ROW()-1,FALSE))</f>
        <v>1.9370000000000001</v>
      </c>
      <c r="H131">
        <f ca="1">IF(AND(ISNUMBER($H$1254),$B$1132=1),$H$1254,HLOOKUP(INDIRECT(ADDRESS(2,COLUMN())),OFFSET($K$2,0,0,ROW()-1,5),ROW()-1,FALSE))</f>
        <v>1.9115</v>
      </c>
      <c r="I131" t="str">
        <f ca="1">IF(AND(ISNUMBER($I$1254),$B$1132=1),$I$1254,HLOOKUP(INDIRECT(ADDRESS(2,COLUMN())),OFFSET($K$2,0,0,ROW()-1,5),ROW()-1,FALSE))</f>
        <v/>
      </c>
      <c r="J131">
        <f ca="1">IF(AND(ISNUMBER($J$1254),$B$1132=1),$J$1254,HLOOKUP(INDIRECT(ADDRESS(2,COLUMN())),OFFSET($K$2,0,0,ROW()-1,5),ROW()-1,FALSE))</f>
        <v>0.42694299299999999</v>
      </c>
      <c r="K131" t="str">
        <f>""</f>
        <v/>
      </c>
      <c r="L131">
        <f>1.937</f>
        <v>1.9370000000000001</v>
      </c>
      <c r="M131">
        <f>1.9115</f>
        <v>1.9115</v>
      </c>
      <c r="N131" t="str">
        <f>""</f>
        <v/>
      </c>
      <c r="O131">
        <f>0.426942993</f>
        <v>0.42694299299999999</v>
      </c>
    </row>
    <row r="132" spans="1:15" x14ac:dyDescent="0.25">
      <c r="A132" t="str">
        <f>"                    Samvardhana Motherson Internat"</f>
        <v xml:space="preserve">                    Samvardhana Motherson Internat</v>
      </c>
      <c r="B132" t="str">
        <f>"MOTHERSO IN Equity"</f>
        <v>MOTHERSO IN Equity</v>
      </c>
      <c r="C132" t="str">
        <f t="shared" si="12"/>
        <v>F0946</v>
      </c>
      <c r="D132" t="str">
        <f t="shared" si="13"/>
        <v>TOTAL_GHG_CO2_EMISSIONS</v>
      </c>
      <c r="E132" t="str">
        <f t="shared" si="14"/>
        <v>Dynamic</v>
      </c>
      <c r="F132" t="str">
        <f ca="1">IF(AND(ISNUMBER($F$1255),$B$1132=1),$F$1255,HLOOKUP(INDIRECT(ADDRESS(2,COLUMN())),OFFSET($K$2,0,0,ROW()-1,5),ROW()-1,FALSE))</f>
        <v/>
      </c>
      <c r="G132">
        <f ca="1">IF(AND(ISNUMBER($G$1255),$B$1132=1),$G$1255,HLOOKUP(INDIRECT(ADDRESS(2,COLUMN())),OFFSET($K$2,0,0,ROW()-1,5),ROW()-1,FALSE))</f>
        <v>0.365433014</v>
      </c>
      <c r="H132">
        <f ca="1">IF(AND(ISNUMBER($H$1255),$B$1132=1),$H$1255,HLOOKUP(INDIRECT(ADDRESS(2,COLUMN())),OFFSET($K$2,0,0,ROW()-1,5),ROW()-1,FALSE))</f>
        <v>0.332544006</v>
      </c>
      <c r="I132" t="str">
        <f ca="1">IF(AND(ISNUMBER($I$1255),$B$1132=1),$I$1255,HLOOKUP(INDIRECT(ADDRESS(2,COLUMN())),OFFSET($K$2,0,0,ROW()-1,5),ROW()-1,FALSE))</f>
        <v/>
      </c>
      <c r="J132" t="str">
        <f ca="1">IF(AND(ISNUMBER($J$1255),$B$1132=1),$J$1255,HLOOKUP(INDIRECT(ADDRESS(2,COLUMN())),OFFSET($K$2,0,0,ROW()-1,5),ROW()-1,FALSE))</f>
        <v/>
      </c>
      <c r="K132" t="str">
        <f>""</f>
        <v/>
      </c>
      <c r="L132">
        <f>0.365433014</f>
        <v>0.365433014</v>
      </c>
      <c r="M132">
        <f>0.332544006</f>
        <v>0.332544006</v>
      </c>
      <c r="N132" t="str">
        <f>""</f>
        <v/>
      </c>
      <c r="O132" t="str">
        <f>""</f>
        <v/>
      </c>
    </row>
    <row r="133" spans="1:15" x14ac:dyDescent="0.25">
      <c r="A133" t="str">
        <f>"                    SKF AB"</f>
        <v xml:space="preserve">                    SKF AB</v>
      </c>
      <c r="B133" t="str">
        <f>"SKFB SS Equity"</f>
        <v>SKFB SS Equity</v>
      </c>
      <c r="C133" t="str">
        <f t="shared" si="12"/>
        <v>F0946</v>
      </c>
      <c r="D133" t="str">
        <f t="shared" si="13"/>
        <v>TOTAL_GHG_CO2_EMISSIONS</v>
      </c>
      <c r="E133" t="str">
        <f t="shared" si="14"/>
        <v>Dynamic</v>
      </c>
      <c r="F133">
        <f ca="1">IF(AND(ISNUMBER($F$1256),$B$1132=1),$F$1256,HLOOKUP(INDIRECT(ADDRESS(2,COLUMN())),OFFSET($K$2,0,0,ROW()-1,5),ROW()-1,FALSE))</f>
        <v>0.52747497600000004</v>
      </c>
      <c r="G133">
        <f ca="1">IF(AND(ISNUMBER($G$1256),$B$1132=1),$G$1256,HLOOKUP(INDIRECT(ADDRESS(2,COLUMN())),OFFSET($K$2,0,0,ROW()-1,5),ROW()-1,FALSE))</f>
        <v>0.58232702599999997</v>
      </c>
      <c r="H133">
        <f ca="1">IF(AND(ISNUMBER($H$1256),$B$1132=1),$H$1256,HLOOKUP(INDIRECT(ADDRESS(2,COLUMN())),OFFSET($K$2,0,0,ROW()-1,5),ROW()-1,FALSE))</f>
        <v>0.51653302000000001</v>
      </c>
      <c r="I133">
        <f ca="1">IF(AND(ISNUMBER($I$1256),$B$1132=1),$I$1256,HLOOKUP(INDIRECT(ADDRESS(2,COLUMN())),OFFSET($K$2,0,0,ROW()-1,5),ROW()-1,FALSE))</f>
        <v>0.55967297400000005</v>
      </c>
      <c r="J133">
        <f ca="1">IF(AND(ISNUMBER($J$1256),$B$1132=1),$J$1256,HLOOKUP(INDIRECT(ADDRESS(2,COLUMN())),OFFSET($K$2,0,0,ROW()-1,5),ROW()-1,FALSE))</f>
        <v>0.64224298099999999</v>
      </c>
      <c r="K133">
        <f>0.527474976</f>
        <v>0.52747497600000004</v>
      </c>
      <c r="L133">
        <f>0.582327026</f>
        <v>0.58232702599999997</v>
      </c>
      <c r="M133">
        <f>0.51653302</f>
        <v>0.51653302000000001</v>
      </c>
      <c r="N133">
        <f>0.559672974</f>
        <v>0.55967297400000005</v>
      </c>
      <c r="O133">
        <f>0.642242981</f>
        <v>0.64224298099999999</v>
      </c>
    </row>
    <row r="134" spans="1:15" x14ac:dyDescent="0.25">
      <c r="A134" t="str">
        <f>"                    Stanley Electric Co Ltd"</f>
        <v xml:space="preserve">                    Stanley Electric Co Ltd</v>
      </c>
      <c r="B134" t="str">
        <f>"6923 JP Equity"</f>
        <v>6923 JP Equity</v>
      </c>
      <c r="C134" t="str">
        <f t="shared" si="12"/>
        <v>F0946</v>
      </c>
      <c r="D134" t="str">
        <f t="shared" si="13"/>
        <v>TOTAL_GHG_CO2_EMISSIONS</v>
      </c>
      <c r="E134" t="str">
        <f t="shared" si="14"/>
        <v>Dynamic</v>
      </c>
      <c r="F134" t="str">
        <f ca="1">IF(AND(ISNUMBER($F$1257),$B$1132=1),$F$1257,HLOOKUP(INDIRECT(ADDRESS(2,COLUMN())),OFFSET($K$2,0,0,ROW()-1,5),ROW()-1,FALSE))</f>
        <v/>
      </c>
      <c r="G134">
        <f ca="1">IF(AND(ISNUMBER($G$1257),$B$1132=1),$G$1257,HLOOKUP(INDIRECT(ADDRESS(2,COLUMN())),OFFSET($K$2,0,0,ROW()-1,5),ROW()-1,FALSE))</f>
        <v>5.3438999000000001E-2</v>
      </c>
      <c r="H134">
        <f ca="1">IF(AND(ISNUMBER($H$1257),$B$1132=1),$H$1257,HLOOKUP(INDIRECT(ADDRESS(2,COLUMN())),OFFSET($K$2,0,0,ROW()-1,5),ROW()-1,FALSE))</f>
        <v>0.40958599800000001</v>
      </c>
      <c r="I134">
        <f ca="1">IF(AND(ISNUMBER($I$1257),$B$1132=1),$I$1257,HLOOKUP(INDIRECT(ADDRESS(2,COLUMN())),OFFSET($K$2,0,0,ROW()-1,5),ROW()-1,FALSE))</f>
        <v>0.45003299000000002</v>
      </c>
      <c r="J134">
        <f ca="1">IF(AND(ISNUMBER($J$1257),$B$1132=1),$J$1257,HLOOKUP(INDIRECT(ADDRESS(2,COLUMN())),OFFSET($K$2,0,0,ROW()-1,5),ROW()-1,FALSE))</f>
        <v>0.47041900599999997</v>
      </c>
      <c r="K134" t="str">
        <f>""</f>
        <v/>
      </c>
      <c r="L134">
        <f>0.053438999</f>
        <v>5.3438999000000001E-2</v>
      </c>
      <c r="M134">
        <f>0.409585998</f>
        <v>0.40958599800000001</v>
      </c>
      <c r="N134">
        <f>0.45003299</f>
        <v>0.45003299000000002</v>
      </c>
      <c r="O134">
        <f>0.470419006</f>
        <v>0.47041900599999997</v>
      </c>
    </row>
    <row r="135" spans="1:15" x14ac:dyDescent="0.25">
      <c r="A135" t="str">
        <f>"                    Sumitomo Electric Industries L"</f>
        <v xml:space="preserve">                    Sumitomo Electric Industries L</v>
      </c>
      <c r="B135" t="str">
        <f>"5802 JP Equity"</f>
        <v>5802 JP Equity</v>
      </c>
      <c r="C135" t="str">
        <f t="shared" si="12"/>
        <v>F0946</v>
      </c>
      <c r="D135" t="str">
        <f t="shared" si="13"/>
        <v>TOTAL_GHG_CO2_EMISSIONS</v>
      </c>
      <c r="E135" t="str">
        <f t="shared" si="14"/>
        <v>Dynamic</v>
      </c>
      <c r="F135" t="str">
        <f ca="1">IF(AND(ISNUMBER($F$1258),$B$1132=1),$F$1258,HLOOKUP(INDIRECT(ADDRESS(2,COLUMN())),OFFSET($K$2,0,0,ROW()-1,5),ROW()-1,FALSE))</f>
        <v/>
      </c>
      <c r="G135">
        <f ca="1">IF(AND(ISNUMBER($G$1258),$B$1132=1),$G$1258,HLOOKUP(INDIRECT(ADDRESS(2,COLUMN())),OFFSET($K$2,0,0,ROW()-1,5),ROW()-1,FALSE))</f>
        <v>1.4119999999999999</v>
      </c>
      <c r="H135">
        <f ca="1">IF(AND(ISNUMBER($H$1258),$B$1132=1),$H$1258,HLOOKUP(INDIRECT(ADDRESS(2,COLUMN())),OFFSET($K$2,0,0,ROW()-1,5),ROW()-1,FALSE))</f>
        <v>1.298</v>
      </c>
      <c r="I135">
        <f ca="1">IF(AND(ISNUMBER($I$1258),$B$1132=1),$I$1258,HLOOKUP(INDIRECT(ADDRESS(2,COLUMN())),OFFSET($K$2,0,0,ROW()-1,5),ROW()-1,FALSE))</f>
        <v>1.373</v>
      </c>
      <c r="J135">
        <f ca="1">IF(AND(ISNUMBER($J$1258),$B$1132=1),$J$1258,HLOOKUP(INDIRECT(ADDRESS(2,COLUMN())),OFFSET($K$2,0,0,ROW()-1,5),ROW()-1,FALSE))</f>
        <v>1.5409999999999999</v>
      </c>
      <c r="K135" t="str">
        <f>""</f>
        <v/>
      </c>
      <c r="L135">
        <f>1.412</f>
        <v>1.4119999999999999</v>
      </c>
      <c r="M135">
        <f>1.298</f>
        <v>1.298</v>
      </c>
      <c r="N135">
        <f>1.373</f>
        <v>1.373</v>
      </c>
      <c r="O135">
        <f>1.541</f>
        <v>1.5409999999999999</v>
      </c>
    </row>
    <row r="136" spans="1:15" x14ac:dyDescent="0.25">
      <c r="A136" t="str">
        <f>"                    Sumitomo Rubber Industries Ltd"</f>
        <v xml:space="preserve">                    Sumitomo Rubber Industries Ltd</v>
      </c>
      <c r="B136" t="str">
        <f>"5110 JP Equity"</f>
        <v>5110 JP Equity</v>
      </c>
      <c r="C136" t="str">
        <f t="shared" si="12"/>
        <v>F0946</v>
      </c>
      <c r="D136" t="str">
        <f t="shared" si="13"/>
        <v>TOTAL_GHG_CO2_EMISSIONS</v>
      </c>
      <c r="E136" t="str">
        <f t="shared" si="14"/>
        <v>Dynamic</v>
      </c>
      <c r="F136" t="str">
        <f ca="1">IF(AND(ISNUMBER($F$1259),$B$1132=1),$F$1259,HLOOKUP(INDIRECT(ADDRESS(2,COLUMN())),OFFSET($K$2,0,0,ROW()-1,5),ROW()-1,FALSE))</f>
        <v/>
      </c>
      <c r="G136">
        <f ca="1">IF(AND(ISNUMBER($G$1259),$B$1132=1),$G$1259,HLOOKUP(INDIRECT(ADDRESS(2,COLUMN())),OFFSET($K$2,0,0,ROW()-1,5),ROW()-1,FALSE))</f>
        <v>1.145</v>
      </c>
      <c r="H136">
        <f ca="1">IF(AND(ISNUMBER($H$1259),$B$1132=1),$H$1259,HLOOKUP(INDIRECT(ADDRESS(2,COLUMN())),OFFSET($K$2,0,0,ROW()-1,5),ROW()-1,FALSE))</f>
        <v>1.018</v>
      </c>
      <c r="I136">
        <f ca="1">IF(AND(ISNUMBER($I$1259),$B$1132=1),$I$1259,HLOOKUP(INDIRECT(ADDRESS(2,COLUMN())),OFFSET($K$2,0,0,ROW()-1,5),ROW()-1,FALSE))</f>
        <v>1.095</v>
      </c>
      <c r="J136">
        <f ca="1">IF(AND(ISNUMBER($J$1259),$B$1132=1),$J$1259,HLOOKUP(INDIRECT(ADDRESS(2,COLUMN())),OFFSET($K$2,0,0,ROW()-1,5),ROW()-1,FALSE))</f>
        <v>1.073</v>
      </c>
      <c r="K136" t="str">
        <f>""</f>
        <v/>
      </c>
      <c r="L136">
        <f>1.145</f>
        <v>1.145</v>
      </c>
      <c r="M136">
        <f>1.018</f>
        <v>1.018</v>
      </c>
      <c r="N136">
        <f>1.095</f>
        <v>1.095</v>
      </c>
      <c r="O136">
        <f>1.073</f>
        <v>1.073</v>
      </c>
    </row>
    <row r="137" spans="1:15" x14ac:dyDescent="0.25">
      <c r="A137" t="str">
        <f>"                    Nemak SAB de CV"</f>
        <v xml:space="preserve">                    Nemak SAB de CV</v>
      </c>
      <c r="B137" t="str">
        <f>"NEMAKA MM Equity"</f>
        <v>NEMAKA MM Equity</v>
      </c>
      <c r="C137" t="str">
        <f t="shared" si="12"/>
        <v>F0946</v>
      </c>
      <c r="D137" t="str">
        <f t="shared" si="13"/>
        <v>TOTAL_GHG_CO2_EMISSIONS</v>
      </c>
      <c r="E137" t="str">
        <f t="shared" si="14"/>
        <v>Dynamic</v>
      </c>
      <c r="F137">
        <f ca="1">IF(AND(ISNUMBER($F$1260),$B$1132=1),$F$1260,HLOOKUP(INDIRECT(ADDRESS(2,COLUMN())),OFFSET($K$2,0,0,ROW()-1,5),ROW()-1,FALSE))</f>
        <v>1.124219971</v>
      </c>
      <c r="G137">
        <f ca="1">IF(AND(ISNUMBER($G$1260),$B$1132=1),$G$1260,HLOOKUP(INDIRECT(ADDRESS(2,COLUMN())),OFFSET($K$2,0,0,ROW()-1,5),ROW()-1,FALSE))</f>
        <v>1.2169200440000001</v>
      </c>
      <c r="H137">
        <f ca="1">IF(AND(ISNUMBER($H$1260),$B$1132=1),$H$1260,HLOOKUP(INDIRECT(ADDRESS(2,COLUMN())),OFFSET($K$2,0,0,ROW()-1,5),ROW()-1,FALSE))</f>
        <v>1.1617199709999999</v>
      </c>
      <c r="I137">
        <f ca="1">IF(AND(ISNUMBER($I$1260),$B$1132=1),$I$1260,HLOOKUP(INDIRECT(ADDRESS(2,COLUMN())),OFFSET($K$2,0,0,ROW()-1,5),ROW()-1,FALSE))</f>
        <v>1.36</v>
      </c>
      <c r="J137">
        <f ca="1">IF(AND(ISNUMBER($J$1260),$B$1132=1),$J$1260,HLOOKUP(INDIRECT(ADDRESS(2,COLUMN())),OFFSET($K$2,0,0,ROW()-1,5),ROW()-1,FALSE))</f>
        <v>1.52</v>
      </c>
      <c r="K137">
        <f>1.124219971</f>
        <v>1.124219971</v>
      </c>
      <c r="L137">
        <f>1.216920044</f>
        <v>1.2169200440000001</v>
      </c>
      <c r="M137">
        <f>1.161719971</f>
        <v>1.1617199709999999</v>
      </c>
      <c r="N137">
        <f>1.36</f>
        <v>1.36</v>
      </c>
      <c r="O137">
        <f>1.52</f>
        <v>1.52</v>
      </c>
    </row>
    <row r="138" spans="1:15" x14ac:dyDescent="0.25">
      <c r="A138" t="str">
        <f>"                    Toyo Tire Corp"</f>
        <v xml:space="preserve">                    Toyo Tire Corp</v>
      </c>
      <c r="B138" t="str">
        <f>"5105 JP Equity"</f>
        <v>5105 JP Equity</v>
      </c>
      <c r="C138" t="str">
        <f t="shared" si="12"/>
        <v>F0946</v>
      </c>
      <c r="D138" t="str">
        <f t="shared" si="13"/>
        <v>TOTAL_GHG_CO2_EMISSIONS</v>
      </c>
      <c r="E138" t="str">
        <f t="shared" si="14"/>
        <v>Dynamic</v>
      </c>
      <c r="F138" t="str">
        <f ca="1">IF(AND(ISNUMBER($F$1261),$B$1132=1),$F$1261,HLOOKUP(INDIRECT(ADDRESS(2,COLUMN())),OFFSET($K$2,0,0,ROW()-1,5),ROW()-1,FALSE))</f>
        <v/>
      </c>
      <c r="G138">
        <f ca="1">IF(AND(ISNUMBER($G$1261),$B$1132=1),$G$1261,HLOOKUP(INDIRECT(ADDRESS(2,COLUMN())),OFFSET($K$2,0,0,ROW()-1,5),ROW()-1,FALSE))</f>
        <v>0.55259997599999999</v>
      </c>
      <c r="H138">
        <f ca="1">IF(AND(ISNUMBER($H$1261),$B$1132=1),$H$1261,HLOOKUP(INDIRECT(ADDRESS(2,COLUMN())),OFFSET($K$2,0,0,ROW()-1,5),ROW()-1,FALSE))</f>
        <v>0.53540002399999997</v>
      </c>
      <c r="I138">
        <f ca="1">IF(AND(ISNUMBER($I$1261),$B$1132=1),$I$1261,HLOOKUP(INDIRECT(ADDRESS(2,COLUMN())),OFFSET($K$2,0,0,ROW()-1,5),ROW()-1,FALSE))</f>
        <v>0.59090002399999997</v>
      </c>
      <c r="J138">
        <f ca="1">IF(AND(ISNUMBER($J$1261),$B$1132=1),$J$1261,HLOOKUP(INDIRECT(ADDRESS(2,COLUMN())),OFFSET($K$2,0,0,ROW()-1,5),ROW()-1,FALSE))</f>
        <v>0.62629998799999997</v>
      </c>
      <c r="K138" t="str">
        <f>""</f>
        <v/>
      </c>
      <c r="L138">
        <f>0.552599976</f>
        <v>0.55259997599999999</v>
      </c>
      <c r="M138">
        <f>0.535400024</f>
        <v>0.53540002399999997</v>
      </c>
      <c r="N138">
        <f>0.590900024</f>
        <v>0.59090002399999997</v>
      </c>
      <c r="O138">
        <f>0.626299988</f>
        <v>0.62629998799999997</v>
      </c>
    </row>
    <row r="139" spans="1:15" x14ac:dyDescent="0.25">
      <c r="A139" t="str">
        <f>"                    TS Tech Co Ltd"</f>
        <v xml:space="preserve">                    TS Tech Co Ltd</v>
      </c>
      <c r="B139" t="str">
        <f>"7313 JP Equity"</f>
        <v>7313 JP Equity</v>
      </c>
      <c r="C139" t="str">
        <f t="shared" si="12"/>
        <v>F0946</v>
      </c>
      <c r="D139" t="str">
        <f t="shared" si="13"/>
        <v>TOTAL_GHG_CO2_EMISSIONS</v>
      </c>
      <c r="E139" t="str">
        <f t="shared" si="14"/>
        <v>Dynamic</v>
      </c>
      <c r="F139" t="str">
        <f ca="1">IF(AND(ISNUMBER($F$1262),$B$1132=1),$F$1262,HLOOKUP(INDIRECT(ADDRESS(2,COLUMN())),OFFSET($K$2,0,0,ROW()-1,5),ROW()-1,FALSE))</f>
        <v/>
      </c>
      <c r="G139">
        <f ca="1">IF(AND(ISNUMBER($G$1262),$B$1132=1),$G$1262,HLOOKUP(INDIRECT(ADDRESS(2,COLUMN())),OFFSET($K$2,0,0,ROW()-1,5),ROW()-1,FALSE))</f>
        <v>6.4843001999999997E-2</v>
      </c>
      <c r="H139">
        <f ca="1">IF(AND(ISNUMBER($H$1262),$B$1132=1),$H$1262,HLOOKUP(INDIRECT(ADDRESS(2,COLUMN())),OFFSET($K$2,0,0,ROW()-1,5),ROW()-1,FALSE))</f>
        <v>6.6488997999999994E-2</v>
      </c>
      <c r="I139">
        <f ca="1">IF(AND(ISNUMBER($I$1262),$B$1132=1),$I$1262,HLOOKUP(INDIRECT(ADDRESS(2,COLUMN())),OFFSET($K$2,0,0,ROW()-1,5),ROW()-1,FALSE))</f>
        <v>8.5004097000000001E-2</v>
      </c>
      <c r="J139">
        <f ca="1">IF(AND(ISNUMBER($J$1262),$B$1132=1),$J$1262,HLOOKUP(INDIRECT(ADDRESS(2,COLUMN())),OFFSET($K$2,0,0,ROW()-1,5),ROW()-1,FALSE))</f>
        <v>9.3397003000000006E-2</v>
      </c>
      <c r="K139" t="str">
        <f>""</f>
        <v/>
      </c>
      <c r="L139">
        <f>0.064843002</f>
        <v>6.4843001999999997E-2</v>
      </c>
      <c r="M139">
        <f>0.066488998</f>
        <v>6.6488997999999994E-2</v>
      </c>
      <c r="N139">
        <f>0.085004097</f>
        <v>8.5004097000000001E-2</v>
      </c>
      <c r="O139">
        <f>0.093397003</f>
        <v>9.3397003000000006E-2</v>
      </c>
    </row>
    <row r="140" spans="1:15" x14ac:dyDescent="0.25">
      <c r="A140" t="str">
        <f>"                    Goodyear Tire &amp; Rubber Co/The"</f>
        <v xml:space="preserve">                    Goodyear Tire &amp; Rubber Co/The</v>
      </c>
      <c r="B140" t="str">
        <f>"GT US Equity"</f>
        <v>GT US Equity</v>
      </c>
      <c r="C140" t="str">
        <f t="shared" si="12"/>
        <v>F0946</v>
      </c>
      <c r="D140" t="str">
        <f t="shared" si="13"/>
        <v>TOTAL_GHG_CO2_EMISSIONS</v>
      </c>
      <c r="E140" t="str">
        <f t="shared" si="14"/>
        <v>Dynamic</v>
      </c>
      <c r="F140" t="str">
        <f ca="1">IF(AND(ISNUMBER($F$1263),$B$1132=1),$F$1263,HLOOKUP(INDIRECT(ADDRESS(2,COLUMN())),OFFSET($K$2,0,0,ROW()-1,5),ROW()-1,FALSE))</f>
        <v/>
      </c>
      <c r="G140">
        <f ca="1">IF(AND(ISNUMBER($G$1263),$B$1132=1),$G$1263,HLOOKUP(INDIRECT(ADDRESS(2,COLUMN())),OFFSET($K$2,0,0,ROW()-1,5),ROW()-1,FALSE))</f>
        <v>2.73473999</v>
      </c>
      <c r="H140">
        <f ca="1">IF(AND(ISNUMBER($H$1263),$B$1132=1),$H$1263,HLOOKUP(INDIRECT(ADDRESS(2,COLUMN())),OFFSET($K$2,0,0,ROW()-1,5),ROW()-1,FALSE))</f>
        <v>2.2440000000000002</v>
      </c>
      <c r="I140">
        <f ca="1">IF(AND(ISNUMBER($I$1263),$B$1132=1),$I$1263,HLOOKUP(INDIRECT(ADDRESS(2,COLUMN())),OFFSET($K$2,0,0,ROW()-1,5),ROW()-1,FALSE))</f>
        <v>2.617</v>
      </c>
      <c r="J140">
        <f ca="1">IF(AND(ISNUMBER($J$1263),$B$1132=1),$J$1263,HLOOKUP(INDIRECT(ADDRESS(2,COLUMN())),OFFSET($K$2,0,0,ROW()-1,5),ROW()-1,FALSE))</f>
        <v>2.7423100589999998</v>
      </c>
      <c r="K140" t="str">
        <f>""</f>
        <v/>
      </c>
      <c r="L140">
        <f>2.73473999</f>
        <v>2.73473999</v>
      </c>
      <c r="M140">
        <f>2.244</f>
        <v>2.2440000000000002</v>
      </c>
      <c r="N140">
        <f>2.617</f>
        <v>2.617</v>
      </c>
      <c r="O140">
        <f>2.742310059</f>
        <v>2.7423100589999998</v>
      </c>
    </row>
    <row r="141" spans="1:15" x14ac:dyDescent="0.25">
      <c r="A141" t="str">
        <f>"                    Tokai Rika Co Ltd"</f>
        <v xml:space="preserve">                    Tokai Rika Co Ltd</v>
      </c>
      <c r="B141" t="str">
        <f>"6995 JP Equity"</f>
        <v>6995 JP Equity</v>
      </c>
      <c r="C141" t="str">
        <f t="shared" si="12"/>
        <v>F0946</v>
      </c>
      <c r="D141" t="str">
        <f t="shared" si="13"/>
        <v>TOTAL_GHG_CO2_EMISSIONS</v>
      </c>
      <c r="E141" t="str">
        <f t="shared" si="14"/>
        <v>Dynamic</v>
      </c>
      <c r="F141" t="str">
        <f ca="1">IF(AND(ISNUMBER($F$1264),$B$1132=1),$F$1264,HLOOKUP(INDIRECT(ADDRESS(2,COLUMN())),OFFSET($K$2,0,0,ROW()-1,5),ROW()-1,FALSE))</f>
        <v/>
      </c>
      <c r="G141">
        <f ca="1">IF(AND(ISNUMBER($G$1264),$B$1132=1),$G$1264,HLOOKUP(INDIRECT(ADDRESS(2,COLUMN())),OFFSET($K$2,0,0,ROW()-1,5),ROW()-1,FALSE))</f>
        <v>0.25222399899999998</v>
      </c>
      <c r="H141">
        <f ca="1">IF(AND(ISNUMBER($H$1264),$B$1132=1),$H$1264,HLOOKUP(INDIRECT(ADDRESS(2,COLUMN())),OFFSET($K$2,0,0,ROW()-1,5),ROW()-1,FALSE))</f>
        <v>0.21324200400000001</v>
      </c>
      <c r="I141">
        <f ca="1">IF(AND(ISNUMBER($I$1264),$B$1132=1),$I$1264,HLOOKUP(INDIRECT(ADDRESS(2,COLUMN())),OFFSET($K$2,0,0,ROW()-1,5),ROW()-1,FALSE))</f>
        <v>0.23863499499999999</v>
      </c>
      <c r="J141">
        <f ca="1">IF(AND(ISNUMBER($J$1264),$B$1132=1),$J$1264,HLOOKUP(INDIRECT(ADDRESS(2,COLUMN())),OFFSET($K$2,0,0,ROW()-1,5),ROW()-1,FALSE))</f>
        <v>0.211727997</v>
      </c>
      <c r="K141" t="str">
        <f>""</f>
        <v/>
      </c>
      <c r="L141">
        <f>0.252223999</f>
        <v>0.25222399899999998</v>
      </c>
      <c r="M141">
        <f>0.213242004</f>
        <v>0.21324200400000001</v>
      </c>
      <c r="N141">
        <f>0.238634995</f>
        <v>0.23863499499999999</v>
      </c>
      <c r="O141">
        <f>0.211727997</f>
        <v>0.211727997</v>
      </c>
    </row>
    <row r="142" spans="1:15" x14ac:dyDescent="0.25">
      <c r="A142" t="str">
        <f>"                    Toyoda Gosei Co Ltd"</f>
        <v xml:space="preserve">                    Toyoda Gosei Co Ltd</v>
      </c>
      <c r="B142" t="str">
        <f>"7282 JP Equity"</f>
        <v>7282 JP Equity</v>
      </c>
      <c r="C142" t="str">
        <f t="shared" si="12"/>
        <v>F0946</v>
      </c>
      <c r="D142" t="str">
        <f t="shared" si="13"/>
        <v>TOTAL_GHG_CO2_EMISSIONS</v>
      </c>
      <c r="E142" t="str">
        <f t="shared" si="14"/>
        <v>Dynamic</v>
      </c>
      <c r="F142" t="str">
        <f ca="1">IF(AND(ISNUMBER($F$1265),$B$1132=1),$F$1265,HLOOKUP(INDIRECT(ADDRESS(2,COLUMN())),OFFSET($K$2,0,0,ROW()-1,5),ROW()-1,FALSE))</f>
        <v/>
      </c>
      <c r="G142">
        <f ca="1">IF(AND(ISNUMBER($G$1265),$B$1132=1),$G$1265,HLOOKUP(INDIRECT(ADDRESS(2,COLUMN())),OFFSET($K$2,0,0,ROW()-1,5),ROW()-1,FALSE))</f>
        <v>0.51491998299999997</v>
      </c>
      <c r="H142">
        <f ca="1">IF(AND(ISNUMBER($H$1265),$B$1132=1),$H$1265,HLOOKUP(INDIRECT(ADDRESS(2,COLUMN())),OFFSET($K$2,0,0,ROW()-1,5),ROW()-1,FALSE))</f>
        <v>7.0196998999999996E-2</v>
      </c>
      <c r="I142">
        <f ca="1">IF(AND(ISNUMBER($I$1265),$B$1132=1),$I$1265,HLOOKUP(INDIRECT(ADDRESS(2,COLUMN())),OFFSET($K$2,0,0,ROW()-1,5),ROW()-1,FALSE))</f>
        <v>0.76300000000000001</v>
      </c>
      <c r="J142">
        <f ca="1">IF(AND(ISNUMBER($J$1265),$B$1132=1),$J$1265,HLOOKUP(INDIRECT(ADDRESS(2,COLUMN())),OFFSET($K$2,0,0,ROW()-1,5),ROW()-1,FALSE))</f>
        <v>0.81699999999999995</v>
      </c>
      <c r="K142" t="str">
        <f>""</f>
        <v/>
      </c>
      <c r="L142">
        <f>0.514919983</f>
        <v>0.51491998299999997</v>
      </c>
      <c r="M142">
        <f>0.070196999</f>
        <v>7.0196998999999996E-2</v>
      </c>
      <c r="N142">
        <f>0.763</f>
        <v>0.76300000000000001</v>
      </c>
      <c r="O142">
        <f>0.817</f>
        <v>0.81699999999999995</v>
      </c>
    </row>
    <row r="143" spans="1:15" x14ac:dyDescent="0.25">
      <c r="A143" t="str">
        <f>"                    Toyota Boshoku Corp"</f>
        <v xml:space="preserve">                    Toyota Boshoku Corp</v>
      </c>
      <c r="B143" t="str">
        <f>"3116 JP Equity"</f>
        <v>3116 JP Equity</v>
      </c>
      <c r="C143" t="str">
        <f t="shared" si="12"/>
        <v>F0946</v>
      </c>
      <c r="D143" t="str">
        <f t="shared" si="13"/>
        <v>TOTAL_GHG_CO2_EMISSIONS</v>
      </c>
      <c r="E143" t="str">
        <f t="shared" si="14"/>
        <v>Dynamic</v>
      </c>
      <c r="F143" t="str">
        <f ca="1">IF(AND(ISNUMBER($F$1266),$B$1132=1),$F$1266,HLOOKUP(INDIRECT(ADDRESS(2,COLUMN())),OFFSET($K$2,0,0,ROW()-1,5),ROW()-1,FALSE))</f>
        <v/>
      </c>
      <c r="G143">
        <f ca="1">IF(AND(ISNUMBER($G$1266),$B$1132=1),$G$1266,HLOOKUP(INDIRECT(ADDRESS(2,COLUMN())),OFFSET($K$2,0,0,ROW()-1,5),ROW()-1,FALSE))</f>
        <v>0.31249301200000001</v>
      </c>
      <c r="H143">
        <f ca="1">IF(AND(ISNUMBER($H$1266),$B$1132=1),$H$1266,HLOOKUP(INDIRECT(ADDRESS(2,COLUMN())),OFFSET($K$2,0,0,ROW()-1,5),ROW()-1,FALSE))</f>
        <v>0.28845800799999999</v>
      </c>
      <c r="I143">
        <f ca="1">IF(AND(ISNUMBER($I$1266),$B$1132=1),$I$1266,HLOOKUP(INDIRECT(ADDRESS(2,COLUMN())),OFFSET($K$2,0,0,ROW()-1,5),ROW()-1,FALSE))</f>
        <v>0.29893798799999999</v>
      </c>
      <c r="J143">
        <f ca="1">IF(AND(ISNUMBER($J$1266),$B$1132=1),$J$1266,HLOOKUP(INDIRECT(ADDRESS(2,COLUMN())),OFFSET($K$2,0,0,ROW()-1,5),ROW()-1,FALSE))</f>
        <v>0.29970001200000002</v>
      </c>
      <c r="K143" t="str">
        <f>""</f>
        <v/>
      </c>
      <c r="L143">
        <f>0.312493012</f>
        <v>0.31249301200000001</v>
      </c>
      <c r="M143">
        <f>0.288458008</f>
        <v>0.28845800799999999</v>
      </c>
      <c r="N143">
        <f>0.298937988</f>
        <v>0.29893798799999999</v>
      </c>
      <c r="O143">
        <f>0.299700012</f>
        <v>0.29970001200000002</v>
      </c>
    </row>
    <row r="144" spans="1:15" x14ac:dyDescent="0.25">
      <c r="A144" t="str">
        <f>"                    Visteon Corp"</f>
        <v xml:space="preserve">                    Visteon Corp</v>
      </c>
      <c r="B144" t="str">
        <f>"VC US Equity"</f>
        <v>VC US Equity</v>
      </c>
      <c r="C144" t="str">
        <f t="shared" si="12"/>
        <v>F0946</v>
      </c>
      <c r="D144" t="str">
        <f t="shared" si="13"/>
        <v>TOTAL_GHG_CO2_EMISSIONS</v>
      </c>
      <c r="E144" t="str">
        <f t="shared" si="14"/>
        <v>Dynamic</v>
      </c>
      <c r="F144" t="str">
        <f ca="1">IF(AND(ISNUMBER($F$1267),$B$1132=1),$F$1267,HLOOKUP(INDIRECT(ADDRESS(2,COLUMN())),OFFSET($K$2,0,0,ROW()-1,5),ROW()-1,FALSE))</f>
        <v/>
      </c>
      <c r="G144" t="str">
        <f ca="1">IF(AND(ISNUMBER($G$1267),$B$1132=1),$G$1267,HLOOKUP(INDIRECT(ADDRESS(2,COLUMN())),OFFSET($K$2,0,0,ROW()-1,5),ROW()-1,FALSE))</f>
        <v/>
      </c>
      <c r="H144" t="str">
        <f ca="1">IF(AND(ISNUMBER($H$1267),$B$1132=1),$H$1267,HLOOKUP(INDIRECT(ADDRESS(2,COLUMN())),OFFSET($K$2,0,0,ROW()-1,5),ROW()-1,FALSE))</f>
        <v/>
      </c>
      <c r="I144" t="str">
        <f ca="1">IF(AND(ISNUMBER($I$1267),$B$1132=1),$I$1267,HLOOKUP(INDIRECT(ADDRESS(2,COLUMN())),OFFSET($K$2,0,0,ROW()-1,5),ROW()-1,FALSE))</f>
        <v/>
      </c>
      <c r="J144" t="str">
        <f ca="1">IF(AND(ISNUMBER($J$1267),$B$1132=1),$J$1267,HLOOKUP(INDIRECT(ADDRESS(2,COLUMN())),OFFSET($K$2,0,0,ROW()-1,5),ROW()-1,FALSE))</f>
        <v/>
      </c>
      <c r="K144" t="str">
        <f>""</f>
        <v/>
      </c>
      <c r="L144" t="str">
        <f>""</f>
        <v/>
      </c>
      <c r="M144" t="str">
        <f>""</f>
        <v/>
      </c>
      <c r="N144" t="str">
        <f>""</f>
        <v/>
      </c>
      <c r="O144" t="str">
        <f>""</f>
        <v/>
      </c>
    </row>
    <row r="145" spans="1:15" x14ac:dyDescent="0.25">
      <c r="A145" t="str">
        <f>"                    Valeo"</f>
        <v xml:space="preserve">                    Valeo</v>
      </c>
      <c r="B145" t="str">
        <f>"FR FP Equity"</f>
        <v>FR FP Equity</v>
      </c>
      <c r="C145" t="str">
        <f t="shared" si="12"/>
        <v>F0946</v>
      </c>
      <c r="D145" t="str">
        <f t="shared" si="13"/>
        <v>TOTAL_GHG_CO2_EMISSIONS</v>
      </c>
      <c r="E145" t="str">
        <f t="shared" si="14"/>
        <v>Dynamic</v>
      </c>
      <c r="F145">
        <f ca="1">IF(AND(ISNUMBER($F$1268),$B$1132=1),$F$1268,HLOOKUP(INDIRECT(ADDRESS(2,COLUMN())),OFFSET($K$2,0,0,ROW()-1,5),ROW()-1,FALSE))</f>
        <v>0.70799999999999996</v>
      </c>
      <c r="G145">
        <f ca="1">IF(AND(ISNUMBER($G$1268),$B$1132=1),$G$1268,HLOOKUP(INDIRECT(ADDRESS(2,COLUMN())),OFFSET($K$2,0,0,ROW()-1,5),ROW()-1,FALSE))</f>
        <v>1.021289978</v>
      </c>
      <c r="H145">
        <f ca="1">IF(AND(ISNUMBER($H$1268),$B$1132=1),$H$1268,HLOOKUP(INDIRECT(ADDRESS(2,COLUMN())),OFFSET($K$2,0,0,ROW()-1,5),ROW()-1,FALSE))</f>
        <v>1.0595000000000001</v>
      </c>
      <c r="I145">
        <f ca="1">IF(AND(ISNUMBER($I$1268),$B$1132=1),$I$1268,HLOOKUP(INDIRECT(ADDRESS(2,COLUMN())),OFFSET($K$2,0,0,ROW()-1,5),ROW()-1,FALSE))</f>
        <v>1.141400024</v>
      </c>
      <c r="J145">
        <f ca="1">IF(AND(ISNUMBER($J$1268),$B$1132=1),$J$1268,HLOOKUP(INDIRECT(ADDRESS(2,COLUMN())),OFFSET($K$2,0,0,ROW()-1,5),ROW()-1,FALSE))</f>
        <v>1.0458000489999999</v>
      </c>
      <c r="K145">
        <f>0.708</f>
        <v>0.70799999999999996</v>
      </c>
      <c r="L145">
        <f>1.021289978</f>
        <v>1.021289978</v>
      </c>
      <c r="M145">
        <f>1.0595</f>
        <v>1.0595000000000001</v>
      </c>
      <c r="N145">
        <f>1.141400024</f>
        <v>1.141400024</v>
      </c>
      <c r="O145">
        <f>1.045800049</f>
        <v>1.0458000489999999</v>
      </c>
    </row>
    <row r="146" spans="1:15" x14ac:dyDescent="0.25">
      <c r="A146" t="str">
        <f>"                    Yazaki Corp"</f>
        <v xml:space="preserve">                    Yazaki Corp</v>
      </c>
      <c r="B146" t="str">
        <f>"YAZZ JP Equity"</f>
        <v>YAZZ JP Equity</v>
      </c>
      <c r="C146" t="str">
        <f t="shared" si="12"/>
        <v>F0946</v>
      </c>
      <c r="D146" t="str">
        <f t="shared" si="13"/>
        <v>TOTAL_GHG_CO2_EMISSIONS</v>
      </c>
      <c r="E146" t="str">
        <f t="shared" si="14"/>
        <v>Dynamic</v>
      </c>
      <c r="F146" t="str">
        <f ca="1">IF(AND(ISNUMBER($F$1269),$B$1132=1),$F$1269,HLOOKUP(INDIRECT(ADDRESS(2,COLUMN())),OFFSET($K$2,0,0,ROW()-1,5),ROW()-1,FALSE))</f>
        <v/>
      </c>
      <c r="G146" t="str">
        <f ca="1">IF(AND(ISNUMBER($G$1269),$B$1132=1),$G$1269,HLOOKUP(INDIRECT(ADDRESS(2,COLUMN())),OFFSET($K$2,0,0,ROW()-1,5),ROW()-1,FALSE))</f>
        <v/>
      </c>
      <c r="H146" t="str">
        <f ca="1">IF(AND(ISNUMBER($H$1269),$B$1132=1),$H$1269,HLOOKUP(INDIRECT(ADDRESS(2,COLUMN())),OFFSET($K$2,0,0,ROW()-1,5),ROW()-1,FALSE))</f>
        <v/>
      </c>
      <c r="I146" t="str">
        <f ca="1">IF(AND(ISNUMBER($I$1269),$B$1132=1),$I$1269,HLOOKUP(INDIRECT(ADDRESS(2,COLUMN())),OFFSET($K$2,0,0,ROW()-1,5),ROW()-1,FALSE))</f>
        <v/>
      </c>
      <c r="J146" t="str">
        <f ca="1">IF(AND(ISNUMBER($J$1269),$B$1132=1),$J$1269,HLOOKUP(INDIRECT(ADDRESS(2,COLUMN())),OFFSET($K$2,0,0,ROW()-1,5),ROW()-1,FALSE))</f>
        <v/>
      </c>
      <c r="K146" t="str">
        <f>""</f>
        <v/>
      </c>
      <c r="L146" t="str">
        <f>""</f>
        <v/>
      </c>
      <c r="M146" t="str">
        <f>""</f>
        <v/>
      </c>
      <c r="N146" t="str">
        <f>""</f>
        <v/>
      </c>
      <c r="O146" t="str">
        <f>""</f>
        <v/>
      </c>
    </row>
    <row r="147" spans="1:15" x14ac:dyDescent="0.25">
      <c r="A147" t="str">
        <f>"                    Yokohama Rubber Co Ltd/The"</f>
        <v xml:space="preserve">                    Yokohama Rubber Co Ltd/The</v>
      </c>
      <c r="B147" t="str">
        <f>"5101 JP Equity"</f>
        <v>5101 JP Equity</v>
      </c>
      <c r="C147" t="str">
        <f t="shared" si="12"/>
        <v>F0946</v>
      </c>
      <c r="D147" t="str">
        <f t="shared" si="13"/>
        <v>TOTAL_GHG_CO2_EMISSIONS</v>
      </c>
      <c r="E147" t="str">
        <f t="shared" si="14"/>
        <v>Dynamic</v>
      </c>
      <c r="F147" t="str">
        <f ca="1">IF(AND(ISNUMBER($F$1270),$B$1132=1),$F$1270,HLOOKUP(INDIRECT(ADDRESS(2,COLUMN())),OFFSET($K$2,0,0,ROW()-1,5),ROW()-1,FALSE))</f>
        <v/>
      </c>
      <c r="G147">
        <f ca="1">IF(AND(ISNUMBER($G$1270),$B$1132=1),$G$1270,HLOOKUP(INDIRECT(ADDRESS(2,COLUMN())),OFFSET($K$2,0,0,ROW()-1,5),ROW()-1,FALSE))</f>
        <v>1.124209961</v>
      </c>
      <c r="H147">
        <f ca="1">IF(AND(ISNUMBER($H$1270),$B$1132=1),$H$1270,HLOOKUP(INDIRECT(ADDRESS(2,COLUMN())),OFFSET($K$2,0,0,ROW()-1,5),ROW()-1,FALSE))</f>
        <v>0.98599999999999999</v>
      </c>
      <c r="I147">
        <f ca="1">IF(AND(ISNUMBER($I$1270),$B$1132=1),$I$1270,HLOOKUP(INDIRECT(ADDRESS(2,COLUMN())),OFFSET($K$2,0,0,ROW()-1,5),ROW()-1,FALSE))</f>
        <v>1.052</v>
      </c>
      <c r="J147">
        <f ca="1">IF(AND(ISNUMBER($J$1270),$B$1132=1),$J$1270,HLOOKUP(INDIRECT(ADDRESS(2,COLUMN())),OFFSET($K$2,0,0,ROW()-1,5),ROW()-1,FALSE))</f>
        <v>0.72</v>
      </c>
      <c r="K147" t="str">
        <f>""</f>
        <v/>
      </c>
      <c r="L147">
        <f>1.124209961</f>
        <v>1.124209961</v>
      </c>
      <c r="M147">
        <f>0.986</f>
        <v>0.98599999999999999</v>
      </c>
      <c r="N147">
        <f>1.052</f>
        <v>1.052</v>
      </c>
      <c r="O147">
        <f>0.72</f>
        <v>0.72</v>
      </c>
    </row>
    <row r="148" spans="1:15" x14ac:dyDescent="0.25">
      <c r="A148" t="str">
        <f>"                    ZF Friedrichshafen AG"</f>
        <v xml:space="preserve">                    ZF Friedrichshafen AG</v>
      </c>
      <c r="B148" t="str">
        <f>"1003Z GR Equity"</f>
        <v>1003Z GR Equity</v>
      </c>
      <c r="C148" t="str">
        <f t="shared" si="12"/>
        <v>F0946</v>
      </c>
      <c r="D148" t="str">
        <f t="shared" si="13"/>
        <v>TOTAL_GHG_CO2_EMISSIONS</v>
      </c>
      <c r="E148" t="str">
        <f t="shared" si="14"/>
        <v>Dynamic</v>
      </c>
      <c r="F148" t="str">
        <f ca="1">IF(AND(ISNUMBER($F$1271),$B$1132=1),$F$1271,HLOOKUP(INDIRECT(ADDRESS(2,COLUMN())),OFFSET($K$2,0,0,ROW()-1,5),ROW()-1,FALSE))</f>
        <v/>
      </c>
      <c r="G148" t="str">
        <f ca="1">IF(AND(ISNUMBER($G$1271),$B$1132=1),$G$1271,HLOOKUP(INDIRECT(ADDRESS(2,COLUMN())),OFFSET($K$2,0,0,ROW()-1,5),ROW()-1,FALSE))</f>
        <v/>
      </c>
      <c r="H148" t="str">
        <f ca="1">IF(AND(ISNUMBER($H$1271),$B$1132=1),$H$1271,HLOOKUP(INDIRECT(ADDRESS(2,COLUMN())),OFFSET($K$2,0,0,ROW()-1,5),ROW()-1,FALSE))</f>
        <v/>
      </c>
      <c r="I148" t="str">
        <f ca="1">IF(AND(ISNUMBER($I$1271),$B$1132=1),$I$1271,HLOOKUP(INDIRECT(ADDRESS(2,COLUMN())),OFFSET($K$2,0,0,ROW()-1,5),ROW()-1,FALSE))</f>
        <v/>
      </c>
      <c r="J148" t="str">
        <f ca="1">IF(AND(ISNUMBER($J$1271),$B$1132=1),$J$1271,HLOOKUP(INDIRECT(ADDRESS(2,COLUMN())),OFFSET($K$2,0,0,ROW()-1,5),ROW()-1,FALSE))</f>
        <v/>
      </c>
      <c r="K148" t="str">
        <f>""</f>
        <v/>
      </c>
      <c r="L148" t="str">
        <f>""</f>
        <v/>
      </c>
      <c r="M148" t="str">
        <f>""</f>
        <v/>
      </c>
      <c r="N148" t="str">
        <f>""</f>
        <v/>
      </c>
      <c r="O148" t="str">
        <f>""</f>
        <v/>
      </c>
    </row>
    <row r="149" spans="1:15" x14ac:dyDescent="0.25">
      <c r="A149" t="str">
        <f>"            Lodging"</f>
        <v xml:space="preserve">            Lodging</v>
      </c>
      <c r="B149" t="str">
        <f>""</f>
        <v/>
      </c>
      <c r="E149" t="str">
        <f>"Sum"</f>
        <v>Sum</v>
      </c>
      <c r="F149">
        <f ca="1">IF(ISERROR(IF(SUM($F$150:$F$161) = 0, "", SUM($F$150:$F$161))), "", (IF(SUM($F$150:$F$161) = 0, "", SUM($F$150:$F$161))))</f>
        <v>8.893356003000001</v>
      </c>
      <c r="G149">
        <f ca="1">IF(ISERROR(IF(SUM($G$150:$G$161) = 0, "", SUM($G$150:$G$161))), "", (IF(SUM($G$150:$G$161) = 0, "", SUM($G$150:$G$161))))</f>
        <v>16.039220259</v>
      </c>
      <c r="H149">
        <f ca="1">IF(ISERROR(IF(SUM($H$150:$H$161) = 0, "", SUM($H$150:$H$161))), "", (IF(SUM($H$150:$H$161) = 0, "", SUM($H$150:$H$161))))</f>
        <v>12.755146072000002</v>
      </c>
      <c r="I149">
        <f ca="1">IF(ISERROR(IF(SUM($I$150:$I$161) = 0, "", SUM($I$150:$I$161))), "", (IF(SUM($I$150:$I$161) = 0, "", SUM($I$150:$I$161))))</f>
        <v>16.969960801000003</v>
      </c>
      <c r="J149">
        <f ca="1">IF(ISERROR(IF(SUM($J$150:$J$161) = 0, "", SUM($J$150:$J$161))), "", (IF(SUM($J$150:$J$161) = 0, "", SUM($J$150:$J$161))))</f>
        <v>17.090227028000001</v>
      </c>
      <c r="K149">
        <f>8.893356003</f>
        <v>8.8933560029999992</v>
      </c>
      <c r="L149">
        <f>16.03922026</f>
        <v>16.03922026</v>
      </c>
      <c r="M149">
        <f>12.75514607</f>
        <v>12.75514607</v>
      </c>
      <c r="N149">
        <f>16.9699608</f>
        <v>16.969960799999999</v>
      </c>
      <c r="O149">
        <f>17.09022703</f>
        <v>17.090227030000001</v>
      </c>
    </row>
    <row r="150" spans="1:15" x14ac:dyDescent="0.25">
      <c r="A150" t="str">
        <f>"                Accor SA"</f>
        <v xml:space="preserve">                Accor SA</v>
      </c>
      <c r="B150" t="str">
        <f>"AC FP Equity"</f>
        <v>AC FP Equity</v>
      </c>
      <c r="C150" t="str">
        <f t="shared" ref="C150:C161" si="15">"F0946"</f>
        <v>F0946</v>
      </c>
      <c r="D150" t="str">
        <f t="shared" ref="D150:D161" si="16">"TOTAL_GHG_CO2_EMISSIONS"</f>
        <v>TOTAL_GHG_CO2_EMISSIONS</v>
      </c>
      <c r="E150" t="str">
        <f t="shared" ref="E150:E161" si="17">"Dynamic"</f>
        <v>Dynamic</v>
      </c>
      <c r="F150">
        <f ca="1">IF(AND(ISNUMBER($F$1272),$B$1132=1),$F$1272,HLOOKUP(INDIRECT(ADDRESS(2,COLUMN())),OFFSET($K$2,0,0,ROW()-1,5),ROW()-1,FALSE))</f>
        <v>2.9279999999999999</v>
      </c>
      <c r="G150">
        <f ca="1">IF(AND(ISNUMBER($G$1272),$B$1132=1),$G$1272,HLOOKUP(INDIRECT(ADDRESS(2,COLUMN())),OFFSET($K$2,0,0,ROW()-1,5),ROW()-1,FALSE))</f>
        <v>2.7832800290000002</v>
      </c>
      <c r="H150">
        <f ca="1">IF(AND(ISNUMBER($H$1272),$B$1132=1),$H$1272,HLOOKUP(INDIRECT(ADDRESS(2,COLUMN())),OFFSET($K$2,0,0,ROW()-1,5),ROW()-1,FALSE))</f>
        <v>1.2709999999999999</v>
      </c>
      <c r="I150">
        <f ca="1">IF(AND(ISNUMBER($I$1272),$B$1132=1),$I$1272,HLOOKUP(INDIRECT(ADDRESS(2,COLUMN())),OFFSET($K$2,0,0,ROW()-1,5),ROW()-1,FALSE))</f>
        <v>1.95</v>
      </c>
      <c r="J150">
        <f ca="1">IF(AND(ISNUMBER($J$1272),$B$1132=1),$J$1272,HLOOKUP(INDIRECT(ADDRESS(2,COLUMN())),OFFSET($K$2,0,0,ROW()-1,5),ROW()-1,FALSE))</f>
        <v>2.11</v>
      </c>
      <c r="K150">
        <f>2.928</f>
        <v>2.9279999999999999</v>
      </c>
      <c r="L150">
        <f>2.783280029</f>
        <v>2.7832800290000002</v>
      </c>
      <c r="M150">
        <f>1.271</f>
        <v>1.2709999999999999</v>
      </c>
      <c r="N150">
        <f>1.95</f>
        <v>1.95</v>
      </c>
      <c r="O150">
        <f>2.11</f>
        <v>2.11</v>
      </c>
    </row>
    <row r="151" spans="1:15" x14ac:dyDescent="0.25">
      <c r="A151" t="str">
        <f>"                Choice Hotels International In"</f>
        <v xml:space="preserve">                Choice Hotels International In</v>
      </c>
      <c r="B151" t="str">
        <f>"CHH US Equity"</f>
        <v>CHH US Equity</v>
      </c>
      <c r="C151" t="str">
        <f t="shared" si="15"/>
        <v>F0946</v>
      </c>
      <c r="D151" t="str">
        <f t="shared" si="16"/>
        <v>TOTAL_GHG_CO2_EMISSIONS</v>
      </c>
      <c r="E151" t="str">
        <f t="shared" si="17"/>
        <v>Dynamic</v>
      </c>
      <c r="F151" t="str">
        <f ca="1">IF(AND(ISNUMBER($F$1273),$B$1132=1),$F$1273,HLOOKUP(INDIRECT(ADDRESS(2,COLUMN())),OFFSET($K$2,0,0,ROW()-1,5),ROW()-1,FALSE))</f>
        <v/>
      </c>
      <c r="G151" t="str">
        <f ca="1">IF(AND(ISNUMBER($G$1273),$B$1132=1),$G$1273,HLOOKUP(INDIRECT(ADDRESS(2,COLUMN())),OFFSET($K$2,0,0,ROW()-1,5),ROW()-1,FALSE))</f>
        <v/>
      </c>
      <c r="H151" t="str">
        <f ca="1">IF(AND(ISNUMBER($H$1273),$B$1132=1),$H$1273,HLOOKUP(INDIRECT(ADDRESS(2,COLUMN())),OFFSET($K$2,0,0,ROW()-1,5),ROW()-1,FALSE))</f>
        <v/>
      </c>
      <c r="I151" t="str">
        <f ca="1">IF(AND(ISNUMBER($I$1273),$B$1132=1),$I$1273,HLOOKUP(INDIRECT(ADDRESS(2,COLUMN())),OFFSET($K$2,0,0,ROW()-1,5),ROW()-1,FALSE))</f>
        <v/>
      </c>
      <c r="J151" t="str">
        <f ca="1">IF(AND(ISNUMBER($J$1273),$B$1132=1),$J$1273,HLOOKUP(INDIRECT(ADDRESS(2,COLUMN())),OFFSET($K$2,0,0,ROW()-1,5),ROW()-1,FALSE))</f>
        <v/>
      </c>
      <c r="K151" t="str">
        <f>""</f>
        <v/>
      </c>
      <c r="L151" t="str">
        <f>""</f>
        <v/>
      </c>
      <c r="M151" t="str">
        <f>""</f>
        <v/>
      </c>
      <c r="N151" t="str">
        <f>""</f>
        <v/>
      </c>
      <c r="O151" t="str">
        <f>""</f>
        <v/>
      </c>
    </row>
    <row r="152" spans="1:15" x14ac:dyDescent="0.25">
      <c r="A152" t="str">
        <f>"                Great Eagle Holdings Ltd"</f>
        <v xml:space="preserve">                Great Eagle Holdings Ltd</v>
      </c>
      <c r="B152" t="str">
        <f>"41 HK Equity"</f>
        <v>41 HK Equity</v>
      </c>
      <c r="C152" t="str">
        <f t="shared" si="15"/>
        <v>F0946</v>
      </c>
      <c r="D152" t="str">
        <f t="shared" si="16"/>
        <v>TOTAL_GHG_CO2_EMISSIONS</v>
      </c>
      <c r="E152" t="str">
        <f t="shared" si="17"/>
        <v>Dynamic</v>
      </c>
      <c r="F152">
        <f ca="1">IF(AND(ISNUMBER($F$1274),$B$1132=1),$F$1274,HLOOKUP(INDIRECT(ADDRESS(2,COLUMN())),OFFSET($K$2,0,0,ROW()-1,5),ROW()-1,FALSE))</f>
        <v>7.7790999999999999E-2</v>
      </c>
      <c r="G152" t="str">
        <f ca="1">IF(AND(ISNUMBER($G$1274),$B$1132=1),$G$1274,HLOOKUP(INDIRECT(ADDRESS(2,COLUMN())),OFFSET($K$2,0,0,ROW()-1,5),ROW()-1,FALSE))</f>
        <v/>
      </c>
      <c r="H152" t="str">
        <f ca="1">IF(AND(ISNUMBER($H$1274),$B$1132=1),$H$1274,HLOOKUP(INDIRECT(ADDRESS(2,COLUMN())),OFFSET($K$2,0,0,ROW()-1,5),ROW()-1,FALSE))</f>
        <v/>
      </c>
      <c r="I152" t="str">
        <f ca="1">IF(AND(ISNUMBER($I$1274),$B$1132=1),$I$1274,HLOOKUP(INDIRECT(ADDRESS(2,COLUMN())),OFFSET($K$2,0,0,ROW()-1,5),ROW()-1,FALSE))</f>
        <v/>
      </c>
      <c r="J152">
        <f ca="1">IF(AND(ISNUMBER($J$1274),$B$1132=1),$J$1274,HLOOKUP(INDIRECT(ADDRESS(2,COLUMN())),OFFSET($K$2,0,0,ROW()-1,5),ROW()-1,FALSE))</f>
        <v>0.120933998</v>
      </c>
      <c r="K152">
        <f>0.077791</f>
        <v>7.7790999999999999E-2</v>
      </c>
      <c r="L152" t="str">
        <f>""</f>
        <v/>
      </c>
      <c r="M152" t="str">
        <f>""</f>
        <v/>
      </c>
      <c r="N152" t="str">
        <f>""</f>
        <v/>
      </c>
      <c r="O152">
        <f>0.120933998</f>
        <v>0.120933998</v>
      </c>
    </row>
    <row r="153" spans="1:15" x14ac:dyDescent="0.25">
      <c r="A153" t="str">
        <f>"                H World Group Ltd"</f>
        <v xml:space="preserve">                H World Group Ltd</v>
      </c>
      <c r="B153" t="str">
        <f>"HTHT US Equity"</f>
        <v>HTHT US Equity</v>
      </c>
      <c r="C153" t="str">
        <f t="shared" si="15"/>
        <v>F0946</v>
      </c>
      <c r="D153" t="str">
        <f t="shared" si="16"/>
        <v>TOTAL_GHG_CO2_EMISSIONS</v>
      </c>
      <c r="E153" t="str">
        <f t="shared" si="17"/>
        <v>Dynamic</v>
      </c>
      <c r="F153">
        <f ca="1">IF(AND(ISNUMBER($F$1275),$B$1132=1),$F$1275,HLOOKUP(INDIRECT(ADDRESS(2,COLUMN())),OFFSET($K$2,0,0,ROW()-1,5),ROW()-1,FALSE))</f>
        <v>0.28682501199999999</v>
      </c>
      <c r="G153">
        <f ca="1">IF(AND(ISNUMBER($G$1275),$B$1132=1),$G$1275,HLOOKUP(INDIRECT(ADDRESS(2,COLUMN())),OFFSET($K$2,0,0,ROW()-1,5),ROW()-1,FALSE))</f>
        <v>0.29528201300000001</v>
      </c>
      <c r="H153">
        <f ca="1">IF(AND(ISNUMBER($H$1275),$B$1132=1),$H$1275,HLOOKUP(INDIRECT(ADDRESS(2,COLUMN())),OFFSET($K$2,0,0,ROW()-1,5),ROW()-1,FALSE))</f>
        <v>0.25669101</v>
      </c>
      <c r="I153" t="str">
        <f ca="1">IF(AND(ISNUMBER($I$1275),$B$1132=1),$I$1275,HLOOKUP(INDIRECT(ADDRESS(2,COLUMN())),OFFSET($K$2,0,0,ROW()-1,5),ROW()-1,FALSE))</f>
        <v/>
      </c>
      <c r="J153" t="str">
        <f ca="1">IF(AND(ISNUMBER($J$1275),$B$1132=1),$J$1275,HLOOKUP(INDIRECT(ADDRESS(2,COLUMN())),OFFSET($K$2,0,0,ROW()-1,5),ROW()-1,FALSE))</f>
        <v/>
      </c>
      <c r="K153">
        <f>0.286825012</f>
        <v>0.28682501199999999</v>
      </c>
      <c r="L153">
        <f>0.295282013</f>
        <v>0.29528201300000001</v>
      </c>
      <c r="M153">
        <f>0.25669101</f>
        <v>0.25669101</v>
      </c>
      <c r="N153" t="str">
        <f>""</f>
        <v/>
      </c>
      <c r="O153" t="str">
        <f>""</f>
        <v/>
      </c>
    </row>
    <row r="154" spans="1:15" x14ac:dyDescent="0.25">
      <c r="A154" t="str">
        <f>"                Hilton Worldwide Holdings Inc"</f>
        <v xml:space="preserve">                Hilton Worldwide Holdings Inc</v>
      </c>
      <c r="B154" t="str">
        <f>"HLT US Equity"</f>
        <v>HLT US Equity</v>
      </c>
      <c r="C154" t="str">
        <f t="shared" si="15"/>
        <v>F0946</v>
      </c>
      <c r="D154" t="str">
        <f t="shared" si="16"/>
        <v>TOTAL_GHG_CO2_EMISSIONS</v>
      </c>
      <c r="E154" t="str">
        <f t="shared" si="17"/>
        <v>Dynamic</v>
      </c>
      <c r="F154">
        <f ca="1">IF(AND(ISNUMBER($F$1276),$B$1132=1),$F$1276,HLOOKUP(INDIRECT(ADDRESS(2,COLUMN())),OFFSET($K$2,0,0,ROW()-1,5),ROW()-1,FALSE))</f>
        <v>2.3689299319999999</v>
      </c>
      <c r="G154">
        <f ca="1">IF(AND(ISNUMBER($G$1276),$B$1132=1),$G$1276,HLOOKUP(INDIRECT(ADDRESS(2,COLUMN())),OFFSET($K$2,0,0,ROW()-1,5),ROW()-1,FALSE))</f>
        <v>2.1933400879999998</v>
      </c>
      <c r="H154">
        <f ca="1">IF(AND(ISNUMBER($H$1276),$B$1132=1),$H$1276,HLOOKUP(INDIRECT(ADDRESS(2,COLUMN())),OFFSET($K$2,0,0,ROW()-1,5),ROW()-1,FALSE))</f>
        <v>1.7492800289999999</v>
      </c>
      <c r="I154">
        <f ca="1">IF(AND(ISNUMBER($I$1276),$B$1132=1),$I$1276,HLOOKUP(INDIRECT(ADDRESS(2,COLUMN())),OFFSET($K$2,0,0,ROW()-1,5),ROW()-1,FALSE))</f>
        <v>2.4253601069999999</v>
      </c>
      <c r="J154">
        <f ca="1">IF(AND(ISNUMBER($J$1276),$B$1132=1),$J$1276,HLOOKUP(INDIRECT(ADDRESS(2,COLUMN())),OFFSET($K$2,0,0,ROW()-1,5),ROW()-1,FALSE))</f>
        <v>2.4071000979999999</v>
      </c>
      <c r="K154">
        <f>2.368929932</f>
        <v>2.3689299319999999</v>
      </c>
      <c r="L154">
        <f>2.193340088</f>
        <v>2.1933400879999998</v>
      </c>
      <c r="M154">
        <f>1.749280029</f>
        <v>1.7492800289999999</v>
      </c>
      <c r="N154">
        <f>2.425360107</f>
        <v>2.4253601069999999</v>
      </c>
      <c r="O154">
        <f>2.407100098</f>
        <v>2.4071000979999999</v>
      </c>
    </row>
    <row r="155" spans="1:15" x14ac:dyDescent="0.25">
      <c r="A155" t="str">
        <f>"                Hyatt Hotels Corp"</f>
        <v xml:space="preserve">                Hyatt Hotels Corp</v>
      </c>
      <c r="B155" t="str">
        <f>"H US Equity"</f>
        <v>H US Equity</v>
      </c>
      <c r="C155" t="str">
        <f t="shared" si="15"/>
        <v>F0946</v>
      </c>
      <c r="D155" t="str">
        <f t="shared" si="16"/>
        <v>TOTAL_GHG_CO2_EMISSIONS</v>
      </c>
      <c r="E155" t="str">
        <f t="shared" si="17"/>
        <v>Dynamic</v>
      </c>
      <c r="F155" t="str">
        <f ca="1">IF(AND(ISNUMBER($F$1277),$B$1132=1),$F$1277,HLOOKUP(INDIRECT(ADDRESS(2,COLUMN())),OFFSET($K$2,0,0,ROW()-1,5),ROW()-1,FALSE))</f>
        <v/>
      </c>
      <c r="G155">
        <f ca="1">IF(AND(ISNUMBER($G$1277),$B$1132=1),$G$1277,HLOOKUP(INDIRECT(ADDRESS(2,COLUMN())),OFFSET($K$2,0,0,ROW()-1,5),ROW()-1,FALSE))</f>
        <v>1.5699499509999999</v>
      </c>
      <c r="H155">
        <f ca="1">IF(AND(ISNUMBER($H$1277),$B$1132=1),$H$1277,HLOOKUP(INDIRECT(ADDRESS(2,COLUMN())),OFFSET($K$2,0,0,ROW()-1,5),ROW()-1,FALSE))</f>
        <v>1.291930054</v>
      </c>
      <c r="I155">
        <f ca="1">IF(AND(ISNUMBER($I$1277),$B$1132=1),$I$1277,HLOOKUP(INDIRECT(ADDRESS(2,COLUMN())),OFFSET($K$2,0,0,ROW()-1,5),ROW()-1,FALSE))</f>
        <v>1.70202002</v>
      </c>
      <c r="J155">
        <f ca="1">IF(AND(ISNUMBER($J$1277),$B$1132=1),$J$1277,HLOOKUP(INDIRECT(ADDRESS(2,COLUMN())),OFFSET($K$2,0,0,ROW()-1,5),ROW()-1,FALSE))</f>
        <v>1.5932399900000001</v>
      </c>
      <c r="K155" t="str">
        <f>""</f>
        <v/>
      </c>
      <c r="L155">
        <f>1.569949951</f>
        <v>1.5699499509999999</v>
      </c>
      <c r="M155">
        <f>1.291930054</f>
        <v>1.291930054</v>
      </c>
      <c r="N155">
        <f>1.70202002</f>
        <v>1.70202002</v>
      </c>
      <c r="O155">
        <f>1.59323999</f>
        <v>1.5932399900000001</v>
      </c>
    </row>
    <row r="156" spans="1:15" x14ac:dyDescent="0.25">
      <c r="A156" t="str">
        <f>"                InterContinental Hotels Group"</f>
        <v xml:space="preserve">                InterContinental Hotels Group</v>
      </c>
      <c r="B156" t="str">
        <f>"IHG LN Equity"</f>
        <v>IHG LN Equity</v>
      </c>
      <c r="C156" t="str">
        <f t="shared" si="15"/>
        <v>F0946</v>
      </c>
      <c r="D156" t="str">
        <f t="shared" si="16"/>
        <v>TOTAL_GHG_CO2_EMISSIONS</v>
      </c>
      <c r="E156" t="str">
        <f t="shared" si="17"/>
        <v>Dynamic</v>
      </c>
      <c r="F156">
        <f ca="1">IF(AND(ISNUMBER($F$1278),$B$1132=1),$F$1278,HLOOKUP(INDIRECT(ADDRESS(2,COLUMN())),OFFSET($K$2,0,0,ROW()-1,5),ROW()-1,FALSE))</f>
        <v>2.4828100590000002</v>
      </c>
      <c r="G156">
        <f ca="1">IF(AND(ISNUMBER($G$1278),$B$1132=1),$G$1278,HLOOKUP(INDIRECT(ADDRESS(2,COLUMN())),OFFSET($K$2,0,0,ROW()-1,5),ROW()-1,FALSE))</f>
        <v>2.23072998</v>
      </c>
      <c r="H156">
        <f ca="1">IF(AND(ISNUMBER($H$1278),$B$1132=1),$H$1278,HLOOKUP(INDIRECT(ADDRESS(2,COLUMN())),OFFSET($K$2,0,0,ROW()-1,5),ROW()-1,FALSE))</f>
        <v>1.8719000240000001</v>
      </c>
      <c r="I156">
        <f ca="1">IF(AND(ISNUMBER($I$1278),$B$1132=1),$I$1278,HLOOKUP(INDIRECT(ADDRESS(2,COLUMN())),OFFSET($K$2,0,0,ROW()-1,5),ROW()-1,FALSE))</f>
        <v>2.537129883</v>
      </c>
      <c r="J156">
        <f ca="1">IF(AND(ISNUMBER($J$1278),$B$1132=1),$J$1278,HLOOKUP(INDIRECT(ADDRESS(2,COLUMN())),OFFSET($K$2,0,0,ROW()-1,5),ROW()-1,FALSE))</f>
        <v>2.4281101070000002</v>
      </c>
      <c r="K156">
        <f>2.482810059</f>
        <v>2.4828100590000002</v>
      </c>
      <c r="L156">
        <f>2.23072998</f>
        <v>2.23072998</v>
      </c>
      <c r="M156">
        <f>1.871900024</f>
        <v>1.8719000240000001</v>
      </c>
      <c r="N156">
        <f>2.537129883</f>
        <v>2.537129883</v>
      </c>
      <c r="O156">
        <f>2.428110107</f>
        <v>2.4281101070000002</v>
      </c>
    </row>
    <row r="157" spans="1:15" x14ac:dyDescent="0.25">
      <c r="A157" t="str">
        <f>"                Melia Hotels International SA"</f>
        <v xml:space="preserve">                Melia Hotels International SA</v>
      </c>
      <c r="B157" t="str">
        <f>"MEL SM Equity"</f>
        <v>MEL SM Equity</v>
      </c>
      <c r="C157" t="str">
        <f t="shared" si="15"/>
        <v>F0946</v>
      </c>
      <c r="D157" t="str">
        <f t="shared" si="16"/>
        <v>TOTAL_GHG_CO2_EMISSIONS</v>
      </c>
      <c r="E157" t="str">
        <f t="shared" si="17"/>
        <v>Dynamic</v>
      </c>
      <c r="F157" t="str">
        <f ca="1">IF(AND(ISNUMBER($F$1279),$B$1132=1),$F$1279,HLOOKUP(INDIRECT(ADDRESS(2,COLUMN())),OFFSET($K$2,0,0,ROW()-1,5),ROW()-1,FALSE))</f>
        <v/>
      </c>
      <c r="G157">
        <f ca="1">IF(AND(ISNUMBER($G$1279),$B$1132=1),$G$1279,HLOOKUP(INDIRECT(ADDRESS(2,COLUMN())),OFFSET($K$2,0,0,ROW()-1,5),ROW()-1,FALSE))</f>
        <v>0.22850000000000001</v>
      </c>
      <c r="H157">
        <f ca="1">IF(AND(ISNUMBER($H$1279),$B$1132=1),$H$1279,HLOOKUP(INDIRECT(ADDRESS(2,COLUMN())),OFFSET($K$2,0,0,ROW()-1,5),ROW()-1,FALSE))</f>
        <v>0.20269999699999999</v>
      </c>
      <c r="I157">
        <f ca="1">IF(AND(ISNUMBER($I$1279),$B$1132=1),$I$1279,HLOOKUP(INDIRECT(ADDRESS(2,COLUMN())),OFFSET($K$2,0,0,ROW()-1,5),ROW()-1,FALSE))</f>
        <v>0.170647995</v>
      </c>
      <c r="J157">
        <f ca="1">IF(AND(ISNUMBER($J$1279),$B$1132=1),$J$1279,HLOOKUP(INDIRECT(ADDRESS(2,COLUMN())),OFFSET($K$2,0,0,ROW()-1,5),ROW()-1,FALSE))</f>
        <v>0.20502999899999999</v>
      </c>
      <c r="K157" t="str">
        <f>""</f>
        <v/>
      </c>
      <c r="L157">
        <f>0.2285</f>
        <v>0.22850000000000001</v>
      </c>
      <c r="M157">
        <f>0.202699997</f>
        <v>0.20269999699999999</v>
      </c>
      <c r="N157">
        <f>0.170647995</f>
        <v>0.170647995</v>
      </c>
      <c r="O157">
        <f>0.205029999</f>
        <v>0.20502999899999999</v>
      </c>
    </row>
    <row r="158" spans="1:15" x14ac:dyDescent="0.25">
      <c r="A158" t="str">
        <f>"                Marriott International Inc/MD"</f>
        <v xml:space="preserve">                Marriott International Inc/MD</v>
      </c>
      <c r="B158" t="str">
        <f>"MAR US Equity"</f>
        <v>MAR US Equity</v>
      </c>
      <c r="C158" t="str">
        <f t="shared" si="15"/>
        <v>F0946</v>
      </c>
      <c r="D158" t="str">
        <f t="shared" si="16"/>
        <v>TOTAL_GHG_CO2_EMISSIONS</v>
      </c>
      <c r="E158" t="str">
        <f t="shared" si="17"/>
        <v>Dynamic</v>
      </c>
      <c r="F158" t="str">
        <f ca="1">IF(AND(ISNUMBER($F$1280),$B$1132=1),$F$1280,HLOOKUP(INDIRECT(ADDRESS(2,COLUMN())),OFFSET($K$2,0,0,ROW()-1,5),ROW()-1,FALSE))</f>
        <v/>
      </c>
      <c r="G158">
        <f ca="1">IF(AND(ISNUMBER($G$1280),$B$1132=1),$G$1280,HLOOKUP(INDIRECT(ADDRESS(2,COLUMN())),OFFSET($K$2,0,0,ROW()-1,5),ROW()-1,FALSE))</f>
        <v>5.812950195</v>
      </c>
      <c r="H158">
        <f ca="1">IF(AND(ISNUMBER($H$1280),$B$1132=1),$H$1280,HLOOKUP(INDIRECT(ADDRESS(2,COLUMN())),OFFSET($K$2,0,0,ROW()-1,5),ROW()-1,FALSE))</f>
        <v>5.1254799799999997</v>
      </c>
      <c r="I158">
        <f ca="1">IF(AND(ISNUMBER($I$1280),$B$1132=1),$I$1280,HLOOKUP(INDIRECT(ADDRESS(2,COLUMN())),OFFSET($K$2,0,0,ROW()-1,5),ROW()-1,FALSE))</f>
        <v>6.8062998050000001</v>
      </c>
      <c r="J158">
        <f ca="1">IF(AND(ISNUMBER($J$1280),$B$1132=1),$J$1280,HLOOKUP(INDIRECT(ADDRESS(2,COLUMN())),OFFSET($K$2,0,0,ROW()-1,5),ROW()-1,FALSE))</f>
        <v>6.8362998050000003</v>
      </c>
      <c r="K158" t="str">
        <f>""</f>
        <v/>
      </c>
      <c r="L158">
        <f>5.812950195</f>
        <v>5.812950195</v>
      </c>
      <c r="M158">
        <f>5.12547998</f>
        <v>5.1254799799999997</v>
      </c>
      <c r="N158">
        <f>6.806299805</f>
        <v>6.8062998050000001</v>
      </c>
      <c r="O158">
        <f>6.836299805</f>
        <v>6.8362998050000003</v>
      </c>
    </row>
    <row r="159" spans="1:15" x14ac:dyDescent="0.25">
      <c r="A159" t="str">
        <f>"                Shanghai Jinjiang Internationa"</f>
        <v xml:space="preserve">                Shanghai Jinjiang Internationa</v>
      </c>
      <c r="B159" t="str">
        <f>"600754 CH Equity"</f>
        <v>600754 CH Equity</v>
      </c>
      <c r="C159" t="str">
        <f t="shared" si="15"/>
        <v>F0946</v>
      </c>
      <c r="D159" t="str">
        <f t="shared" si="16"/>
        <v>TOTAL_GHG_CO2_EMISSIONS</v>
      </c>
      <c r="E159" t="str">
        <f t="shared" si="17"/>
        <v>Dynamic</v>
      </c>
      <c r="F159" t="str">
        <f ca="1">IF(AND(ISNUMBER($F$1281),$B$1132=1),$F$1281,HLOOKUP(INDIRECT(ADDRESS(2,COLUMN())),OFFSET($K$2,0,0,ROW()-1,5),ROW()-1,FALSE))</f>
        <v/>
      </c>
      <c r="G159" t="str">
        <f ca="1">IF(AND(ISNUMBER($G$1281),$B$1132=1),$G$1281,HLOOKUP(INDIRECT(ADDRESS(2,COLUMN())),OFFSET($K$2,0,0,ROW()-1,5),ROW()-1,FALSE))</f>
        <v/>
      </c>
      <c r="H159" t="str">
        <f ca="1">IF(AND(ISNUMBER($H$1281),$B$1132=1),$H$1281,HLOOKUP(INDIRECT(ADDRESS(2,COLUMN())),OFFSET($K$2,0,0,ROW()-1,5),ROW()-1,FALSE))</f>
        <v/>
      </c>
      <c r="I159" t="str">
        <f ca="1">IF(AND(ISNUMBER($I$1281),$B$1132=1),$I$1281,HLOOKUP(INDIRECT(ADDRESS(2,COLUMN())),OFFSET($K$2,0,0,ROW()-1,5),ROW()-1,FALSE))</f>
        <v/>
      </c>
      <c r="J159" t="str">
        <f ca="1">IF(AND(ISNUMBER($J$1281),$B$1132=1),$J$1281,HLOOKUP(INDIRECT(ADDRESS(2,COLUMN())),OFFSET($K$2,0,0,ROW()-1,5),ROW()-1,FALSE))</f>
        <v/>
      </c>
      <c r="K159" t="str">
        <f>""</f>
        <v/>
      </c>
      <c r="L159" t="str">
        <f>""</f>
        <v/>
      </c>
      <c r="M159" t="str">
        <f>""</f>
        <v/>
      </c>
      <c r="N159" t="str">
        <f>""</f>
        <v/>
      </c>
      <c r="O159" t="str">
        <f>""</f>
        <v/>
      </c>
    </row>
    <row r="160" spans="1:15" x14ac:dyDescent="0.25">
      <c r="A160" t="str">
        <f>"                Shangri-La Asia Ltd"</f>
        <v xml:space="preserve">                Shangri-La Asia Ltd</v>
      </c>
      <c r="B160" t="str">
        <f>"69 HK Equity"</f>
        <v>69 HK Equity</v>
      </c>
      <c r="C160" t="str">
        <f t="shared" si="15"/>
        <v>F0946</v>
      </c>
      <c r="D160" t="str">
        <f t="shared" si="16"/>
        <v>TOTAL_GHG_CO2_EMISSIONS</v>
      </c>
      <c r="E160" t="str">
        <f t="shared" si="17"/>
        <v>Dynamic</v>
      </c>
      <c r="F160">
        <f ca="1">IF(AND(ISNUMBER($F$1282),$B$1132=1),$F$1282,HLOOKUP(INDIRECT(ADDRESS(2,COLUMN())),OFFSET($K$2,0,0,ROW()-1,5),ROW()-1,FALSE))</f>
        <v>0.749</v>
      </c>
      <c r="G160">
        <f ca="1">IF(AND(ISNUMBER($G$1282),$B$1132=1),$G$1282,HLOOKUP(INDIRECT(ADDRESS(2,COLUMN())),OFFSET($K$2,0,0,ROW()-1,5),ROW()-1,FALSE))</f>
        <v>0.69616900599999998</v>
      </c>
      <c r="H160">
        <f ca="1">IF(AND(ISNUMBER($H$1282),$B$1132=1),$H$1282,HLOOKUP(INDIRECT(ADDRESS(2,COLUMN())),OFFSET($K$2,0,0,ROW()-1,5),ROW()-1,FALSE))</f>
        <v>0.748099976</v>
      </c>
      <c r="I160">
        <f ca="1">IF(AND(ISNUMBER($I$1282),$B$1132=1),$I$1282,HLOOKUP(INDIRECT(ADDRESS(2,COLUMN())),OFFSET($K$2,0,0,ROW()-1,5),ROW()-1,FALSE))</f>
        <v>1.048099976</v>
      </c>
      <c r="J160">
        <f ca="1">IF(AND(ISNUMBER($J$1282),$B$1132=1),$J$1282,HLOOKUP(INDIRECT(ADDRESS(2,COLUMN())),OFFSET($K$2,0,0,ROW()-1,5),ROW()-1,FALSE))</f>
        <v>1.0961500239999999</v>
      </c>
      <c r="K160">
        <f>0.749</f>
        <v>0.749</v>
      </c>
      <c r="L160">
        <f>0.696169006</f>
        <v>0.69616900599999998</v>
      </c>
      <c r="M160">
        <f>0.748099976</f>
        <v>0.748099976</v>
      </c>
      <c r="N160">
        <f>1.048099976</f>
        <v>1.048099976</v>
      </c>
      <c r="O160">
        <f>1.096150024</f>
        <v>1.0961500239999999</v>
      </c>
    </row>
    <row r="161" spans="1:15" x14ac:dyDescent="0.25">
      <c r="A161" t="str">
        <f>"                Wyndham Hotels &amp; Resorts Inc"</f>
        <v xml:space="preserve">                Wyndham Hotels &amp; Resorts Inc</v>
      </c>
      <c r="B161" t="str">
        <f>"WH US Equity"</f>
        <v>WH US Equity</v>
      </c>
      <c r="C161" t="str">
        <f t="shared" si="15"/>
        <v>F0946</v>
      </c>
      <c r="D161" t="str">
        <f t="shared" si="16"/>
        <v>TOTAL_GHG_CO2_EMISSIONS</v>
      </c>
      <c r="E161" t="str">
        <f t="shared" si="17"/>
        <v>Dynamic</v>
      </c>
      <c r="F161" t="str">
        <f ca="1">IF(AND(ISNUMBER($F$1283),$B$1132=1),$F$1283,HLOOKUP(INDIRECT(ADDRESS(2,COLUMN())),OFFSET($K$2,0,0,ROW()-1,5),ROW()-1,FALSE))</f>
        <v/>
      </c>
      <c r="G161">
        <f ca="1">IF(AND(ISNUMBER($G$1283),$B$1132=1),$G$1283,HLOOKUP(INDIRECT(ADDRESS(2,COLUMN())),OFFSET($K$2,0,0,ROW()-1,5),ROW()-1,FALSE))</f>
        <v>0.229018997</v>
      </c>
      <c r="H161">
        <f ca="1">IF(AND(ISNUMBER($H$1283),$B$1132=1),$H$1283,HLOOKUP(INDIRECT(ADDRESS(2,COLUMN())),OFFSET($K$2,0,0,ROW()-1,5),ROW()-1,FALSE))</f>
        <v>0.238065002</v>
      </c>
      <c r="I161">
        <f ca="1">IF(AND(ISNUMBER($I$1283),$B$1132=1),$I$1283,HLOOKUP(INDIRECT(ADDRESS(2,COLUMN())),OFFSET($K$2,0,0,ROW()-1,5),ROW()-1,FALSE))</f>
        <v>0.33040301500000002</v>
      </c>
      <c r="J161">
        <f ca="1">IF(AND(ISNUMBER($J$1283),$B$1132=1),$J$1283,HLOOKUP(INDIRECT(ADDRESS(2,COLUMN())),OFFSET($K$2,0,0,ROW()-1,5),ROW()-1,FALSE))</f>
        <v>0.29336300700000001</v>
      </c>
      <c r="K161" t="str">
        <f>""</f>
        <v/>
      </c>
      <c r="L161">
        <f>0.229018997</f>
        <v>0.229018997</v>
      </c>
      <c r="M161">
        <f>0.238065002</f>
        <v>0.238065002</v>
      </c>
      <c r="N161">
        <f>0.330403015</f>
        <v>0.33040301500000002</v>
      </c>
      <c r="O161">
        <f>0.293363007</f>
        <v>0.29336300700000001</v>
      </c>
    </row>
    <row r="162" spans="1:15" x14ac:dyDescent="0.25">
      <c r="A162" t="str">
        <f>"        Consumer Staples"</f>
        <v xml:space="preserve">        Consumer Staples</v>
      </c>
      <c r="B162" t="str">
        <f>""</f>
        <v/>
      </c>
      <c r="E162" t="str">
        <f>"Sum"</f>
        <v>Sum</v>
      </c>
      <c r="F162">
        <f ca="1">IF(ISERROR(IF(SUM($F$163,$F$340) = 0, "", SUM($F$163,$F$340))), "", (IF(SUM($F$163,$F$340) = 0, "", SUM($F$163,$F$340))))</f>
        <v>66.456973484000002</v>
      </c>
      <c r="G162">
        <f ca="1">IF(ISERROR(IF(SUM($G$163,$G$340) = 0, "", SUM($G$163,$G$340))), "", (IF(SUM($G$163,$G$340) = 0, "", SUM($G$163,$G$340))))</f>
        <v>190.407319379</v>
      </c>
      <c r="H162">
        <f ca="1">IF(ISERROR(IF(SUM($H$163,$H$340) = 0, "", SUM($H$163,$H$340))), "", (IF(SUM($H$163,$H$340) = 0, "", SUM($H$163,$H$340))))</f>
        <v>190.12401163999999</v>
      </c>
      <c r="I162">
        <f ca="1">IF(ISERROR(IF(SUM($I$163,$I$340) = 0, "", SUM($I$163,$I$340))), "", (IF(SUM($I$163,$I$340) = 0, "", SUM($I$163,$I$340))))</f>
        <v>179.97378052999997</v>
      </c>
      <c r="J162">
        <f ca="1">IF(ISERROR(IF(SUM($J$163,$J$340) = 0, "", SUM($J$163,$J$340))), "", (IF(SUM($J$163,$J$340) = 0, "", SUM($J$163,$J$340))))</f>
        <v>175.59837497200004</v>
      </c>
      <c r="K162" t="str">
        <f>""</f>
        <v/>
      </c>
      <c r="L162">
        <f>190.4073194</f>
        <v>190.40731940000001</v>
      </c>
      <c r="M162">
        <f>190.1240116</f>
        <v>190.12401159999999</v>
      </c>
      <c r="N162">
        <f>179.9737805</f>
        <v>179.9737805</v>
      </c>
      <c r="O162">
        <f>175.598375</f>
        <v>175.598375</v>
      </c>
    </row>
    <row r="163" spans="1:15" x14ac:dyDescent="0.25">
      <c r="A163" t="str">
        <f>"            Consumer Products"</f>
        <v xml:space="preserve">            Consumer Products</v>
      </c>
      <c r="B163" t="str">
        <f>""</f>
        <v/>
      </c>
      <c r="E163" t="str">
        <f>"Sum"</f>
        <v>Sum</v>
      </c>
      <c r="F163">
        <f ca="1">IF(ISERROR(IF(SUM($F$164,$F$238) = 0, "", SUM($F$164,$F$238))), "", (IF(SUM($F$164,$F$238) = 0, "", SUM($F$164,$F$238))))</f>
        <v>46.593049162000007</v>
      </c>
      <c r="G163">
        <f ca="1">IF(ISERROR(IF(SUM($G$164,$G$238) = 0, "", SUM($G$164,$G$238))), "", (IF(SUM($G$164,$G$238) = 0, "", SUM($G$164,$G$238))))</f>
        <v>119.77570572900001</v>
      </c>
      <c r="H163">
        <f ca="1">IF(ISERROR(IF(SUM($H$164,$H$238) = 0, "", SUM($H$164,$H$238))), "", (IF(SUM($H$164,$H$238) = 0, "", SUM($H$164,$H$238))))</f>
        <v>111.98452468699998</v>
      </c>
      <c r="I163">
        <f ca="1">IF(ISERROR(IF(SUM($I$164,$I$238) = 0, "", SUM($I$164,$I$238))), "", (IF(SUM($I$164,$I$238) = 0, "", SUM($I$164,$I$238))))</f>
        <v>105.82268213699999</v>
      </c>
      <c r="J163">
        <f ca="1">IF(ISERROR(IF(SUM($J$164,$J$238) = 0, "", SUM($J$164,$J$238))), "", (IF(SUM($J$164,$J$238) = 0, "", SUM($J$164,$J$238))))</f>
        <v>102.47714811900002</v>
      </c>
      <c r="K163" t="str">
        <f>""</f>
        <v/>
      </c>
      <c r="L163">
        <f>119.7757057</f>
        <v>119.7757057</v>
      </c>
      <c r="M163">
        <f>111.9845247</f>
        <v>111.98452469999999</v>
      </c>
      <c r="N163">
        <f>105.8226821</f>
        <v>105.82268209999999</v>
      </c>
      <c r="O163">
        <f>102.4771481</f>
        <v>102.47714809999999</v>
      </c>
    </row>
    <row r="164" spans="1:15" x14ac:dyDescent="0.25">
      <c r="A164" t="str">
        <f>"                Beverages"</f>
        <v xml:space="preserve">                Beverages</v>
      </c>
      <c r="B164" t="str">
        <f>""</f>
        <v/>
      </c>
      <c r="E164" t="str">
        <f>"Sum"</f>
        <v>Sum</v>
      </c>
      <c r="F164">
        <f ca="1">IF(ISERROR(IF(SUM($F$165:$F$237) = 0, "", SUM($F$165:$F$237))), "", (IF(SUM($F$165:$F$237) = 0, "", SUM($F$165:$F$237))))</f>
        <v>12.288371123999999</v>
      </c>
      <c r="G164">
        <f ca="1">IF(ISERROR(IF(SUM($G$165:$G$237) = 0, "", SUM($G$165:$G$237))), "", (IF(SUM($G$165:$G$237) = 0, "", SUM($G$165:$G$237))))</f>
        <v>31.401619032000003</v>
      </c>
      <c r="H164">
        <f ca="1">IF(ISERROR(IF(SUM($H$165:$H$237) = 0, "", SUM($H$165:$H$237))), "", (IF(SUM($H$165:$H$237) = 0, "", SUM($H$165:$H$237))))</f>
        <v>30.199474762999991</v>
      </c>
      <c r="I164">
        <f ca="1">IF(ISERROR(IF(SUM($I$165:$I$237) = 0, "", SUM($I$165:$I$237))), "", (IF(SUM($I$165:$I$237) = 0, "", SUM($I$165:$I$237))))</f>
        <v>29.866094697000001</v>
      </c>
      <c r="J164">
        <f ca="1">IF(ISERROR(IF(SUM($J$165:$J$237) = 0, "", SUM($J$165:$J$237))), "", (IF(SUM($J$165:$J$237) = 0, "", SUM($J$165:$J$237))))</f>
        <v>28.555104413000002</v>
      </c>
      <c r="K164" t="str">
        <f>""</f>
        <v/>
      </c>
      <c r="L164">
        <f>31.40161903</f>
        <v>31.401619029999999</v>
      </c>
      <c r="M164">
        <f>30.19947477</f>
        <v>30.199474769999998</v>
      </c>
      <c r="N164">
        <f>29.8660947</f>
        <v>29.866094700000001</v>
      </c>
      <c r="O164">
        <f>28.55510441</f>
        <v>28.555104409999998</v>
      </c>
    </row>
    <row r="165" spans="1:15" x14ac:dyDescent="0.25">
      <c r="A165" t="str">
        <f>"                    Ambev SA"</f>
        <v xml:space="preserve">                    Ambev SA</v>
      </c>
      <c r="B165" t="str">
        <f>"ABEV3 BZ Equity"</f>
        <v>ABEV3 BZ Equity</v>
      </c>
      <c r="C165" t="str">
        <f t="shared" ref="C165:C196" si="18">"F0946"</f>
        <v>F0946</v>
      </c>
      <c r="D165" t="str">
        <f t="shared" ref="D165:D196" si="19">"TOTAL_GHG_CO2_EMISSIONS"</f>
        <v>TOTAL_GHG_CO2_EMISSIONS</v>
      </c>
      <c r="E165" t="str">
        <f t="shared" ref="E165:E196" si="20">"Dynamic"</f>
        <v>Dynamic</v>
      </c>
      <c r="F165">
        <f ca="1">IF(AND(ISNUMBER($F$1284),$B$1132=1),$F$1284,HLOOKUP(INDIRECT(ADDRESS(2,COLUMN())),OFFSET($K$2,0,0,ROW()-1,5),ROW()-1,FALSE))</f>
        <v>0.26643798800000001</v>
      </c>
      <c r="G165">
        <f ca="1">IF(AND(ISNUMBER($G$1284),$B$1132=1),$G$1284,HLOOKUP(INDIRECT(ADDRESS(2,COLUMN())),OFFSET($K$2,0,0,ROW()-1,5),ROW()-1,FALSE))</f>
        <v>0.54079199200000005</v>
      </c>
      <c r="H165">
        <f ca="1">IF(AND(ISNUMBER($H$1284),$B$1132=1),$H$1284,HLOOKUP(INDIRECT(ADDRESS(2,COLUMN())),OFFSET($K$2,0,0,ROW()-1,5),ROW()-1,FALSE))</f>
        <v>0.507602997</v>
      </c>
      <c r="I165">
        <f ca="1">IF(AND(ISNUMBER($I$1284),$B$1132=1),$I$1284,HLOOKUP(INDIRECT(ADDRESS(2,COLUMN())),OFFSET($K$2,0,0,ROW()-1,5),ROW()-1,FALSE))</f>
        <v>0.51742401100000002</v>
      </c>
      <c r="J165">
        <f ca="1">IF(AND(ISNUMBER($J$1284),$B$1132=1),$J$1284,HLOOKUP(INDIRECT(ADDRESS(2,COLUMN())),OFFSET($K$2,0,0,ROW()-1,5),ROW()-1,FALSE))</f>
        <v>0.411213989</v>
      </c>
      <c r="K165">
        <f>0.266437988</f>
        <v>0.26643798800000001</v>
      </c>
      <c r="L165">
        <f>0.540791992</f>
        <v>0.54079199200000005</v>
      </c>
      <c r="M165">
        <f>0.507602997</f>
        <v>0.507602997</v>
      </c>
      <c r="N165">
        <f>0.517424011</f>
        <v>0.51742401100000002</v>
      </c>
      <c r="O165">
        <f>0.411213989</f>
        <v>0.411213989</v>
      </c>
    </row>
    <row r="166" spans="1:15" x14ac:dyDescent="0.25">
      <c r="A166" t="str">
        <f>"                    Anadolu Efes Biracilik Ve Malt"</f>
        <v xml:space="preserve">                    Anadolu Efes Biracilik Ve Malt</v>
      </c>
      <c r="B166" t="str">
        <f>"AEFES TI Equity"</f>
        <v>AEFES TI Equity</v>
      </c>
      <c r="C166" t="str">
        <f t="shared" si="18"/>
        <v>F0946</v>
      </c>
      <c r="D166" t="str">
        <f t="shared" si="19"/>
        <v>TOTAL_GHG_CO2_EMISSIONS</v>
      </c>
      <c r="E166" t="str">
        <f t="shared" si="20"/>
        <v>Dynamic</v>
      </c>
      <c r="F166" t="str">
        <f ca="1">IF(AND(ISNUMBER($F$1285),$B$1132=1),$F$1285,HLOOKUP(INDIRECT(ADDRESS(2,COLUMN())),OFFSET($K$2,0,0,ROW()-1,5),ROW()-1,FALSE))</f>
        <v/>
      </c>
      <c r="G166">
        <f ca="1">IF(AND(ISNUMBER($G$1285),$B$1132=1),$G$1285,HLOOKUP(INDIRECT(ADDRESS(2,COLUMN())),OFFSET($K$2,0,0,ROW()-1,5),ROW()-1,FALSE))</f>
        <v>0.400309998</v>
      </c>
      <c r="H166">
        <f ca="1">IF(AND(ISNUMBER($H$1285),$B$1132=1),$H$1285,HLOOKUP(INDIRECT(ADDRESS(2,COLUMN())),OFFSET($K$2,0,0,ROW()-1,5),ROW()-1,FALSE))</f>
        <v>0.337862</v>
      </c>
      <c r="I166">
        <f ca="1">IF(AND(ISNUMBER($I$1285),$B$1132=1),$I$1285,HLOOKUP(INDIRECT(ADDRESS(2,COLUMN())),OFFSET($K$2,0,0,ROW()-1,5),ROW()-1,FALSE))</f>
        <v>0.35610699499999998</v>
      </c>
      <c r="J166">
        <f ca="1">IF(AND(ISNUMBER($J$1285),$B$1132=1),$J$1285,HLOOKUP(INDIRECT(ADDRESS(2,COLUMN())),OFFSET($K$2,0,0,ROW()-1,5),ROW()-1,FALSE))</f>
        <v>0.36538198900000002</v>
      </c>
      <c r="K166" t="str">
        <f>""</f>
        <v/>
      </c>
      <c r="L166">
        <f>0.400309998</f>
        <v>0.400309998</v>
      </c>
      <c r="M166">
        <f>0.337862</f>
        <v>0.337862</v>
      </c>
      <c r="N166">
        <f>0.356106995</f>
        <v>0.35610699499999998</v>
      </c>
      <c r="O166">
        <f>0.365381989</f>
        <v>0.36538198900000002</v>
      </c>
    </row>
    <row r="167" spans="1:15" x14ac:dyDescent="0.25">
      <c r="A167" t="str">
        <f>"                    Andrew Peller Ltd"</f>
        <v xml:space="preserve">                    Andrew Peller Ltd</v>
      </c>
      <c r="B167" t="str">
        <f>"ADW/A CN Equity"</f>
        <v>ADW/A CN Equity</v>
      </c>
      <c r="C167" t="str">
        <f t="shared" si="18"/>
        <v>F0946</v>
      </c>
      <c r="D167" t="str">
        <f t="shared" si="19"/>
        <v>TOTAL_GHG_CO2_EMISSIONS</v>
      </c>
      <c r="E167" t="str">
        <f t="shared" si="20"/>
        <v>Dynamic</v>
      </c>
      <c r="F167" t="str">
        <f ca="1">IF(AND(ISNUMBER($F$1286),$B$1132=1),$F$1286,HLOOKUP(INDIRECT(ADDRESS(2,COLUMN())),OFFSET($K$2,0,0,ROW()-1,5),ROW()-1,FALSE))</f>
        <v/>
      </c>
      <c r="G167" t="str">
        <f ca="1">IF(AND(ISNUMBER($G$1286),$B$1132=1),$G$1286,HLOOKUP(INDIRECT(ADDRESS(2,COLUMN())),OFFSET($K$2,0,0,ROW()-1,5),ROW()-1,FALSE))</f>
        <v/>
      </c>
      <c r="H167" t="str">
        <f ca="1">IF(AND(ISNUMBER($H$1286),$B$1132=1),$H$1286,HLOOKUP(INDIRECT(ADDRESS(2,COLUMN())),OFFSET($K$2,0,0,ROW()-1,5),ROW()-1,FALSE))</f>
        <v/>
      </c>
      <c r="I167" t="str">
        <f ca="1">IF(AND(ISNUMBER($I$1286),$B$1132=1),$I$1286,HLOOKUP(INDIRECT(ADDRESS(2,COLUMN())),OFFSET($K$2,0,0,ROW()-1,5),ROW()-1,FALSE))</f>
        <v/>
      </c>
      <c r="J167" t="str">
        <f ca="1">IF(AND(ISNUMBER($J$1286),$B$1132=1),$J$1286,HLOOKUP(INDIRECT(ADDRESS(2,COLUMN())),OFFSET($K$2,0,0,ROW()-1,5),ROW()-1,FALSE))</f>
        <v/>
      </c>
      <c r="K167" t="str">
        <f>""</f>
        <v/>
      </c>
      <c r="L167" t="str">
        <f>""</f>
        <v/>
      </c>
      <c r="M167" t="str">
        <f>""</f>
        <v/>
      </c>
      <c r="N167" t="str">
        <f>""</f>
        <v/>
      </c>
      <c r="O167" t="str">
        <f>""</f>
        <v/>
      </c>
    </row>
    <row r="168" spans="1:15" x14ac:dyDescent="0.25">
      <c r="A168" t="str">
        <f>"                    Anheuser-Busch InBev SA/NV"</f>
        <v xml:space="preserve">                    Anheuser-Busch InBev SA/NV</v>
      </c>
      <c r="B168" t="str">
        <f>"ABI BB Equity"</f>
        <v>ABI BB Equity</v>
      </c>
      <c r="C168" t="str">
        <f t="shared" si="18"/>
        <v>F0946</v>
      </c>
      <c r="D168" t="str">
        <f t="shared" si="19"/>
        <v>TOTAL_GHG_CO2_EMISSIONS</v>
      </c>
      <c r="E168" t="str">
        <f t="shared" si="20"/>
        <v>Dynamic</v>
      </c>
      <c r="F168">
        <f ca="1">IF(AND(ISNUMBER($F$1287),$B$1132=1),$F$1287,HLOOKUP(INDIRECT(ADDRESS(2,COLUMN())),OFFSET($K$2,0,0,ROW()-1,5),ROW()-1,FALSE))</f>
        <v>3.68</v>
      </c>
      <c r="G168">
        <f ca="1">IF(AND(ISNUMBER($G$1287),$B$1132=1),$G$1287,HLOOKUP(INDIRECT(ADDRESS(2,COLUMN())),OFFSET($K$2,0,0,ROW()-1,5),ROW()-1,FALSE))</f>
        <v>5.1978901369999999</v>
      </c>
      <c r="H168">
        <f ca="1">IF(AND(ISNUMBER($H$1287),$B$1132=1),$H$1287,HLOOKUP(INDIRECT(ADDRESS(2,COLUMN())),OFFSET($K$2,0,0,ROW()-1,5),ROW()-1,FALSE))</f>
        <v>4.71</v>
      </c>
      <c r="I168">
        <f ca="1">IF(AND(ISNUMBER($I$1287),$B$1132=1),$I$1287,HLOOKUP(INDIRECT(ADDRESS(2,COLUMN())),OFFSET($K$2,0,0,ROW()-1,5),ROW()-1,FALSE))</f>
        <v>5.36</v>
      </c>
      <c r="J168">
        <f ca="1">IF(AND(ISNUMBER($J$1287),$B$1132=1),$J$1287,HLOOKUP(INDIRECT(ADDRESS(2,COLUMN())),OFFSET($K$2,0,0,ROW()-1,5),ROW()-1,FALSE))</f>
        <v>6.03</v>
      </c>
      <c r="K168">
        <f>3.68</f>
        <v>3.68</v>
      </c>
      <c r="L168">
        <f>5.197890137</f>
        <v>5.1978901369999999</v>
      </c>
      <c r="M168">
        <f>4.71</f>
        <v>4.71</v>
      </c>
      <c r="N168">
        <f>5.36</f>
        <v>5.36</v>
      </c>
      <c r="O168">
        <f>6.03</f>
        <v>6.03</v>
      </c>
    </row>
    <row r="169" spans="1:15" x14ac:dyDescent="0.25">
      <c r="A169" t="str">
        <f>"                    Arca Continental SAB de CV"</f>
        <v xml:space="preserve">                    Arca Continental SAB de CV</v>
      </c>
      <c r="B169" t="str">
        <f>"AC* MM Equity"</f>
        <v>AC* MM Equity</v>
      </c>
      <c r="C169" t="str">
        <f t="shared" si="18"/>
        <v>F0946</v>
      </c>
      <c r="D169" t="str">
        <f t="shared" si="19"/>
        <v>TOTAL_GHG_CO2_EMISSIONS</v>
      </c>
      <c r="E169" t="str">
        <f t="shared" si="20"/>
        <v>Dynamic</v>
      </c>
      <c r="F169">
        <f ca="1">IF(AND(ISNUMBER($F$1288),$B$1132=1),$F$1288,HLOOKUP(INDIRECT(ADDRESS(2,COLUMN())),OFFSET($K$2,0,0,ROW()-1,5),ROW()-1,FALSE))</f>
        <v>0.43939999400000002</v>
      </c>
      <c r="G169">
        <f ca="1">IF(AND(ISNUMBER($G$1288),$B$1132=1),$G$1288,HLOOKUP(INDIRECT(ADDRESS(2,COLUMN())),OFFSET($K$2,0,0,ROW()-1,5),ROW()-1,FALSE))</f>
        <v>0.33295001200000002</v>
      </c>
      <c r="H169">
        <f ca="1">IF(AND(ISNUMBER($H$1288),$B$1132=1),$H$1288,HLOOKUP(INDIRECT(ADDRESS(2,COLUMN())),OFFSET($K$2,0,0,ROW()-1,5),ROW()-1,FALSE))</f>
        <v>0.95299298099999996</v>
      </c>
      <c r="I169">
        <f ca="1">IF(AND(ISNUMBER($I$1288),$B$1132=1),$I$1288,HLOOKUP(INDIRECT(ADDRESS(2,COLUMN())),OFFSET($K$2,0,0,ROW()-1,5),ROW()-1,FALSE))</f>
        <v>0.49322399900000002</v>
      </c>
      <c r="J169">
        <f ca="1">IF(AND(ISNUMBER($J$1288),$B$1132=1),$J$1288,HLOOKUP(INDIRECT(ADDRESS(2,COLUMN())),OFFSET($K$2,0,0,ROW()-1,5),ROW()-1,FALSE))</f>
        <v>0.44545001200000001</v>
      </c>
      <c r="K169">
        <f>0.439399994</f>
        <v>0.43939999400000002</v>
      </c>
      <c r="L169">
        <f>0.332950012</f>
        <v>0.33295001200000002</v>
      </c>
      <c r="M169">
        <f>0.952992981</f>
        <v>0.95299298099999996</v>
      </c>
      <c r="N169">
        <f>0.493223999</f>
        <v>0.49322399900000002</v>
      </c>
      <c r="O169">
        <f>0.445450012</f>
        <v>0.44545001200000001</v>
      </c>
    </row>
    <row r="170" spans="1:15" x14ac:dyDescent="0.25">
      <c r="A170" t="str">
        <f>"                    Asahi Group Holdings Ltd"</f>
        <v xml:space="preserve">                    Asahi Group Holdings Ltd</v>
      </c>
      <c r="B170" t="str">
        <f>"2502 JP Equity"</f>
        <v>2502 JP Equity</v>
      </c>
      <c r="C170" t="str">
        <f t="shared" si="18"/>
        <v>F0946</v>
      </c>
      <c r="D170" t="str">
        <f t="shared" si="19"/>
        <v>TOTAL_GHG_CO2_EMISSIONS</v>
      </c>
      <c r="E170" t="str">
        <f t="shared" si="20"/>
        <v>Dynamic</v>
      </c>
      <c r="F170" t="str">
        <f ca="1">IF(AND(ISNUMBER($F$1289),$B$1132=1),$F$1289,HLOOKUP(INDIRECT(ADDRESS(2,COLUMN())),OFFSET($K$2,0,0,ROW()-1,5),ROW()-1,FALSE))</f>
        <v/>
      </c>
      <c r="G170">
        <f ca="1">IF(AND(ISNUMBER($G$1289),$B$1132=1),$G$1289,HLOOKUP(INDIRECT(ADDRESS(2,COLUMN())),OFFSET($K$2,0,0,ROW()-1,5),ROW()-1,FALSE))</f>
        <v>0.80078698699999995</v>
      </c>
      <c r="H170">
        <f ca="1">IF(AND(ISNUMBER($H$1289),$B$1132=1),$H$1289,HLOOKUP(INDIRECT(ADDRESS(2,COLUMN())),OFFSET($K$2,0,0,ROW()-1,5),ROW()-1,FALSE))</f>
        <v>0.83</v>
      </c>
      <c r="I170">
        <f ca="1">IF(AND(ISNUMBER($I$1289),$B$1132=1),$I$1289,HLOOKUP(INDIRECT(ADDRESS(2,COLUMN())),OFFSET($K$2,0,0,ROW()-1,5),ROW()-1,FALSE))</f>
        <v>0.90900000000000003</v>
      </c>
      <c r="J170">
        <f ca="1">IF(AND(ISNUMBER($J$1289),$B$1132=1),$J$1289,HLOOKUP(INDIRECT(ADDRESS(2,COLUMN())),OFFSET($K$2,0,0,ROW()-1,5),ROW()-1,FALSE))</f>
        <v>0.88200000000000001</v>
      </c>
      <c r="K170" t="str">
        <f>""</f>
        <v/>
      </c>
      <c r="L170">
        <f>0.800786987</f>
        <v>0.80078698699999995</v>
      </c>
      <c r="M170">
        <f>0.83</f>
        <v>0.83</v>
      </c>
      <c r="N170">
        <f>0.909</f>
        <v>0.90900000000000003</v>
      </c>
      <c r="O170">
        <f>0.882</f>
        <v>0.88200000000000001</v>
      </c>
    </row>
    <row r="171" spans="1:15" x14ac:dyDescent="0.25">
      <c r="A171" t="str">
        <f>"                    Beijing Yanjing Brewery Co Ltd"</f>
        <v xml:space="preserve">                    Beijing Yanjing Brewery Co Ltd</v>
      </c>
      <c r="B171" t="str">
        <f>"000729 CH Equity"</f>
        <v>000729 CH Equity</v>
      </c>
      <c r="C171" t="str">
        <f t="shared" si="18"/>
        <v>F0946</v>
      </c>
      <c r="D171" t="str">
        <f t="shared" si="19"/>
        <v>TOTAL_GHG_CO2_EMISSIONS</v>
      </c>
      <c r="E171" t="str">
        <f t="shared" si="20"/>
        <v>Dynamic</v>
      </c>
      <c r="F171">
        <f ca="1">IF(AND(ISNUMBER($F$1290),$B$1132=1),$F$1290,HLOOKUP(INDIRECT(ADDRESS(2,COLUMN())),OFFSET($K$2,0,0,ROW()-1,5),ROW()-1,FALSE))</f>
        <v>0.75310498100000001</v>
      </c>
      <c r="G171">
        <f ca="1">IF(AND(ISNUMBER($G$1290),$B$1132=1),$G$1290,HLOOKUP(INDIRECT(ADDRESS(2,COLUMN())),OFFSET($K$2,0,0,ROW()-1,5),ROW()-1,FALSE))</f>
        <v>0.783713989</v>
      </c>
      <c r="H171" t="str">
        <f ca="1">IF(AND(ISNUMBER($H$1290),$B$1132=1),$H$1290,HLOOKUP(INDIRECT(ADDRESS(2,COLUMN())),OFFSET($K$2,0,0,ROW()-1,5),ROW()-1,FALSE))</f>
        <v/>
      </c>
      <c r="I171" t="str">
        <f ca="1">IF(AND(ISNUMBER($I$1290),$B$1132=1),$I$1290,HLOOKUP(INDIRECT(ADDRESS(2,COLUMN())),OFFSET($K$2,0,0,ROW()-1,5),ROW()-1,FALSE))</f>
        <v/>
      </c>
      <c r="J171" t="str">
        <f ca="1">IF(AND(ISNUMBER($J$1290),$B$1132=1),$J$1290,HLOOKUP(INDIRECT(ADDRESS(2,COLUMN())),OFFSET($K$2,0,0,ROW()-1,5),ROW()-1,FALSE))</f>
        <v/>
      </c>
      <c r="K171">
        <f>0.753104981</f>
        <v>0.75310498100000001</v>
      </c>
      <c r="L171">
        <f>0.783713989</f>
        <v>0.783713989</v>
      </c>
      <c r="M171" t="str">
        <f>""</f>
        <v/>
      </c>
      <c r="N171" t="str">
        <f>""</f>
        <v/>
      </c>
      <c r="O171" t="str">
        <f>""</f>
        <v/>
      </c>
    </row>
    <row r="172" spans="1:15" x14ac:dyDescent="0.25">
      <c r="A172" t="str">
        <f>"                    Boston Beer Co Inc/The"</f>
        <v xml:space="preserve">                    Boston Beer Co Inc/The</v>
      </c>
      <c r="B172" t="str">
        <f>"SAM US Equity"</f>
        <v>SAM US Equity</v>
      </c>
      <c r="C172" t="str">
        <f t="shared" si="18"/>
        <v>F0946</v>
      </c>
      <c r="D172" t="str">
        <f t="shared" si="19"/>
        <v>TOTAL_GHG_CO2_EMISSIONS</v>
      </c>
      <c r="E172" t="str">
        <f t="shared" si="20"/>
        <v>Dynamic</v>
      </c>
      <c r="F172" t="str">
        <f ca="1">IF(AND(ISNUMBER($F$1291),$B$1132=1),$F$1291,HLOOKUP(INDIRECT(ADDRESS(2,COLUMN())),OFFSET($K$2,0,0,ROW()-1,5),ROW()-1,FALSE))</f>
        <v/>
      </c>
      <c r="G172" t="str">
        <f ca="1">IF(AND(ISNUMBER($G$1291),$B$1132=1),$G$1291,HLOOKUP(INDIRECT(ADDRESS(2,COLUMN())),OFFSET($K$2,0,0,ROW()-1,5),ROW()-1,FALSE))</f>
        <v/>
      </c>
      <c r="H172" t="str">
        <f ca="1">IF(AND(ISNUMBER($H$1291),$B$1132=1),$H$1291,HLOOKUP(INDIRECT(ADDRESS(2,COLUMN())),OFFSET($K$2,0,0,ROW()-1,5),ROW()-1,FALSE))</f>
        <v/>
      </c>
      <c r="I172" t="str">
        <f ca="1">IF(AND(ISNUMBER($I$1291),$B$1132=1),$I$1291,HLOOKUP(INDIRECT(ADDRESS(2,COLUMN())),OFFSET($K$2,0,0,ROW()-1,5),ROW()-1,FALSE))</f>
        <v/>
      </c>
      <c r="J172" t="str">
        <f ca="1">IF(AND(ISNUMBER($J$1291),$B$1132=1),$J$1291,HLOOKUP(INDIRECT(ADDRESS(2,COLUMN())),OFFSET($K$2,0,0,ROW()-1,5),ROW()-1,FALSE))</f>
        <v/>
      </c>
      <c r="K172" t="str">
        <f>""</f>
        <v/>
      </c>
      <c r="L172" t="str">
        <f>""</f>
        <v/>
      </c>
      <c r="M172" t="str">
        <f>""</f>
        <v/>
      </c>
      <c r="N172" t="str">
        <f>""</f>
        <v/>
      </c>
      <c r="O172" t="str">
        <f>""</f>
        <v/>
      </c>
    </row>
    <row r="173" spans="1:15" x14ac:dyDescent="0.25">
      <c r="A173" t="str">
        <f>"                    Britvic PLC"</f>
        <v xml:space="preserve">                    Britvic PLC</v>
      </c>
      <c r="B173" t="str">
        <f>"BVIC LN Equity"</f>
        <v>BVIC LN Equity</v>
      </c>
      <c r="C173" t="str">
        <f t="shared" si="18"/>
        <v>F0946</v>
      </c>
      <c r="D173" t="str">
        <f t="shared" si="19"/>
        <v>TOTAL_GHG_CO2_EMISSIONS</v>
      </c>
      <c r="E173" t="str">
        <f t="shared" si="20"/>
        <v>Dynamic</v>
      </c>
      <c r="F173">
        <f ca="1">IF(AND(ISNUMBER($F$1292),$B$1132=1),$F$1292,HLOOKUP(INDIRECT(ADDRESS(2,COLUMN())),OFFSET($K$2,0,0,ROW()-1,5),ROW()-1,FALSE))</f>
        <v>4.4019999999999997E-2</v>
      </c>
      <c r="G173">
        <f ca="1">IF(AND(ISNUMBER($G$1292),$B$1132=1),$G$1292,HLOOKUP(INDIRECT(ADDRESS(2,COLUMN())),OFFSET($K$2,0,0,ROW()-1,5),ROW()-1,FALSE))</f>
        <v>4.7160000000000001E-2</v>
      </c>
      <c r="H173">
        <f ca="1">IF(AND(ISNUMBER($H$1292),$B$1132=1),$H$1292,HLOOKUP(INDIRECT(ADDRESS(2,COLUMN())),OFFSET($K$2,0,0,ROW()-1,5),ROW()-1,FALSE))</f>
        <v>5.4800999000000003E-2</v>
      </c>
      <c r="I173">
        <f ca="1">IF(AND(ISNUMBER($I$1292),$B$1132=1),$I$1292,HLOOKUP(INDIRECT(ADDRESS(2,COLUMN())),OFFSET($K$2,0,0,ROW()-1,5),ROW()-1,FALSE))</f>
        <v>6.2825001000000005E-2</v>
      </c>
      <c r="J173">
        <f ca="1">IF(AND(ISNUMBER($J$1292),$B$1132=1),$J$1292,HLOOKUP(INDIRECT(ADDRESS(2,COLUMN())),OFFSET($K$2,0,0,ROW()-1,5),ROW()-1,FALSE))</f>
        <v>6.1131000999999997E-2</v>
      </c>
      <c r="K173">
        <f>0.04402</f>
        <v>4.4019999999999997E-2</v>
      </c>
      <c r="L173">
        <f>0.04716</f>
        <v>4.7160000000000001E-2</v>
      </c>
      <c r="M173">
        <f>0.054800999</f>
        <v>5.4800999000000003E-2</v>
      </c>
      <c r="N173">
        <f>0.062825001</f>
        <v>6.2825001000000005E-2</v>
      </c>
      <c r="O173">
        <f>0.061131001</f>
        <v>6.1131000999999997E-2</v>
      </c>
    </row>
    <row r="174" spans="1:15" x14ac:dyDescent="0.25">
      <c r="A174" t="str">
        <f>"                    Becle SAB de CV"</f>
        <v xml:space="preserve">                    Becle SAB de CV</v>
      </c>
      <c r="B174" t="str">
        <f>"CUERVO* MM Equity"</f>
        <v>CUERVO* MM Equity</v>
      </c>
      <c r="C174" t="str">
        <f t="shared" si="18"/>
        <v>F0946</v>
      </c>
      <c r="D174" t="str">
        <f t="shared" si="19"/>
        <v>TOTAL_GHG_CO2_EMISSIONS</v>
      </c>
      <c r="E174" t="str">
        <f t="shared" si="20"/>
        <v>Dynamic</v>
      </c>
      <c r="F174" t="str">
        <f ca="1">IF(AND(ISNUMBER($F$1293),$B$1132=1),$F$1293,HLOOKUP(INDIRECT(ADDRESS(2,COLUMN())),OFFSET($K$2,0,0,ROW()-1,5),ROW()-1,FALSE))</f>
        <v/>
      </c>
      <c r="G174" t="str">
        <f ca="1">IF(AND(ISNUMBER($G$1293),$B$1132=1),$G$1293,HLOOKUP(INDIRECT(ADDRESS(2,COLUMN())),OFFSET($K$2,0,0,ROW()-1,5),ROW()-1,FALSE))</f>
        <v/>
      </c>
      <c r="H174" t="str">
        <f ca="1">IF(AND(ISNUMBER($H$1293),$B$1132=1),$H$1293,HLOOKUP(INDIRECT(ADDRESS(2,COLUMN())),OFFSET($K$2,0,0,ROW()-1,5),ROW()-1,FALSE))</f>
        <v/>
      </c>
      <c r="I174" t="str">
        <f ca="1">IF(AND(ISNUMBER($I$1293),$B$1132=1),$I$1293,HLOOKUP(INDIRECT(ADDRESS(2,COLUMN())),OFFSET($K$2,0,0,ROW()-1,5),ROW()-1,FALSE))</f>
        <v/>
      </c>
      <c r="J174" t="str">
        <f ca="1">IF(AND(ISNUMBER($J$1293),$B$1132=1),$J$1293,HLOOKUP(INDIRECT(ADDRESS(2,COLUMN())),OFFSET($K$2,0,0,ROW()-1,5),ROW()-1,FALSE))</f>
        <v/>
      </c>
      <c r="K174" t="str">
        <f>""</f>
        <v/>
      </c>
      <c r="L174" t="str">
        <f>""</f>
        <v/>
      </c>
      <c r="M174" t="str">
        <f>""</f>
        <v/>
      </c>
      <c r="N174" t="str">
        <f>""</f>
        <v/>
      </c>
      <c r="O174" t="str">
        <f>""</f>
        <v/>
      </c>
    </row>
    <row r="175" spans="1:15" x14ac:dyDescent="0.25">
      <c r="A175" t="str">
        <f>"                    Brown-Forman Corp"</f>
        <v xml:space="preserve">                    Brown-Forman Corp</v>
      </c>
      <c r="B175" t="str">
        <f>"BF/B US Equity"</f>
        <v>BF/B US Equity</v>
      </c>
      <c r="C175" t="str">
        <f t="shared" si="18"/>
        <v>F0946</v>
      </c>
      <c r="D175" t="str">
        <f t="shared" si="19"/>
        <v>TOTAL_GHG_CO2_EMISSIONS</v>
      </c>
      <c r="E175" t="str">
        <f t="shared" si="20"/>
        <v>Dynamic</v>
      </c>
      <c r="F175" t="str">
        <f ca="1">IF(AND(ISNUMBER($F$1294),$B$1132=1),$F$1294,HLOOKUP(INDIRECT(ADDRESS(2,COLUMN())),OFFSET($K$2,0,0,ROW()-1,5),ROW()-1,FALSE))</f>
        <v/>
      </c>
      <c r="G175">
        <f ca="1">IF(AND(ISNUMBER($G$1294),$B$1132=1),$G$1294,HLOOKUP(INDIRECT(ADDRESS(2,COLUMN())),OFFSET($K$2,0,0,ROW()-1,5),ROW()-1,FALSE))</f>
        <v>0.111765999</v>
      </c>
      <c r="H175">
        <f ca="1">IF(AND(ISNUMBER($H$1294),$B$1132=1),$H$1294,HLOOKUP(INDIRECT(ADDRESS(2,COLUMN())),OFFSET($K$2,0,0,ROW()-1,5),ROW()-1,FALSE))</f>
        <v>0.15652200299999999</v>
      </c>
      <c r="I175">
        <f ca="1">IF(AND(ISNUMBER($I$1294),$B$1132=1),$I$1294,HLOOKUP(INDIRECT(ADDRESS(2,COLUMN())),OFFSET($K$2,0,0,ROW()-1,5),ROW()-1,FALSE))</f>
        <v>0.18690000000000001</v>
      </c>
      <c r="J175">
        <f ca="1">IF(AND(ISNUMBER($J$1294),$B$1132=1),$J$1294,HLOOKUP(INDIRECT(ADDRESS(2,COLUMN())),OFFSET($K$2,0,0,ROW()-1,5),ROW()-1,FALSE))</f>
        <v>0.184675003</v>
      </c>
      <c r="K175" t="str">
        <f>""</f>
        <v/>
      </c>
      <c r="L175">
        <f>0.111765999</f>
        <v>0.111765999</v>
      </c>
      <c r="M175">
        <f>0.156522003</f>
        <v>0.15652200299999999</v>
      </c>
      <c r="N175">
        <f>0.1869</f>
        <v>0.18690000000000001</v>
      </c>
      <c r="O175">
        <f>0.184675003</f>
        <v>0.184675003</v>
      </c>
    </row>
    <row r="176" spans="1:15" x14ac:dyDescent="0.25">
      <c r="A176" t="str">
        <f>"                    Celsius Holdings Inc"</f>
        <v xml:space="preserve">                    Celsius Holdings Inc</v>
      </c>
      <c r="B176" t="str">
        <f>"CELH US Equity"</f>
        <v>CELH US Equity</v>
      </c>
      <c r="C176" t="str">
        <f t="shared" si="18"/>
        <v>F0946</v>
      </c>
      <c r="D176" t="str">
        <f t="shared" si="19"/>
        <v>TOTAL_GHG_CO2_EMISSIONS</v>
      </c>
      <c r="E176" t="str">
        <f t="shared" si="20"/>
        <v>Dynamic</v>
      </c>
      <c r="F176" t="str">
        <f ca="1">IF(AND(ISNUMBER($F$1295),$B$1132=1),$F$1295,HLOOKUP(INDIRECT(ADDRESS(2,COLUMN())),OFFSET($K$2,0,0,ROW()-1,5),ROW()-1,FALSE))</f>
        <v/>
      </c>
      <c r="G176" t="str">
        <f ca="1">IF(AND(ISNUMBER($G$1295),$B$1132=1),$G$1295,HLOOKUP(INDIRECT(ADDRESS(2,COLUMN())),OFFSET($K$2,0,0,ROW()-1,5),ROW()-1,FALSE))</f>
        <v/>
      </c>
      <c r="H176" t="str">
        <f ca="1">IF(AND(ISNUMBER($H$1295),$B$1132=1),$H$1295,HLOOKUP(INDIRECT(ADDRESS(2,COLUMN())),OFFSET($K$2,0,0,ROW()-1,5),ROW()-1,FALSE))</f>
        <v/>
      </c>
      <c r="I176" t="str">
        <f ca="1">IF(AND(ISNUMBER($I$1295),$B$1132=1),$I$1295,HLOOKUP(INDIRECT(ADDRESS(2,COLUMN())),OFFSET($K$2,0,0,ROW()-1,5),ROW()-1,FALSE))</f>
        <v/>
      </c>
      <c r="J176" t="str">
        <f ca="1">IF(AND(ISNUMBER($J$1295),$B$1132=1),$J$1295,HLOOKUP(INDIRECT(ADDRESS(2,COLUMN())),OFFSET($K$2,0,0,ROW()-1,5),ROW()-1,FALSE))</f>
        <v/>
      </c>
      <c r="K176" t="str">
        <f>""</f>
        <v/>
      </c>
      <c r="L176" t="str">
        <f>""</f>
        <v/>
      </c>
      <c r="M176" t="str">
        <f>""</f>
        <v/>
      </c>
      <c r="N176" t="str">
        <f>""</f>
        <v/>
      </c>
      <c r="O176" t="str">
        <f>""</f>
        <v/>
      </c>
    </row>
    <row r="177" spans="1:15" x14ac:dyDescent="0.25">
      <c r="A177" t="str">
        <f>"                    China Foods Ltd"</f>
        <v xml:space="preserve">                    China Foods Ltd</v>
      </c>
      <c r="B177" t="str">
        <f>"506 HK Equity"</f>
        <v>506 HK Equity</v>
      </c>
      <c r="C177" t="str">
        <f t="shared" si="18"/>
        <v>F0946</v>
      </c>
      <c r="D177" t="str">
        <f t="shared" si="19"/>
        <v>TOTAL_GHG_CO2_EMISSIONS</v>
      </c>
      <c r="E177" t="str">
        <f t="shared" si="20"/>
        <v>Dynamic</v>
      </c>
      <c r="F177">
        <f ca="1">IF(AND(ISNUMBER($F$1296),$B$1132=1),$F$1296,HLOOKUP(INDIRECT(ADDRESS(2,COLUMN())),OFFSET($K$2,0,0,ROW()-1,5),ROW()-1,FALSE))</f>
        <v>0.25936499000000002</v>
      </c>
      <c r="G177">
        <f ca="1">IF(AND(ISNUMBER($G$1296),$B$1132=1),$G$1296,HLOOKUP(INDIRECT(ADDRESS(2,COLUMN())),OFFSET($K$2,0,0,ROW()-1,5),ROW()-1,FALSE))</f>
        <v>0.27636898799999998</v>
      </c>
      <c r="H177">
        <f ca="1">IF(AND(ISNUMBER($H$1296),$B$1132=1),$H$1296,HLOOKUP(INDIRECT(ADDRESS(2,COLUMN())),OFFSET($K$2,0,0,ROW()-1,5),ROW()-1,FALSE))</f>
        <v>0.29399999999999998</v>
      </c>
      <c r="I177">
        <f ca="1">IF(AND(ISNUMBER($I$1296),$B$1132=1),$I$1296,HLOOKUP(INDIRECT(ADDRESS(2,COLUMN())),OFFSET($K$2,0,0,ROW()-1,5),ROW()-1,FALSE))</f>
        <v>2.4E-2</v>
      </c>
      <c r="J177">
        <f ca="1">IF(AND(ISNUMBER($J$1296),$B$1132=1),$J$1296,HLOOKUP(INDIRECT(ADDRESS(2,COLUMN())),OFFSET($K$2,0,0,ROW()-1,5),ROW()-1,FALSE))</f>
        <v>2.3E-2</v>
      </c>
      <c r="K177">
        <f>0.25936499</f>
        <v>0.25936499000000002</v>
      </c>
      <c r="L177">
        <f>0.276368988</f>
        <v>0.27636898799999998</v>
      </c>
      <c r="M177">
        <f>0.294</f>
        <v>0.29399999999999998</v>
      </c>
      <c r="N177">
        <f>0.024</f>
        <v>2.4E-2</v>
      </c>
      <c r="O177">
        <f>0.023</f>
        <v>2.3E-2</v>
      </c>
    </row>
    <row r="178" spans="1:15" x14ac:dyDescent="0.25">
      <c r="A178" t="str">
        <f>"                    Cia Cervecerias Unidas SA"</f>
        <v xml:space="preserve">                    Cia Cervecerias Unidas SA</v>
      </c>
      <c r="B178" t="str">
        <f>"CCU CI Equity"</f>
        <v>CCU CI Equity</v>
      </c>
      <c r="C178" t="str">
        <f t="shared" si="18"/>
        <v>F0946</v>
      </c>
      <c r="D178" t="str">
        <f t="shared" si="19"/>
        <v>TOTAL_GHG_CO2_EMISSIONS</v>
      </c>
      <c r="E178" t="str">
        <f t="shared" si="20"/>
        <v>Dynamic</v>
      </c>
      <c r="F178" t="str">
        <f ca="1">IF(AND(ISNUMBER($F$1297),$B$1132=1),$F$1297,HLOOKUP(INDIRECT(ADDRESS(2,COLUMN())),OFFSET($K$2,0,0,ROW()-1,5),ROW()-1,FALSE))</f>
        <v/>
      </c>
      <c r="G178">
        <f ca="1">IF(AND(ISNUMBER($G$1297),$B$1132=1),$G$1297,HLOOKUP(INDIRECT(ADDRESS(2,COLUMN())),OFFSET($K$2,0,0,ROW()-1,5),ROW()-1,FALSE))</f>
        <v>0.19025799600000001</v>
      </c>
      <c r="H178">
        <f ca="1">IF(AND(ISNUMBER($H$1297),$B$1132=1),$H$1297,HLOOKUP(INDIRECT(ADDRESS(2,COLUMN())),OFFSET($K$2,0,0,ROW()-1,5),ROW()-1,FALSE))</f>
        <v>0.161074997</v>
      </c>
      <c r="I178">
        <f ca="1">IF(AND(ISNUMBER($I$1297),$B$1132=1),$I$1297,HLOOKUP(INDIRECT(ADDRESS(2,COLUMN())),OFFSET($K$2,0,0,ROW()-1,5),ROW()-1,FALSE))</f>
        <v>0.16026100200000001</v>
      </c>
      <c r="J178">
        <f ca="1">IF(AND(ISNUMBER($J$1297),$B$1132=1),$J$1297,HLOOKUP(INDIRECT(ADDRESS(2,COLUMN())),OFFSET($K$2,0,0,ROW()-1,5),ROW()-1,FALSE))</f>
        <v>0.17102499400000001</v>
      </c>
      <c r="K178" t="str">
        <f>""</f>
        <v/>
      </c>
      <c r="L178">
        <f>0.190257996</f>
        <v>0.19025799600000001</v>
      </c>
      <c r="M178">
        <f>0.161074997</f>
        <v>0.161074997</v>
      </c>
      <c r="N178">
        <f>0.160261002</f>
        <v>0.16026100200000001</v>
      </c>
      <c r="O178">
        <f>0.171024994</f>
        <v>0.17102499400000001</v>
      </c>
    </row>
    <row r="179" spans="1:15" x14ac:dyDescent="0.25">
      <c r="A179" t="str">
        <f>"                    Coca-Cola Bottlers Japan Holdi"</f>
        <v xml:space="preserve">                    Coca-Cola Bottlers Japan Holdi</v>
      </c>
      <c r="B179" t="str">
        <f>"2579 JP Equity"</f>
        <v>2579 JP Equity</v>
      </c>
      <c r="C179" t="str">
        <f t="shared" si="18"/>
        <v>F0946</v>
      </c>
      <c r="D179" t="str">
        <f t="shared" si="19"/>
        <v>TOTAL_GHG_CO2_EMISSIONS</v>
      </c>
      <c r="E179" t="str">
        <f t="shared" si="20"/>
        <v>Dynamic</v>
      </c>
      <c r="F179" t="str">
        <f ca="1">IF(AND(ISNUMBER($F$1298),$B$1132=1),$F$1298,HLOOKUP(INDIRECT(ADDRESS(2,COLUMN())),OFFSET($K$2,0,0,ROW()-1,5),ROW()-1,FALSE))</f>
        <v/>
      </c>
      <c r="G179">
        <f ca="1">IF(AND(ISNUMBER($G$1298),$B$1132=1),$G$1298,HLOOKUP(INDIRECT(ADDRESS(2,COLUMN())),OFFSET($K$2,0,0,ROW()-1,5),ROW()-1,FALSE))</f>
        <v>0.35571398900000001</v>
      </c>
      <c r="H179">
        <f ca="1">IF(AND(ISNUMBER($H$1298),$B$1132=1),$H$1298,HLOOKUP(INDIRECT(ADDRESS(2,COLUMN())),OFFSET($K$2,0,0,ROW()-1,5),ROW()-1,FALSE))</f>
        <v>0.81699999999999995</v>
      </c>
      <c r="I179">
        <f ca="1">IF(AND(ISNUMBER($I$1298),$B$1132=1),$I$1298,HLOOKUP(INDIRECT(ADDRESS(2,COLUMN())),OFFSET($K$2,0,0,ROW()-1,5),ROW()-1,FALSE))</f>
        <v>0.79500000000000004</v>
      </c>
      <c r="J179">
        <f ca="1">IF(AND(ISNUMBER($J$1298),$B$1132=1),$J$1298,HLOOKUP(INDIRECT(ADDRESS(2,COLUMN())),OFFSET($K$2,0,0,ROW()-1,5),ROW()-1,FALSE))</f>
        <v>0.41594601399999998</v>
      </c>
      <c r="K179" t="str">
        <f>""</f>
        <v/>
      </c>
      <c r="L179">
        <f>0.355713989</f>
        <v>0.35571398900000001</v>
      </c>
      <c r="M179">
        <f>0.817</f>
        <v>0.81699999999999995</v>
      </c>
      <c r="N179">
        <f>0.795</f>
        <v>0.79500000000000004</v>
      </c>
      <c r="O179">
        <f>0.415946014</f>
        <v>0.41594601399999998</v>
      </c>
    </row>
    <row r="180" spans="1:15" x14ac:dyDescent="0.25">
      <c r="A180" t="str">
        <f>"                    Coca-Cola Co/The"</f>
        <v xml:space="preserve">                    Coca-Cola Co/The</v>
      </c>
      <c r="B180" t="str">
        <f>"KO US Equity"</f>
        <v>KO US Equity</v>
      </c>
      <c r="C180" t="str">
        <f t="shared" si="18"/>
        <v>F0946</v>
      </c>
      <c r="D180" t="str">
        <f t="shared" si="19"/>
        <v>TOTAL_GHG_CO2_EMISSIONS</v>
      </c>
      <c r="E180" t="str">
        <f t="shared" si="20"/>
        <v>Dynamic</v>
      </c>
      <c r="F180" t="str">
        <f ca="1">IF(AND(ISNUMBER($F$1299),$B$1132=1),$F$1299,HLOOKUP(INDIRECT(ADDRESS(2,COLUMN())),OFFSET($K$2,0,0,ROW()-1,5),ROW()-1,FALSE))</f>
        <v/>
      </c>
      <c r="G180">
        <f ca="1">IF(AND(ISNUMBER($G$1299),$B$1132=1),$G$1299,HLOOKUP(INDIRECT(ADDRESS(2,COLUMN())),OFFSET($K$2,0,0,ROW()-1,5),ROW()-1,FALSE))</f>
        <v>1.4253399659999999</v>
      </c>
      <c r="H180">
        <f ca="1">IF(AND(ISNUMBER($H$1299),$B$1132=1),$H$1299,HLOOKUP(INDIRECT(ADDRESS(2,COLUMN())),OFFSET($K$2,0,0,ROW()-1,5),ROW()-1,FALSE))</f>
        <v>1.596170044</v>
      </c>
      <c r="I180">
        <f ca="1">IF(AND(ISNUMBER($I$1299),$B$1132=1),$I$1299,HLOOKUP(INDIRECT(ADDRESS(2,COLUMN())),OFFSET($K$2,0,0,ROW()-1,5),ROW()-1,FALSE))</f>
        <v>1.5559399410000001</v>
      </c>
      <c r="J180">
        <f ca="1">IF(AND(ISNUMBER($J$1299),$B$1132=1),$J$1299,HLOOKUP(INDIRECT(ADDRESS(2,COLUMN())),OFFSET($K$2,0,0,ROW()-1,5),ROW()-1,FALSE))</f>
        <v>1.508069946</v>
      </c>
      <c r="K180" t="str">
        <f>""</f>
        <v/>
      </c>
      <c r="L180">
        <f>1.425339966</f>
        <v>1.4253399659999999</v>
      </c>
      <c r="M180">
        <f>1.596170044</f>
        <v>1.596170044</v>
      </c>
      <c r="N180">
        <f>1.555939941</f>
        <v>1.5559399410000001</v>
      </c>
      <c r="O180">
        <f>1.508069946</f>
        <v>1.508069946</v>
      </c>
    </row>
    <row r="181" spans="1:15" x14ac:dyDescent="0.25">
      <c r="A181" t="str">
        <f>"                    Coca-Cola Consolidated Inc"</f>
        <v xml:space="preserve">                    Coca-Cola Consolidated Inc</v>
      </c>
      <c r="B181" t="str">
        <f>"COKE US Equity"</f>
        <v>COKE US Equity</v>
      </c>
      <c r="C181" t="str">
        <f t="shared" si="18"/>
        <v>F0946</v>
      </c>
      <c r="D181" t="str">
        <f t="shared" si="19"/>
        <v>TOTAL_GHG_CO2_EMISSIONS</v>
      </c>
      <c r="E181" t="str">
        <f t="shared" si="20"/>
        <v>Dynamic</v>
      </c>
      <c r="F181" t="str">
        <f ca="1">IF(AND(ISNUMBER($F$1300),$B$1132=1),$F$1300,HLOOKUP(INDIRECT(ADDRESS(2,COLUMN())),OFFSET($K$2,0,0,ROW()-1,5),ROW()-1,FALSE))</f>
        <v/>
      </c>
      <c r="G181" t="str">
        <f ca="1">IF(AND(ISNUMBER($G$1300),$B$1132=1),$G$1300,HLOOKUP(INDIRECT(ADDRESS(2,COLUMN())),OFFSET($K$2,0,0,ROW()-1,5),ROW()-1,FALSE))</f>
        <v/>
      </c>
      <c r="H181" t="str">
        <f ca="1">IF(AND(ISNUMBER($H$1300),$B$1132=1),$H$1300,HLOOKUP(INDIRECT(ADDRESS(2,COLUMN())),OFFSET($K$2,0,0,ROW()-1,5),ROW()-1,FALSE))</f>
        <v/>
      </c>
      <c r="I181" t="str">
        <f ca="1">IF(AND(ISNUMBER($I$1300),$B$1132=1),$I$1300,HLOOKUP(INDIRECT(ADDRESS(2,COLUMN())),OFFSET($K$2,0,0,ROW()-1,5),ROW()-1,FALSE))</f>
        <v/>
      </c>
      <c r="J181" t="str">
        <f ca="1">IF(AND(ISNUMBER($J$1300),$B$1132=1),$J$1300,HLOOKUP(INDIRECT(ADDRESS(2,COLUMN())),OFFSET($K$2,0,0,ROW()-1,5),ROW()-1,FALSE))</f>
        <v/>
      </c>
      <c r="K181" t="str">
        <f>""</f>
        <v/>
      </c>
      <c r="L181" t="str">
        <f>""</f>
        <v/>
      </c>
      <c r="M181" t="str">
        <f>""</f>
        <v/>
      </c>
      <c r="N181" t="str">
        <f>""</f>
        <v/>
      </c>
      <c r="O181" t="str">
        <f>""</f>
        <v/>
      </c>
    </row>
    <row r="182" spans="1:15" x14ac:dyDescent="0.25">
      <c r="A182" t="str">
        <f>"                    Coca-Cola Icecek AS"</f>
        <v xml:space="preserve">                    Coca-Cola Icecek AS</v>
      </c>
      <c r="B182" t="str">
        <f>"CCOLA TI Equity"</f>
        <v>CCOLA TI Equity</v>
      </c>
      <c r="C182" t="str">
        <f t="shared" si="18"/>
        <v>F0946</v>
      </c>
      <c r="D182" t="str">
        <f t="shared" si="19"/>
        <v>TOTAL_GHG_CO2_EMISSIONS</v>
      </c>
      <c r="E182" t="str">
        <f t="shared" si="20"/>
        <v>Dynamic</v>
      </c>
      <c r="F182" t="str">
        <f ca="1">IF(AND(ISNUMBER($F$1301),$B$1132=1),$F$1301,HLOOKUP(INDIRECT(ADDRESS(2,COLUMN())),OFFSET($K$2,0,0,ROW()-1,5),ROW()-1,FALSE))</f>
        <v/>
      </c>
      <c r="G182">
        <f ca="1">IF(AND(ISNUMBER($G$1301),$B$1132=1),$G$1301,HLOOKUP(INDIRECT(ADDRESS(2,COLUMN())),OFFSET($K$2,0,0,ROW()-1,5),ROW()-1,FALSE))</f>
        <v>0.34375799600000001</v>
      </c>
      <c r="H182">
        <f ca="1">IF(AND(ISNUMBER($H$1301),$B$1132=1),$H$1301,HLOOKUP(INDIRECT(ADDRESS(2,COLUMN())),OFFSET($K$2,0,0,ROW()-1,5),ROW()-1,FALSE))</f>
        <v>0.25967001299999998</v>
      </c>
      <c r="I182">
        <f ca="1">IF(AND(ISNUMBER($I$1301),$B$1132=1),$I$1301,HLOOKUP(INDIRECT(ADDRESS(2,COLUMN())),OFFSET($K$2,0,0,ROW()-1,5),ROW()-1,FALSE))</f>
        <v>0.25501400800000001</v>
      </c>
      <c r="J182">
        <f ca="1">IF(AND(ISNUMBER($J$1301),$B$1132=1),$J$1301,HLOOKUP(INDIRECT(ADDRESS(2,COLUMN())),OFFSET($K$2,0,0,ROW()-1,5),ROW()-1,FALSE))</f>
        <v>0.236014999</v>
      </c>
      <c r="K182" t="str">
        <f>""</f>
        <v/>
      </c>
      <c r="L182">
        <f>0.343757996</f>
        <v>0.34375799600000001</v>
      </c>
      <c r="M182">
        <f>0.259670013</f>
        <v>0.25967001299999998</v>
      </c>
      <c r="N182">
        <f>0.255014008</f>
        <v>0.25501400800000001</v>
      </c>
      <c r="O182">
        <f>0.236014999</f>
        <v>0.236014999</v>
      </c>
    </row>
    <row r="183" spans="1:15" x14ac:dyDescent="0.25">
      <c r="A183" t="str">
        <f>"                    Constellation Brands Inc"</f>
        <v xml:space="preserve">                    Constellation Brands Inc</v>
      </c>
      <c r="B183" t="str">
        <f>"STZ US Equity"</f>
        <v>STZ US Equity</v>
      </c>
      <c r="C183" t="str">
        <f t="shared" si="18"/>
        <v>F0946</v>
      </c>
      <c r="D183" t="str">
        <f t="shared" si="19"/>
        <v>TOTAL_GHG_CO2_EMISSIONS</v>
      </c>
      <c r="E183" t="str">
        <f t="shared" si="20"/>
        <v>Dynamic</v>
      </c>
      <c r="F183" t="str">
        <f ca="1">IF(AND(ISNUMBER($F$1302),$B$1132=1),$F$1302,HLOOKUP(INDIRECT(ADDRESS(2,COLUMN())),OFFSET($K$2,0,0,ROW()-1,5),ROW()-1,FALSE))</f>
        <v/>
      </c>
      <c r="G183" t="str">
        <f ca="1">IF(AND(ISNUMBER($G$1302),$B$1132=1),$G$1302,HLOOKUP(INDIRECT(ADDRESS(2,COLUMN())),OFFSET($K$2,0,0,ROW()-1,5),ROW()-1,FALSE))</f>
        <v/>
      </c>
      <c r="H183">
        <f ca="1">IF(AND(ISNUMBER($H$1302),$B$1132=1),$H$1302,HLOOKUP(INDIRECT(ADDRESS(2,COLUMN())),OFFSET($K$2,0,0,ROW()-1,5),ROW()-1,FALSE))</f>
        <v>0.34747399899999998</v>
      </c>
      <c r="I183">
        <f ca="1">IF(AND(ISNUMBER($I$1302),$B$1132=1),$I$1302,HLOOKUP(INDIRECT(ADDRESS(2,COLUMN())),OFFSET($K$2,0,0,ROW()-1,5),ROW()-1,FALSE))</f>
        <v>0.374861999</v>
      </c>
      <c r="J183">
        <f ca="1">IF(AND(ISNUMBER($J$1302),$B$1132=1),$J$1302,HLOOKUP(INDIRECT(ADDRESS(2,COLUMN())),OFFSET($K$2,0,0,ROW()-1,5),ROW()-1,FALSE))</f>
        <v>0.34791198699999998</v>
      </c>
      <c r="K183" t="str">
        <f>""</f>
        <v/>
      </c>
      <c r="L183" t="str">
        <f>""</f>
        <v/>
      </c>
      <c r="M183">
        <f>0.347473999</f>
        <v>0.34747399899999998</v>
      </c>
      <c r="N183">
        <f>0.374861999</f>
        <v>0.374861999</v>
      </c>
      <c r="O183">
        <f>0.347911987</f>
        <v>0.34791198699999998</v>
      </c>
    </row>
    <row r="184" spans="1:15" x14ac:dyDescent="0.25">
      <c r="A184" t="str">
        <f>"                    Carlsberg AS"</f>
        <v xml:space="preserve">                    Carlsberg AS</v>
      </c>
      <c r="B184" t="str">
        <f>"CARLB DC Equity"</f>
        <v>CARLB DC Equity</v>
      </c>
      <c r="C184" t="str">
        <f t="shared" si="18"/>
        <v>F0946</v>
      </c>
      <c r="D184" t="str">
        <f t="shared" si="19"/>
        <v>TOTAL_GHG_CO2_EMISSIONS</v>
      </c>
      <c r="E184" t="str">
        <f t="shared" si="20"/>
        <v>Dynamic</v>
      </c>
      <c r="F184" t="str">
        <f ca="1">IF(AND(ISNUMBER($F$1303),$B$1132=1),$F$1303,HLOOKUP(INDIRECT(ADDRESS(2,COLUMN())),OFFSET($K$2,0,0,ROW()-1,5),ROW()-1,FALSE))</f>
        <v/>
      </c>
      <c r="G184" t="str">
        <f ca="1">IF(AND(ISNUMBER($G$1303),$B$1132=1),$G$1303,HLOOKUP(INDIRECT(ADDRESS(2,COLUMN())),OFFSET($K$2,0,0,ROW()-1,5),ROW()-1,FALSE))</f>
        <v/>
      </c>
      <c r="H184">
        <f ca="1">IF(AND(ISNUMBER($H$1303),$B$1132=1),$H$1303,HLOOKUP(INDIRECT(ADDRESS(2,COLUMN())),OFFSET($K$2,0,0,ROW()-1,5),ROW()-1,FALSE))</f>
        <v>0.72699999999999998</v>
      </c>
      <c r="I184">
        <f ca="1">IF(AND(ISNUMBER($I$1303),$B$1132=1),$I$1303,HLOOKUP(INDIRECT(ADDRESS(2,COLUMN())),OFFSET($K$2,0,0,ROW()-1,5),ROW()-1,FALSE))</f>
        <v>0.76600000000000001</v>
      </c>
      <c r="J184">
        <f ca="1">IF(AND(ISNUMBER($J$1303),$B$1132=1),$J$1303,HLOOKUP(INDIRECT(ADDRESS(2,COLUMN())),OFFSET($K$2,0,0,ROW()-1,5),ROW()-1,FALSE))</f>
        <v>0.80100000000000005</v>
      </c>
      <c r="K184" t="str">
        <f>""</f>
        <v/>
      </c>
      <c r="L184" t="str">
        <f>""</f>
        <v/>
      </c>
      <c r="M184">
        <f>0.727</f>
        <v>0.72699999999999998</v>
      </c>
      <c r="N184">
        <f>0.766</f>
        <v>0.76600000000000001</v>
      </c>
      <c r="O184">
        <f>0.801</f>
        <v>0.80100000000000005</v>
      </c>
    </row>
    <row r="185" spans="1:15" x14ac:dyDescent="0.25">
      <c r="A185" t="str">
        <f>"                    Coca-Cola Europacific Partners"</f>
        <v xml:space="preserve">                    Coca-Cola Europacific Partners</v>
      </c>
      <c r="B185" t="str">
        <f>"CCEP US Equity"</f>
        <v>CCEP US Equity</v>
      </c>
      <c r="C185" t="str">
        <f t="shared" si="18"/>
        <v>F0946</v>
      </c>
      <c r="D185" t="str">
        <f t="shared" si="19"/>
        <v>TOTAL_GHG_CO2_EMISSIONS</v>
      </c>
      <c r="E185" t="str">
        <f t="shared" si="20"/>
        <v>Dynamic</v>
      </c>
      <c r="F185">
        <f ca="1">IF(AND(ISNUMBER($F$1304),$B$1132=1),$F$1304,HLOOKUP(INDIRECT(ADDRESS(2,COLUMN())),OFFSET($K$2,0,0,ROW()-1,5),ROW()-1,FALSE))</f>
        <v>0.59950097700000005</v>
      </c>
      <c r="G185">
        <f ca="1">IF(AND(ISNUMBER($G$1304),$B$1132=1),$G$1304,HLOOKUP(INDIRECT(ADDRESS(2,COLUMN())),OFFSET($K$2,0,0,ROW()-1,5),ROW()-1,FALSE))</f>
        <v>0.51201599099999995</v>
      </c>
      <c r="H185">
        <f ca="1">IF(AND(ISNUMBER($H$1304),$B$1132=1),$H$1304,HLOOKUP(INDIRECT(ADDRESS(2,COLUMN())),OFFSET($K$2,0,0,ROW()-1,5),ROW()-1,FALSE))</f>
        <v>0.34092999299999999</v>
      </c>
      <c r="I185">
        <f ca="1">IF(AND(ISNUMBER($I$1304),$B$1132=1),$I$1304,HLOOKUP(INDIRECT(ADDRESS(2,COLUMN())),OFFSET($K$2,0,0,ROW()-1,5),ROW()-1,FALSE))</f>
        <v>0.40801699800000002</v>
      </c>
      <c r="J185">
        <f ca="1">IF(AND(ISNUMBER($J$1304),$B$1132=1),$J$1304,HLOOKUP(INDIRECT(ADDRESS(2,COLUMN())),OFFSET($K$2,0,0,ROW()-1,5),ROW()-1,FALSE))</f>
        <v>0.40603698700000002</v>
      </c>
      <c r="K185">
        <f>0.599500977</f>
        <v>0.59950097700000005</v>
      </c>
      <c r="L185">
        <f>0.512015991</f>
        <v>0.51201599099999995</v>
      </c>
      <c r="M185">
        <f>0.340929993</f>
        <v>0.34092999299999999</v>
      </c>
      <c r="N185">
        <f>0.408016998</f>
        <v>0.40801699800000002</v>
      </c>
      <c r="O185">
        <f>0.406036987</f>
        <v>0.40603698700000002</v>
      </c>
    </row>
    <row r="186" spans="1:15" x14ac:dyDescent="0.25">
      <c r="A186" t="str">
        <f>"                    Coca-Cola Femsa SAB de CV"</f>
        <v xml:space="preserve">                    Coca-Cola Femsa SAB de CV</v>
      </c>
      <c r="B186" t="str">
        <f>"KOFUBL MM Equity"</f>
        <v>KOFUBL MM Equity</v>
      </c>
      <c r="C186" t="str">
        <f t="shared" si="18"/>
        <v>F0946</v>
      </c>
      <c r="D186" t="str">
        <f t="shared" si="19"/>
        <v>TOTAL_GHG_CO2_EMISSIONS</v>
      </c>
      <c r="E186" t="str">
        <f t="shared" si="20"/>
        <v>Dynamic</v>
      </c>
      <c r="F186" t="str">
        <f ca="1">IF(AND(ISNUMBER($F$1305),$B$1132=1),$F$1305,HLOOKUP(INDIRECT(ADDRESS(2,COLUMN())),OFFSET($K$2,0,0,ROW()-1,5),ROW()-1,FALSE))</f>
        <v/>
      </c>
      <c r="G186">
        <f ca="1">IF(AND(ISNUMBER($G$1305),$B$1132=1),$G$1305,HLOOKUP(INDIRECT(ADDRESS(2,COLUMN())),OFFSET($K$2,0,0,ROW()-1,5),ROW()-1,FALSE))</f>
        <v>0.12790100099999999</v>
      </c>
      <c r="H186">
        <f ca="1">IF(AND(ISNUMBER($H$1305),$B$1132=1),$H$1305,HLOOKUP(INDIRECT(ADDRESS(2,COLUMN())),OFFSET($K$2,0,0,ROW()-1,5),ROW()-1,FALSE))</f>
        <v>0.242119995</v>
      </c>
      <c r="I186">
        <f ca="1">IF(AND(ISNUMBER($I$1305),$B$1132=1),$I$1305,HLOOKUP(INDIRECT(ADDRESS(2,COLUMN())),OFFSET($K$2,0,0,ROW()-1,5),ROW()-1,FALSE))</f>
        <v>0.255300003</v>
      </c>
      <c r="J186">
        <f ca="1">IF(AND(ISNUMBER($J$1305),$B$1132=1),$J$1305,HLOOKUP(INDIRECT(ADDRESS(2,COLUMN())),OFFSET($K$2,0,0,ROW()-1,5),ROW()-1,FALSE))</f>
        <v>0.23250000000000001</v>
      </c>
      <c r="K186" t="str">
        <f>""</f>
        <v/>
      </c>
      <c r="L186">
        <f>0.127901001</f>
        <v>0.12790100099999999</v>
      </c>
      <c r="M186">
        <f>0.242119995</f>
        <v>0.242119995</v>
      </c>
      <c r="N186">
        <f>0.255300003</f>
        <v>0.255300003</v>
      </c>
      <c r="O186">
        <f>0.2325</f>
        <v>0.23250000000000001</v>
      </c>
    </row>
    <row r="187" spans="1:15" x14ac:dyDescent="0.25">
      <c r="A187" t="str">
        <f>"                    Coca-Cola HBC AG"</f>
        <v xml:space="preserve">                    Coca-Cola HBC AG</v>
      </c>
      <c r="B187" t="str">
        <f>"CCH LN Equity"</f>
        <v>CCH LN Equity</v>
      </c>
      <c r="C187" t="str">
        <f t="shared" si="18"/>
        <v>F0946</v>
      </c>
      <c r="D187" t="str">
        <f t="shared" si="19"/>
        <v>TOTAL_GHG_CO2_EMISSIONS</v>
      </c>
      <c r="E187" t="str">
        <f t="shared" si="20"/>
        <v>Dynamic</v>
      </c>
      <c r="F187" t="str">
        <f ca="1">IF(AND(ISNUMBER($F$1306),$B$1132=1),$F$1306,HLOOKUP(INDIRECT(ADDRESS(2,COLUMN())),OFFSET($K$2,0,0,ROW()-1,5),ROW()-1,FALSE))</f>
        <v/>
      </c>
      <c r="G187">
        <f ca="1">IF(AND(ISNUMBER($G$1306),$B$1132=1),$G$1306,HLOOKUP(INDIRECT(ADDRESS(2,COLUMN())),OFFSET($K$2,0,0,ROW()-1,5),ROW()-1,FALSE))</f>
        <v>0.62185101300000001</v>
      </c>
      <c r="H187">
        <f ca="1">IF(AND(ISNUMBER($H$1306),$B$1132=1),$H$1306,HLOOKUP(INDIRECT(ADDRESS(2,COLUMN())),OFFSET($K$2,0,0,ROW()-1,5),ROW()-1,FALSE))</f>
        <v>0.54789501900000004</v>
      </c>
      <c r="I187">
        <f ca="1">IF(AND(ISNUMBER($I$1306),$B$1132=1),$I$1306,HLOOKUP(INDIRECT(ADDRESS(2,COLUMN())),OFFSET($K$2,0,0,ROW()-1,5),ROW()-1,FALSE))</f>
        <v>0.58005297899999997</v>
      </c>
      <c r="J187">
        <f ca="1">IF(AND(ISNUMBER($J$1306),$B$1132=1),$J$1306,HLOOKUP(INDIRECT(ADDRESS(2,COLUMN())),OFFSET($K$2,0,0,ROW()-1,5),ROW()-1,FALSE))</f>
        <v>0.626049988</v>
      </c>
      <c r="K187" t="str">
        <f>""</f>
        <v/>
      </c>
      <c r="L187">
        <f>0.621851013</f>
        <v>0.62185101300000001</v>
      </c>
      <c r="M187">
        <f>0.547895019</f>
        <v>0.54789501900000004</v>
      </c>
      <c r="N187">
        <f>0.580052979</f>
        <v>0.58005297899999997</v>
      </c>
      <c r="O187">
        <f>0.626049988</f>
        <v>0.626049988</v>
      </c>
    </row>
    <row r="188" spans="1:15" x14ac:dyDescent="0.25">
      <c r="A188" t="str">
        <f>"                    Crimson Wine Group Ltd"</f>
        <v xml:space="preserve">                    Crimson Wine Group Ltd</v>
      </c>
      <c r="B188" t="str">
        <f>"CWGL US Equity"</f>
        <v>CWGL US Equity</v>
      </c>
      <c r="C188" t="str">
        <f t="shared" si="18"/>
        <v>F0946</v>
      </c>
      <c r="D188" t="str">
        <f t="shared" si="19"/>
        <v>TOTAL_GHG_CO2_EMISSIONS</v>
      </c>
      <c r="E188" t="str">
        <f t="shared" si="20"/>
        <v>Dynamic</v>
      </c>
      <c r="F188" t="str">
        <f ca="1">IF(AND(ISNUMBER($F$1307),$B$1132=1),$F$1307,HLOOKUP(INDIRECT(ADDRESS(2,COLUMN())),OFFSET($K$2,0,0,ROW()-1,5),ROW()-1,FALSE))</f>
        <v/>
      </c>
      <c r="G188" t="str">
        <f ca="1">IF(AND(ISNUMBER($G$1307),$B$1132=1),$G$1307,HLOOKUP(INDIRECT(ADDRESS(2,COLUMN())),OFFSET($K$2,0,0,ROW()-1,5),ROW()-1,FALSE))</f>
        <v/>
      </c>
      <c r="H188" t="str">
        <f ca="1">IF(AND(ISNUMBER($H$1307),$B$1132=1),$H$1307,HLOOKUP(INDIRECT(ADDRESS(2,COLUMN())),OFFSET($K$2,0,0,ROW()-1,5),ROW()-1,FALSE))</f>
        <v/>
      </c>
      <c r="I188" t="str">
        <f ca="1">IF(AND(ISNUMBER($I$1307),$B$1132=1),$I$1307,HLOOKUP(INDIRECT(ADDRESS(2,COLUMN())),OFFSET($K$2,0,0,ROW()-1,5),ROW()-1,FALSE))</f>
        <v/>
      </c>
      <c r="J188" t="str">
        <f ca="1">IF(AND(ISNUMBER($J$1307),$B$1132=1),$J$1307,HLOOKUP(INDIRECT(ADDRESS(2,COLUMN())),OFFSET($K$2,0,0,ROW()-1,5),ROW()-1,FALSE))</f>
        <v/>
      </c>
      <c r="K188" t="str">
        <f>""</f>
        <v/>
      </c>
      <c r="L188" t="str">
        <f>""</f>
        <v/>
      </c>
      <c r="M188" t="str">
        <f>""</f>
        <v/>
      </c>
      <c r="N188" t="str">
        <f>""</f>
        <v/>
      </c>
      <c r="O188" t="str">
        <f>""</f>
        <v/>
      </c>
    </row>
    <row r="189" spans="1:15" x14ac:dyDescent="0.25">
      <c r="A189" t="str">
        <f>"                    Davide Campari-Milano NV"</f>
        <v xml:space="preserve">                    Davide Campari-Milano NV</v>
      </c>
      <c r="B189" t="str">
        <f>"CPR IM Equity"</f>
        <v>CPR IM Equity</v>
      </c>
      <c r="C189" t="str">
        <f t="shared" si="18"/>
        <v>F0946</v>
      </c>
      <c r="D189" t="str">
        <f t="shared" si="19"/>
        <v>TOTAL_GHG_CO2_EMISSIONS</v>
      </c>
      <c r="E189" t="str">
        <f t="shared" si="20"/>
        <v>Dynamic</v>
      </c>
      <c r="F189">
        <f ca="1">IF(AND(ISNUMBER($F$1308),$B$1132=1),$F$1308,HLOOKUP(INDIRECT(ADDRESS(2,COLUMN())),OFFSET($K$2,0,0,ROW()-1,5),ROW()-1,FALSE))</f>
        <v>8.9803000999999993E-2</v>
      </c>
      <c r="G189">
        <f ca="1">IF(AND(ISNUMBER($G$1308),$B$1132=1),$G$1308,HLOOKUP(INDIRECT(ADDRESS(2,COLUMN())),OFFSET($K$2,0,0,ROW()-1,5),ROW()-1,FALSE))</f>
        <v>9.3539000999999997E-2</v>
      </c>
      <c r="H189">
        <f ca="1">IF(AND(ISNUMBER($H$1308),$B$1132=1),$H$1308,HLOOKUP(INDIRECT(ADDRESS(2,COLUMN())),OFFSET($K$2,0,0,ROW()-1,5),ROW()-1,FALSE))</f>
        <v>8.5267997999999998E-2</v>
      </c>
      <c r="I189">
        <f ca="1">IF(AND(ISNUMBER($I$1308),$B$1132=1),$I$1308,HLOOKUP(INDIRECT(ADDRESS(2,COLUMN())),OFFSET($K$2,0,0,ROW()-1,5),ROW()-1,FALSE))</f>
        <v>9.6665001E-2</v>
      </c>
      <c r="J189">
        <f ca="1">IF(AND(ISNUMBER($J$1308),$B$1132=1),$J$1308,HLOOKUP(INDIRECT(ADDRESS(2,COLUMN())),OFFSET($K$2,0,0,ROW()-1,5),ROW()-1,FALSE))</f>
        <v>0.101172997</v>
      </c>
      <c r="K189">
        <f>0.089803001</f>
        <v>8.9803000999999993E-2</v>
      </c>
      <c r="L189">
        <f>0.093539001</f>
        <v>9.3539000999999997E-2</v>
      </c>
      <c r="M189">
        <f>0.085267998</f>
        <v>8.5267997999999998E-2</v>
      </c>
      <c r="N189">
        <f>0.096665001</f>
        <v>9.6665001E-2</v>
      </c>
      <c r="O189">
        <f>0.101172997</f>
        <v>0.101172997</v>
      </c>
    </row>
    <row r="190" spans="1:15" x14ac:dyDescent="0.25">
      <c r="A190" t="str">
        <f>"                    Diageo PLC"</f>
        <v xml:space="preserve">                    Diageo PLC</v>
      </c>
      <c r="B190" t="str">
        <f>"DGE LN Equity"</f>
        <v>DGE LN Equity</v>
      </c>
      <c r="C190" t="str">
        <f t="shared" si="18"/>
        <v>F0946</v>
      </c>
      <c r="D190" t="str">
        <f t="shared" si="19"/>
        <v>TOTAL_GHG_CO2_EMISSIONS</v>
      </c>
      <c r="E190" t="str">
        <f t="shared" si="20"/>
        <v>Dynamic</v>
      </c>
      <c r="F190" t="str">
        <f ca="1">IF(AND(ISNUMBER($F$1309),$B$1132=1),$F$1309,HLOOKUP(INDIRECT(ADDRESS(2,COLUMN())),OFFSET($K$2,0,0,ROW()-1,5),ROW()-1,FALSE))</f>
        <v/>
      </c>
      <c r="G190">
        <f ca="1">IF(AND(ISNUMBER($G$1309),$B$1132=1),$G$1309,HLOOKUP(INDIRECT(ADDRESS(2,COLUMN())),OFFSET($K$2,0,0,ROW()-1,5),ROW()-1,FALSE))</f>
        <v>0.71226001000000005</v>
      </c>
      <c r="H190">
        <f ca="1">IF(AND(ISNUMBER($H$1309),$B$1132=1),$H$1309,HLOOKUP(INDIRECT(ADDRESS(2,COLUMN())),OFFSET($K$2,0,0,ROW()-1,5),ROW()-1,FALSE))</f>
        <v>0.58753002899999995</v>
      </c>
      <c r="I190">
        <f ca="1">IF(AND(ISNUMBER($I$1309),$B$1132=1),$I$1309,HLOOKUP(INDIRECT(ADDRESS(2,COLUMN())),OFFSET($K$2,0,0,ROW()-1,5),ROW()-1,FALSE))</f>
        <v>0.71098498499999996</v>
      </c>
      <c r="J190">
        <f ca="1">IF(AND(ISNUMBER($J$1309),$B$1132=1),$J$1309,HLOOKUP(INDIRECT(ADDRESS(2,COLUMN())),OFFSET($K$2,0,0,ROW()-1,5),ROW()-1,FALSE))</f>
        <v>0.67668798799999996</v>
      </c>
      <c r="K190" t="str">
        <f>""</f>
        <v/>
      </c>
      <c r="L190">
        <f>0.71226001</f>
        <v>0.71226001000000005</v>
      </c>
      <c r="M190">
        <f>0.587530029</f>
        <v>0.58753002899999995</v>
      </c>
      <c r="N190">
        <f>0.710984985</f>
        <v>0.71098498499999996</v>
      </c>
      <c r="O190">
        <f>0.676687988</f>
        <v>0.67668798799999996</v>
      </c>
    </row>
    <row r="191" spans="1:15" x14ac:dyDescent="0.25">
      <c r="A191" t="str">
        <f>"                    Duckhorn Portfolio Inc/The"</f>
        <v xml:space="preserve">                    Duckhorn Portfolio Inc/The</v>
      </c>
      <c r="B191" t="str">
        <f>"NAPA US Equity"</f>
        <v>NAPA US Equity</v>
      </c>
      <c r="C191" t="str">
        <f t="shared" si="18"/>
        <v>F0946</v>
      </c>
      <c r="D191" t="str">
        <f t="shared" si="19"/>
        <v>TOTAL_GHG_CO2_EMISSIONS</v>
      </c>
      <c r="E191" t="str">
        <f t="shared" si="20"/>
        <v>Dynamic</v>
      </c>
      <c r="F191" t="str">
        <f ca="1">IF(AND(ISNUMBER($F$1310),$B$1132=1),$F$1310,HLOOKUP(INDIRECT(ADDRESS(2,COLUMN())),OFFSET($K$2,0,0,ROW()-1,5),ROW()-1,FALSE))</f>
        <v/>
      </c>
      <c r="G191" t="str">
        <f ca="1">IF(AND(ISNUMBER($G$1310),$B$1132=1),$G$1310,HLOOKUP(INDIRECT(ADDRESS(2,COLUMN())),OFFSET($K$2,0,0,ROW()-1,5),ROW()-1,FALSE))</f>
        <v/>
      </c>
      <c r="H191" t="str">
        <f ca="1">IF(AND(ISNUMBER($H$1310),$B$1132=1),$H$1310,HLOOKUP(INDIRECT(ADDRESS(2,COLUMN())),OFFSET($K$2,0,0,ROW()-1,5),ROW()-1,FALSE))</f>
        <v/>
      </c>
      <c r="I191" t="str">
        <f ca="1">IF(AND(ISNUMBER($I$1310),$B$1132=1),$I$1310,HLOOKUP(INDIRECT(ADDRESS(2,COLUMN())),OFFSET($K$2,0,0,ROW()-1,5),ROW()-1,FALSE))</f>
        <v/>
      </c>
      <c r="J191" t="str">
        <f ca="1">IF(AND(ISNUMBER($J$1310),$B$1132=1),$J$1310,HLOOKUP(INDIRECT(ADDRESS(2,COLUMN())),OFFSET($K$2,0,0,ROW()-1,5),ROW()-1,FALSE))</f>
        <v/>
      </c>
      <c r="K191" t="str">
        <f>""</f>
        <v/>
      </c>
      <c r="L191" t="str">
        <f>""</f>
        <v/>
      </c>
      <c r="M191" t="str">
        <f>""</f>
        <v/>
      </c>
      <c r="N191" t="str">
        <f>""</f>
        <v/>
      </c>
      <c r="O191" t="str">
        <f>""</f>
        <v/>
      </c>
    </row>
    <row r="192" spans="1:15" x14ac:dyDescent="0.25">
      <c r="A192" t="str">
        <f>"                    DyDo Group Holdings Inc"</f>
        <v xml:space="preserve">                    DyDo Group Holdings Inc</v>
      </c>
      <c r="B192" t="str">
        <f>"2590 JP Equity"</f>
        <v>2590 JP Equity</v>
      </c>
      <c r="C192" t="str">
        <f t="shared" si="18"/>
        <v>F0946</v>
      </c>
      <c r="D192" t="str">
        <f t="shared" si="19"/>
        <v>TOTAL_GHG_CO2_EMISSIONS</v>
      </c>
      <c r="E192" t="str">
        <f t="shared" si="20"/>
        <v>Dynamic</v>
      </c>
      <c r="F192" t="str">
        <f ca="1">IF(AND(ISNUMBER($F$1311),$B$1132=1),$F$1311,HLOOKUP(INDIRECT(ADDRESS(2,COLUMN())),OFFSET($K$2,0,0,ROW()-1,5),ROW()-1,FALSE))</f>
        <v/>
      </c>
      <c r="G192">
        <f ca="1">IF(AND(ISNUMBER($G$1311),$B$1132=1),$G$1311,HLOOKUP(INDIRECT(ADDRESS(2,COLUMN())),OFFSET($K$2,0,0,ROW()-1,5),ROW()-1,FALSE))</f>
        <v>2.5075001E-2</v>
      </c>
      <c r="H192" t="str">
        <f ca="1">IF(AND(ISNUMBER($H$1311),$B$1132=1),$H$1311,HLOOKUP(INDIRECT(ADDRESS(2,COLUMN())),OFFSET($K$2,0,0,ROW()-1,5),ROW()-1,FALSE))</f>
        <v/>
      </c>
      <c r="I192" t="str">
        <f ca="1">IF(AND(ISNUMBER($I$1311),$B$1132=1),$I$1311,HLOOKUP(INDIRECT(ADDRESS(2,COLUMN())),OFFSET($K$2,0,0,ROW()-1,5),ROW()-1,FALSE))</f>
        <v/>
      </c>
      <c r="J192" t="str">
        <f ca="1">IF(AND(ISNUMBER($J$1311),$B$1132=1),$J$1311,HLOOKUP(INDIRECT(ADDRESS(2,COLUMN())),OFFSET($K$2,0,0,ROW()-1,5),ROW()-1,FALSE))</f>
        <v/>
      </c>
      <c r="K192" t="str">
        <f>""</f>
        <v/>
      </c>
      <c r="L192">
        <f>0.025075001</f>
        <v>2.5075001E-2</v>
      </c>
      <c r="M192" t="str">
        <f>""</f>
        <v/>
      </c>
      <c r="N192" t="str">
        <f>""</f>
        <v/>
      </c>
      <c r="O192" t="str">
        <f>""</f>
        <v/>
      </c>
    </row>
    <row r="193" spans="1:15" x14ac:dyDescent="0.25">
      <c r="A193" t="str">
        <f>"                    East African Breweries PLC"</f>
        <v xml:space="preserve">                    East African Breweries PLC</v>
      </c>
      <c r="B193" t="str">
        <f>"EABL KN Equity"</f>
        <v>EABL KN Equity</v>
      </c>
      <c r="C193" t="str">
        <f t="shared" si="18"/>
        <v>F0946</v>
      </c>
      <c r="D193" t="str">
        <f t="shared" si="19"/>
        <v>TOTAL_GHG_CO2_EMISSIONS</v>
      </c>
      <c r="E193" t="str">
        <f t="shared" si="20"/>
        <v>Dynamic</v>
      </c>
      <c r="F193" t="str">
        <f ca="1">IF(AND(ISNUMBER($F$1312),$B$1132=1),$F$1312,HLOOKUP(INDIRECT(ADDRESS(2,COLUMN())),OFFSET($K$2,0,0,ROW()-1,5),ROW()-1,FALSE))</f>
        <v/>
      </c>
      <c r="G193">
        <f ca="1">IF(AND(ISNUMBER($G$1312),$B$1132=1),$G$1312,HLOOKUP(INDIRECT(ADDRESS(2,COLUMN())),OFFSET($K$2,0,0,ROW()-1,5),ROW()-1,FALSE))</f>
        <v>6.3400001999999997E-2</v>
      </c>
      <c r="H193" t="str">
        <f ca="1">IF(AND(ISNUMBER($H$1312),$B$1132=1),$H$1312,HLOOKUP(INDIRECT(ADDRESS(2,COLUMN())),OFFSET($K$2,0,0,ROW()-1,5),ROW()-1,FALSE))</f>
        <v/>
      </c>
      <c r="I193" t="str">
        <f ca="1">IF(AND(ISNUMBER($I$1312),$B$1132=1),$I$1312,HLOOKUP(INDIRECT(ADDRESS(2,COLUMN())),OFFSET($K$2,0,0,ROW()-1,5),ROW()-1,FALSE))</f>
        <v/>
      </c>
      <c r="J193" t="str">
        <f ca="1">IF(AND(ISNUMBER($J$1312),$B$1132=1),$J$1312,HLOOKUP(INDIRECT(ADDRESS(2,COLUMN())),OFFSET($K$2,0,0,ROW()-1,5),ROW()-1,FALSE))</f>
        <v/>
      </c>
      <c r="K193" t="str">
        <f>""</f>
        <v/>
      </c>
      <c r="L193">
        <f>0.063400002</f>
        <v>6.3400001999999997E-2</v>
      </c>
      <c r="M193" t="str">
        <f>""</f>
        <v/>
      </c>
      <c r="N193" t="str">
        <f>""</f>
        <v/>
      </c>
      <c r="O193" t="str">
        <f>""</f>
        <v/>
      </c>
    </row>
    <row r="194" spans="1:15" x14ac:dyDescent="0.25">
      <c r="A194" t="str">
        <f>"                    Embotelladora Andina SA"</f>
        <v xml:space="preserve">                    Embotelladora Andina SA</v>
      </c>
      <c r="B194" t="str">
        <f>"ANDINAA CI Equity"</f>
        <v>ANDINAA CI Equity</v>
      </c>
      <c r="C194" t="str">
        <f t="shared" si="18"/>
        <v>F0946</v>
      </c>
      <c r="D194" t="str">
        <f t="shared" si="19"/>
        <v>TOTAL_GHG_CO2_EMISSIONS</v>
      </c>
      <c r="E194" t="str">
        <f t="shared" si="20"/>
        <v>Dynamic</v>
      </c>
      <c r="F194">
        <f ca="1">IF(AND(ISNUMBER($F$1313),$B$1132=1),$F$1313,HLOOKUP(INDIRECT(ADDRESS(2,COLUMN())),OFFSET($K$2,0,0,ROW()-1,5),ROW()-1,FALSE))</f>
        <v>0.105170998</v>
      </c>
      <c r="G194">
        <f ca="1">IF(AND(ISNUMBER($G$1313),$B$1132=1),$G$1313,HLOOKUP(INDIRECT(ADDRESS(2,COLUMN())),OFFSET($K$2,0,0,ROW()-1,5),ROW()-1,FALSE))</f>
        <v>0.10961699699999999</v>
      </c>
      <c r="H194">
        <f ca="1">IF(AND(ISNUMBER($H$1313),$B$1132=1),$H$1313,HLOOKUP(INDIRECT(ADDRESS(2,COLUMN())),OFFSET($K$2,0,0,ROW()-1,5),ROW()-1,FALSE))</f>
        <v>0.30387500000000001</v>
      </c>
      <c r="I194">
        <f ca="1">IF(AND(ISNUMBER($I$1313),$B$1132=1),$I$1313,HLOOKUP(INDIRECT(ADDRESS(2,COLUMN())),OFFSET($K$2,0,0,ROW()-1,5),ROW()-1,FALSE))</f>
        <v>0.101391998</v>
      </c>
      <c r="J194">
        <f ca="1">IF(AND(ISNUMBER($J$1313),$B$1132=1),$J$1313,HLOOKUP(INDIRECT(ADDRESS(2,COLUMN())),OFFSET($K$2,0,0,ROW()-1,5),ROW()-1,FALSE))</f>
        <v>0.11125</v>
      </c>
      <c r="K194">
        <f>0.105170998</f>
        <v>0.105170998</v>
      </c>
      <c r="L194">
        <f>0.109616997</f>
        <v>0.10961699699999999</v>
      </c>
      <c r="M194">
        <f>0.303875</f>
        <v>0.30387500000000001</v>
      </c>
      <c r="N194">
        <f>0.101391998</f>
        <v>0.101391998</v>
      </c>
      <c r="O194">
        <f>0.11125</f>
        <v>0.11125</v>
      </c>
    </row>
    <row r="195" spans="1:15" x14ac:dyDescent="0.25">
      <c r="A195" t="str">
        <f>"                    Florida Ice &amp; Farm Co SA"</f>
        <v xml:space="preserve">                    Florida Ice &amp; Farm Co SA</v>
      </c>
      <c r="B195" t="str">
        <f>"FIFCOCA CR Equity"</f>
        <v>FIFCOCA CR Equity</v>
      </c>
      <c r="C195" t="str">
        <f t="shared" si="18"/>
        <v>F0946</v>
      </c>
      <c r="D195" t="str">
        <f t="shared" si="19"/>
        <v>TOTAL_GHG_CO2_EMISSIONS</v>
      </c>
      <c r="E195" t="str">
        <f t="shared" si="20"/>
        <v>Dynamic</v>
      </c>
      <c r="F195" t="str">
        <f ca="1">IF(AND(ISNUMBER($F$1314),$B$1132=1),$F$1314,HLOOKUP(INDIRECT(ADDRESS(2,COLUMN())),OFFSET($K$2,0,0,ROW()-1,5),ROW()-1,FALSE))</f>
        <v/>
      </c>
      <c r="G195" t="str">
        <f ca="1">IF(AND(ISNUMBER($G$1314),$B$1132=1),$G$1314,HLOOKUP(INDIRECT(ADDRESS(2,COLUMN())),OFFSET($K$2,0,0,ROW()-1,5),ROW()-1,FALSE))</f>
        <v/>
      </c>
      <c r="H195" t="str">
        <f ca="1">IF(AND(ISNUMBER($H$1314),$B$1132=1),$H$1314,HLOOKUP(INDIRECT(ADDRESS(2,COLUMN())),OFFSET($K$2,0,0,ROW()-1,5),ROW()-1,FALSE))</f>
        <v/>
      </c>
      <c r="I195" t="str">
        <f ca="1">IF(AND(ISNUMBER($I$1314),$B$1132=1),$I$1314,HLOOKUP(INDIRECT(ADDRESS(2,COLUMN())),OFFSET($K$2,0,0,ROW()-1,5),ROW()-1,FALSE))</f>
        <v/>
      </c>
      <c r="J195" t="str">
        <f ca="1">IF(AND(ISNUMBER($J$1314),$B$1132=1),$J$1314,HLOOKUP(INDIRECT(ADDRESS(2,COLUMN())),OFFSET($K$2,0,0,ROW()-1,5),ROW()-1,FALSE))</f>
        <v/>
      </c>
      <c r="K195" t="str">
        <f>""</f>
        <v/>
      </c>
      <c r="L195" t="str">
        <f>""</f>
        <v/>
      </c>
      <c r="M195" t="str">
        <f>""</f>
        <v/>
      </c>
      <c r="N195" t="str">
        <f>""</f>
        <v/>
      </c>
      <c r="O195" t="str">
        <f>""</f>
        <v/>
      </c>
    </row>
    <row r="196" spans="1:15" x14ac:dyDescent="0.25">
      <c r="A196" t="str">
        <f>"                    Fomento Economico Mexicano SAB"</f>
        <v xml:space="preserve">                    Fomento Economico Mexicano SAB</v>
      </c>
      <c r="B196" t="str">
        <f>"FEMSAUBD MM Equity"</f>
        <v>FEMSAUBD MM Equity</v>
      </c>
      <c r="C196" t="str">
        <f t="shared" si="18"/>
        <v>F0946</v>
      </c>
      <c r="D196" t="str">
        <f t="shared" si="19"/>
        <v>TOTAL_GHG_CO2_EMISSIONS</v>
      </c>
      <c r="E196" t="str">
        <f t="shared" si="20"/>
        <v>Dynamic</v>
      </c>
      <c r="F196">
        <f ca="1">IF(AND(ISNUMBER($F$1315),$B$1132=1),$F$1315,HLOOKUP(INDIRECT(ADDRESS(2,COLUMN())),OFFSET($K$2,0,0,ROW()-1,5),ROW()-1,FALSE))</f>
        <v>1.7327099610000001</v>
      </c>
      <c r="G196">
        <f ca="1">IF(AND(ISNUMBER($G$1315),$B$1132=1),$G$1315,HLOOKUP(INDIRECT(ADDRESS(2,COLUMN())),OFFSET($K$2,0,0,ROW()-1,5),ROW()-1,FALSE))</f>
        <v>1.1780699459999999</v>
      </c>
      <c r="H196">
        <f ca="1">IF(AND(ISNUMBER($H$1315),$B$1132=1),$H$1315,HLOOKUP(INDIRECT(ADDRESS(2,COLUMN())),OFFSET($K$2,0,0,ROW()-1,5),ROW()-1,FALSE))</f>
        <v>0.94846398899999995</v>
      </c>
      <c r="I196">
        <f ca="1">IF(AND(ISNUMBER($I$1315),$B$1132=1),$I$1315,HLOOKUP(INDIRECT(ADDRESS(2,COLUMN())),OFFSET($K$2,0,0,ROW()-1,5),ROW()-1,FALSE))</f>
        <v>0.90109802299999997</v>
      </c>
      <c r="J196">
        <f ca="1">IF(AND(ISNUMBER($J$1315),$B$1132=1),$J$1315,HLOOKUP(INDIRECT(ADDRESS(2,COLUMN())),OFFSET($K$2,0,0,ROW()-1,5),ROW()-1,FALSE))</f>
        <v>1.0042399900000001</v>
      </c>
      <c r="K196">
        <f>1.732709961</f>
        <v>1.7327099610000001</v>
      </c>
      <c r="L196">
        <f>1.178069946</f>
        <v>1.1780699459999999</v>
      </c>
      <c r="M196">
        <f>0.948463989</f>
        <v>0.94846398899999995</v>
      </c>
      <c r="N196">
        <f>0.901098023</f>
        <v>0.90109802299999997</v>
      </c>
      <c r="O196">
        <f>1.00423999</f>
        <v>1.0042399900000001</v>
      </c>
    </row>
    <row r="197" spans="1:15" x14ac:dyDescent="0.25">
      <c r="A197" t="str">
        <f>"                    Farmer Bros Co"</f>
        <v xml:space="preserve">                    Farmer Bros Co</v>
      </c>
      <c r="B197" t="str">
        <f>"FARM US Equity"</f>
        <v>FARM US Equity</v>
      </c>
      <c r="C197" t="str">
        <f t="shared" ref="C197:C228" si="21">"F0946"</f>
        <v>F0946</v>
      </c>
      <c r="D197" t="str">
        <f t="shared" ref="D197:D228" si="22">"TOTAL_GHG_CO2_EMISSIONS"</f>
        <v>TOTAL_GHG_CO2_EMISSIONS</v>
      </c>
      <c r="E197" t="str">
        <f t="shared" ref="E197:E228" si="23">"Dynamic"</f>
        <v>Dynamic</v>
      </c>
      <c r="F197" t="str">
        <f ca="1">IF(AND(ISNUMBER($F$1316),$B$1132=1),$F$1316,HLOOKUP(INDIRECT(ADDRESS(2,COLUMN())),OFFSET($K$2,0,0,ROW()-1,5),ROW()-1,FALSE))</f>
        <v/>
      </c>
      <c r="G197" t="str">
        <f ca="1">IF(AND(ISNUMBER($G$1316),$B$1132=1),$G$1316,HLOOKUP(INDIRECT(ADDRESS(2,COLUMN())),OFFSET($K$2,0,0,ROW()-1,5),ROW()-1,FALSE))</f>
        <v/>
      </c>
      <c r="H197">
        <f ca="1">IF(AND(ISNUMBER($H$1316),$B$1132=1),$H$1316,HLOOKUP(INDIRECT(ADDRESS(2,COLUMN())),OFFSET($K$2,0,0,ROW()-1,5),ROW()-1,FALSE))</f>
        <v>2.9503999999999999E-2</v>
      </c>
      <c r="I197">
        <f ca="1">IF(AND(ISNUMBER($I$1316),$B$1132=1),$I$1316,HLOOKUP(INDIRECT(ADDRESS(2,COLUMN())),OFFSET($K$2,0,0,ROW()-1,5),ROW()-1,FALSE))</f>
        <v>2.4481800000000001E-2</v>
      </c>
      <c r="J197">
        <f ca="1">IF(AND(ISNUMBER($J$1316),$B$1132=1),$J$1316,HLOOKUP(INDIRECT(ADDRESS(2,COLUMN())),OFFSET($K$2,0,0,ROW()-1,5),ROW()-1,FALSE))</f>
        <v>2.8689301E-2</v>
      </c>
      <c r="K197" t="str">
        <f>""</f>
        <v/>
      </c>
      <c r="L197" t="str">
        <f>""</f>
        <v/>
      </c>
      <c r="M197">
        <f>0.029504</f>
        <v>2.9503999999999999E-2</v>
      </c>
      <c r="N197">
        <f>0.0244818</f>
        <v>2.4481800000000001E-2</v>
      </c>
      <c r="O197">
        <f>0.028689301</f>
        <v>2.8689301E-2</v>
      </c>
    </row>
    <row r="198" spans="1:15" x14ac:dyDescent="0.25">
      <c r="A198" t="str">
        <f>"                    Fevertree Drinks PLC"</f>
        <v xml:space="preserve">                    Fevertree Drinks PLC</v>
      </c>
      <c r="B198" t="str">
        <f>"FEVR LN Equity"</f>
        <v>FEVR LN Equity</v>
      </c>
      <c r="C198" t="str">
        <f t="shared" si="21"/>
        <v>F0946</v>
      </c>
      <c r="D198" t="str">
        <f t="shared" si="22"/>
        <v>TOTAL_GHG_CO2_EMISSIONS</v>
      </c>
      <c r="E198" t="str">
        <f t="shared" si="23"/>
        <v>Dynamic</v>
      </c>
      <c r="F198">
        <f ca="1">IF(AND(ISNUMBER($F$1317),$B$1132=1),$F$1317,HLOOKUP(INDIRECT(ADDRESS(2,COLUMN())),OFFSET($K$2,0,0,ROW()-1,5),ROW()-1,FALSE))</f>
        <v>1.4922000000000001E-4</v>
      </c>
      <c r="G198" t="str">
        <f ca="1">IF(AND(ISNUMBER($G$1317),$B$1132=1),$G$1317,HLOOKUP(INDIRECT(ADDRESS(2,COLUMN())),OFFSET($K$2,0,0,ROW()-1,5),ROW()-1,FALSE))</f>
        <v/>
      </c>
      <c r="H198" t="str">
        <f ca="1">IF(AND(ISNUMBER($H$1317),$B$1132=1),$H$1317,HLOOKUP(INDIRECT(ADDRESS(2,COLUMN())),OFFSET($K$2,0,0,ROW()-1,5),ROW()-1,FALSE))</f>
        <v/>
      </c>
      <c r="I198" t="str">
        <f ca="1">IF(AND(ISNUMBER($I$1317),$B$1132=1),$I$1317,HLOOKUP(INDIRECT(ADDRESS(2,COLUMN())),OFFSET($K$2,0,0,ROW()-1,5),ROW()-1,FALSE))</f>
        <v/>
      </c>
      <c r="J198" t="str">
        <f ca="1">IF(AND(ISNUMBER($J$1317),$B$1132=1),$J$1317,HLOOKUP(INDIRECT(ADDRESS(2,COLUMN())),OFFSET($K$2,0,0,ROW()-1,5),ROW()-1,FALSE))</f>
        <v/>
      </c>
      <c r="K198">
        <f>0.00014922</f>
        <v>1.4922000000000001E-4</v>
      </c>
      <c r="L198" t="str">
        <f>""</f>
        <v/>
      </c>
      <c r="M198" t="str">
        <f>""</f>
        <v/>
      </c>
      <c r="N198" t="str">
        <f>""</f>
        <v/>
      </c>
      <c r="O198" t="str">
        <f>""</f>
        <v/>
      </c>
    </row>
    <row r="199" spans="1:15" x14ac:dyDescent="0.25">
      <c r="A199" t="str">
        <f>"                    Guangzhou Zhujiang Brewery Co"</f>
        <v xml:space="preserve">                    Guangzhou Zhujiang Brewery Co</v>
      </c>
      <c r="B199" t="str">
        <f>"002461 CH Equity"</f>
        <v>002461 CH Equity</v>
      </c>
      <c r="C199" t="str">
        <f t="shared" si="21"/>
        <v>F0946</v>
      </c>
      <c r="D199" t="str">
        <f t="shared" si="22"/>
        <v>TOTAL_GHG_CO2_EMISSIONS</v>
      </c>
      <c r="E199" t="str">
        <f t="shared" si="23"/>
        <v>Dynamic</v>
      </c>
      <c r="F199" t="str">
        <f ca="1">IF(AND(ISNUMBER($F$1318),$B$1132=1),$F$1318,HLOOKUP(INDIRECT(ADDRESS(2,COLUMN())),OFFSET($K$2,0,0,ROW()-1,5),ROW()-1,FALSE))</f>
        <v/>
      </c>
      <c r="G199" t="str">
        <f ca="1">IF(AND(ISNUMBER($G$1318),$B$1132=1),$G$1318,HLOOKUP(INDIRECT(ADDRESS(2,COLUMN())),OFFSET($K$2,0,0,ROW()-1,5),ROW()-1,FALSE))</f>
        <v/>
      </c>
      <c r="H199" t="str">
        <f ca="1">IF(AND(ISNUMBER($H$1318),$B$1132=1),$H$1318,HLOOKUP(INDIRECT(ADDRESS(2,COLUMN())),OFFSET($K$2,0,0,ROW()-1,5),ROW()-1,FALSE))</f>
        <v/>
      </c>
      <c r="I199" t="str">
        <f ca="1">IF(AND(ISNUMBER($I$1318),$B$1132=1),$I$1318,HLOOKUP(INDIRECT(ADDRESS(2,COLUMN())),OFFSET($K$2,0,0,ROW()-1,5),ROW()-1,FALSE))</f>
        <v/>
      </c>
      <c r="J199" t="str">
        <f ca="1">IF(AND(ISNUMBER($J$1318),$B$1132=1),$J$1318,HLOOKUP(INDIRECT(ADDRESS(2,COLUMN())),OFFSET($K$2,0,0,ROW()-1,5),ROW()-1,FALSE))</f>
        <v/>
      </c>
      <c r="K199" t="str">
        <f>""</f>
        <v/>
      </c>
      <c r="L199" t="str">
        <f>""</f>
        <v/>
      </c>
      <c r="M199" t="str">
        <f>""</f>
        <v/>
      </c>
      <c r="N199" t="str">
        <f>""</f>
        <v/>
      </c>
      <c r="O199" t="str">
        <f>""</f>
        <v/>
      </c>
    </row>
    <row r="200" spans="1:15" x14ac:dyDescent="0.25">
      <c r="A200" t="str">
        <f>"                    Heineken Holding NV"</f>
        <v xml:space="preserve">                    Heineken Holding NV</v>
      </c>
      <c r="B200" t="str">
        <f>"HEIO NA Equity"</f>
        <v>HEIO NA Equity</v>
      </c>
      <c r="C200" t="str">
        <f t="shared" si="21"/>
        <v>F0946</v>
      </c>
      <c r="D200" t="str">
        <f t="shared" si="22"/>
        <v>TOTAL_GHG_CO2_EMISSIONS</v>
      </c>
      <c r="E200" t="str">
        <f t="shared" si="23"/>
        <v>Dynamic</v>
      </c>
      <c r="F200" t="str">
        <f ca="1">IF(AND(ISNUMBER($F$1319),$B$1132=1),$F$1319,HLOOKUP(INDIRECT(ADDRESS(2,COLUMN())),OFFSET($K$2,0,0,ROW()-1,5),ROW()-1,FALSE))</f>
        <v/>
      </c>
      <c r="G200" t="str">
        <f ca="1">IF(AND(ISNUMBER($G$1319),$B$1132=1),$G$1319,HLOOKUP(INDIRECT(ADDRESS(2,COLUMN())),OFFSET($K$2,0,0,ROW()-1,5),ROW()-1,FALSE))</f>
        <v/>
      </c>
      <c r="H200" t="str">
        <f ca="1">IF(AND(ISNUMBER($H$1319),$B$1132=1),$H$1319,HLOOKUP(INDIRECT(ADDRESS(2,COLUMN())),OFFSET($K$2,0,0,ROW()-1,5),ROW()-1,FALSE))</f>
        <v/>
      </c>
      <c r="I200" t="str">
        <f ca="1">IF(AND(ISNUMBER($I$1319),$B$1132=1),$I$1319,HLOOKUP(INDIRECT(ADDRESS(2,COLUMN())),OFFSET($K$2,0,0,ROW()-1,5),ROW()-1,FALSE))</f>
        <v/>
      </c>
      <c r="J200" t="str">
        <f ca="1">IF(AND(ISNUMBER($J$1319),$B$1132=1),$J$1319,HLOOKUP(INDIRECT(ADDRESS(2,COLUMN())),OFFSET($K$2,0,0,ROW()-1,5),ROW()-1,FALSE))</f>
        <v/>
      </c>
      <c r="K200" t="str">
        <f>""</f>
        <v/>
      </c>
      <c r="L200" t="str">
        <f>""</f>
        <v/>
      </c>
      <c r="M200" t="str">
        <f>""</f>
        <v/>
      </c>
      <c r="N200" t="str">
        <f>""</f>
        <v/>
      </c>
      <c r="O200" t="str">
        <f>""</f>
        <v/>
      </c>
    </row>
    <row r="201" spans="1:15" x14ac:dyDescent="0.25">
      <c r="A201" t="str">
        <f>"                    Hite Jinro Co Ltd"</f>
        <v xml:space="preserve">                    Hite Jinro Co Ltd</v>
      </c>
      <c r="B201" t="str">
        <f>"000080 KS Equity"</f>
        <v>000080 KS Equity</v>
      </c>
      <c r="C201" t="str">
        <f t="shared" si="21"/>
        <v>F0946</v>
      </c>
      <c r="D201" t="str">
        <f t="shared" si="22"/>
        <v>TOTAL_GHG_CO2_EMISSIONS</v>
      </c>
      <c r="E201" t="str">
        <f t="shared" si="23"/>
        <v>Dynamic</v>
      </c>
      <c r="F201" t="str">
        <f ca="1">IF(AND(ISNUMBER($F$1320),$B$1132=1),$F$1320,HLOOKUP(INDIRECT(ADDRESS(2,COLUMN())),OFFSET($K$2,0,0,ROW()-1,5),ROW()-1,FALSE))</f>
        <v/>
      </c>
      <c r="G201">
        <f ca="1">IF(AND(ISNUMBER($G$1320),$B$1132=1),$G$1320,HLOOKUP(INDIRECT(ADDRESS(2,COLUMN())),OFFSET($K$2,0,0,ROW()-1,5),ROW()-1,FALSE))</f>
        <v>0.13122700500000001</v>
      </c>
      <c r="H201">
        <f ca="1">IF(AND(ISNUMBER($H$1320),$B$1132=1),$H$1320,HLOOKUP(INDIRECT(ADDRESS(2,COLUMN())),OFFSET($K$2,0,0,ROW()-1,5),ROW()-1,FALSE))</f>
        <v>0.14369700599999999</v>
      </c>
      <c r="I201">
        <f ca="1">IF(AND(ISNUMBER($I$1320),$B$1132=1),$I$1320,HLOOKUP(INDIRECT(ADDRESS(2,COLUMN())),OFFSET($K$2,0,0,ROW()-1,5),ROW()-1,FALSE))</f>
        <v>0.149843002</v>
      </c>
      <c r="J201">
        <f ca="1">IF(AND(ISNUMBER($J$1320),$B$1132=1),$J$1320,HLOOKUP(INDIRECT(ADDRESS(2,COLUMN())),OFFSET($K$2,0,0,ROW()-1,5),ROW()-1,FALSE))</f>
        <v>0.156576996</v>
      </c>
      <c r="K201" t="str">
        <f>""</f>
        <v/>
      </c>
      <c r="L201">
        <f>0.131227005</f>
        <v>0.13122700500000001</v>
      </c>
      <c r="M201">
        <f>0.143697006</f>
        <v>0.14369700599999999</v>
      </c>
      <c r="N201">
        <f>0.149843002</f>
        <v>0.149843002</v>
      </c>
      <c r="O201">
        <f>0.156576996</f>
        <v>0.156576996</v>
      </c>
    </row>
    <row r="202" spans="1:15" x14ac:dyDescent="0.25">
      <c r="A202" t="str">
        <f>"                    Heineken NV"</f>
        <v xml:space="preserve">                    Heineken NV</v>
      </c>
      <c r="B202" t="str">
        <f>"HEIA NA Equity"</f>
        <v>HEIA NA Equity</v>
      </c>
      <c r="C202" t="str">
        <f t="shared" si="21"/>
        <v>F0946</v>
      </c>
      <c r="D202" t="str">
        <f t="shared" si="22"/>
        <v>TOTAL_GHG_CO2_EMISSIONS</v>
      </c>
      <c r="E202" t="str">
        <f t="shared" si="23"/>
        <v>Dynamic</v>
      </c>
      <c r="F202">
        <f ca="1">IF(AND(ISNUMBER($F$1321),$B$1132=1),$F$1321,HLOOKUP(INDIRECT(ADDRESS(2,COLUMN())),OFFSET($K$2,0,0,ROW()-1,5),ROW()-1,FALSE))</f>
        <v>1.478</v>
      </c>
      <c r="G202">
        <f ca="1">IF(AND(ISNUMBER($G$1321),$B$1132=1),$G$1321,HLOOKUP(INDIRECT(ADDRESS(2,COLUMN())),OFFSET($K$2,0,0,ROW()-1,5),ROW()-1,FALSE))</f>
        <v>1.7418299559999999</v>
      </c>
      <c r="H202">
        <f ca="1">IF(AND(ISNUMBER($H$1321),$B$1132=1),$H$1321,HLOOKUP(INDIRECT(ADDRESS(2,COLUMN())),OFFSET($K$2,0,0,ROW()-1,5),ROW()-1,FALSE))</f>
        <v>1.72551001</v>
      </c>
      <c r="I202">
        <f ca="1">IF(AND(ISNUMBER($I$1321),$B$1132=1),$I$1321,HLOOKUP(INDIRECT(ADDRESS(2,COLUMN())),OFFSET($K$2,0,0,ROW()-1,5),ROW()-1,FALSE))</f>
        <v>1.7783100590000001</v>
      </c>
      <c r="J202">
        <f ca="1">IF(AND(ISNUMBER($J$1321),$B$1132=1),$J$1321,HLOOKUP(INDIRECT(ADDRESS(2,COLUMN())),OFFSET($K$2,0,0,ROW()-1,5),ROW()-1,FALSE))</f>
        <v>1.7420500489999999</v>
      </c>
      <c r="K202">
        <f>1.478</f>
        <v>1.478</v>
      </c>
      <c r="L202">
        <f>1.741829956</f>
        <v>1.7418299559999999</v>
      </c>
      <c r="M202">
        <f>1.72551001</f>
        <v>1.72551001</v>
      </c>
      <c r="N202">
        <f>1.778310059</f>
        <v>1.7783100590000001</v>
      </c>
      <c r="O202">
        <f>1.742050049</f>
        <v>1.7420500489999999</v>
      </c>
    </row>
    <row r="203" spans="1:15" x14ac:dyDescent="0.25">
      <c r="A203" t="str">
        <f>"                    Ito En Ltd"</f>
        <v xml:space="preserve">                    Ito En Ltd</v>
      </c>
      <c r="B203" t="str">
        <f>"2593 JP Equity"</f>
        <v>2593 JP Equity</v>
      </c>
      <c r="C203" t="str">
        <f t="shared" si="21"/>
        <v>F0946</v>
      </c>
      <c r="D203" t="str">
        <f t="shared" si="22"/>
        <v>TOTAL_GHG_CO2_EMISSIONS</v>
      </c>
      <c r="E203" t="str">
        <f t="shared" si="23"/>
        <v>Dynamic</v>
      </c>
      <c r="F203" t="str">
        <f ca="1">IF(AND(ISNUMBER($F$1322),$B$1132=1),$F$1322,HLOOKUP(INDIRECT(ADDRESS(2,COLUMN())),OFFSET($K$2,0,0,ROW()-1,5),ROW()-1,FALSE))</f>
        <v/>
      </c>
      <c r="G203">
        <f ca="1">IF(AND(ISNUMBER($G$1322),$B$1132=1),$G$1322,HLOOKUP(INDIRECT(ADDRESS(2,COLUMN())),OFFSET($K$2,0,0,ROW()-1,5),ROW()-1,FALSE))</f>
        <v>3.3863997999999999E-2</v>
      </c>
      <c r="H203">
        <f ca="1">IF(AND(ISNUMBER($H$1322),$B$1132=1),$H$1322,HLOOKUP(INDIRECT(ADDRESS(2,COLUMN())),OFFSET($K$2,0,0,ROW()-1,5),ROW()-1,FALSE))</f>
        <v>3.4853001000000002E-2</v>
      </c>
      <c r="I203">
        <f ca="1">IF(AND(ISNUMBER($I$1322),$B$1132=1),$I$1322,HLOOKUP(INDIRECT(ADDRESS(2,COLUMN())),OFFSET($K$2,0,0,ROW()-1,5),ROW()-1,FALSE))</f>
        <v>3.5484001000000001E-2</v>
      </c>
      <c r="J203">
        <f ca="1">IF(AND(ISNUMBER($J$1322),$B$1132=1),$J$1322,HLOOKUP(INDIRECT(ADDRESS(2,COLUMN())),OFFSET($K$2,0,0,ROW()-1,5),ROW()-1,FALSE))</f>
        <v>3.8492000999999998E-2</v>
      </c>
      <c r="K203" t="str">
        <f>""</f>
        <v/>
      </c>
      <c r="L203">
        <f>0.033863998</f>
        <v>3.3863997999999999E-2</v>
      </c>
      <c r="M203">
        <f>0.034853001</f>
        <v>3.4853001000000002E-2</v>
      </c>
      <c r="N203">
        <f>0.035484001</f>
        <v>3.5484001000000001E-2</v>
      </c>
      <c r="O203">
        <f>0.038492001</f>
        <v>3.8492000999999998E-2</v>
      </c>
    </row>
    <row r="204" spans="1:15" x14ac:dyDescent="0.25">
      <c r="A204" t="str">
        <f>"                    JDE Peet's NV"</f>
        <v xml:space="preserve">                    JDE Peet's NV</v>
      </c>
      <c r="B204" t="str">
        <f>"JDEP NA Equity"</f>
        <v>JDEP NA Equity</v>
      </c>
      <c r="C204" t="str">
        <f t="shared" si="21"/>
        <v>F0946</v>
      </c>
      <c r="D204" t="str">
        <f t="shared" si="22"/>
        <v>TOTAL_GHG_CO2_EMISSIONS</v>
      </c>
      <c r="E204" t="str">
        <f t="shared" si="23"/>
        <v>Dynamic</v>
      </c>
      <c r="F204" t="str">
        <f ca="1">IF(AND(ISNUMBER($F$1323),$B$1132=1),$F$1323,HLOOKUP(INDIRECT(ADDRESS(2,COLUMN())),OFFSET($K$2,0,0,ROW()-1,5),ROW()-1,FALSE))</f>
        <v/>
      </c>
      <c r="G204">
        <f ca="1">IF(AND(ISNUMBER($G$1323),$B$1132=1),$G$1323,HLOOKUP(INDIRECT(ADDRESS(2,COLUMN())),OFFSET($K$2,0,0,ROW()-1,5),ROW()-1,FALSE))</f>
        <v>0.54825598099999995</v>
      </c>
      <c r="H204">
        <f ca="1">IF(AND(ISNUMBER($H$1323),$B$1132=1),$H$1323,HLOOKUP(INDIRECT(ADDRESS(2,COLUMN())),OFFSET($K$2,0,0,ROW()-1,5),ROW()-1,FALSE))</f>
        <v>0.560341003</v>
      </c>
      <c r="I204" t="str">
        <f ca="1">IF(AND(ISNUMBER($I$1323),$B$1132=1),$I$1323,HLOOKUP(INDIRECT(ADDRESS(2,COLUMN())),OFFSET($K$2,0,0,ROW()-1,5),ROW()-1,FALSE))</f>
        <v/>
      </c>
      <c r="J204" t="str">
        <f ca="1">IF(AND(ISNUMBER($J$1323),$B$1132=1),$J$1323,HLOOKUP(INDIRECT(ADDRESS(2,COLUMN())),OFFSET($K$2,0,0,ROW()-1,5),ROW()-1,FALSE))</f>
        <v/>
      </c>
      <c r="K204" t="str">
        <f>""</f>
        <v/>
      </c>
      <c r="L204">
        <f>0.548255981</f>
        <v>0.54825598099999995</v>
      </c>
      <c r="M204">
        <f>0.560341003</f>
        <v>0.560341003</v>
      </c>
      <c r="N204" t="str">
        <f>""</f>
        <v/>
      </c>
      <c r="O204" t="str">
        <f>""</f>
        <v/>
      </c>
    </row>
    <row r="205" spans="1:15" x14ac:dyDescent="0.25">
      <c r="A205" t="str">
        <f>"                    Jiangsu Yanghe Brewery Joint-S"</f>
        <v xml:space="preserve">                    Jiangsu Yanghe Brewery Joint-S</v>
      </c>
      <c r="B205" t="str">
        <f>"002304 CH Equity"</f>
        <v>002304 CH Equity</v>
      </c>
      <c r="C205" t="str">
        <f t="shared" si="21"/>
        <v>F0946</v>
      </c>
      <c r="D205" t="str">
        <f t="shared" si="22"/>
        <v>TOTAL_GHG_CO2_EMISSIONS</v>
      </c>
      <c r="E205" t="str">
        <f t="shared" si="23"/>
        <v>Dynamic</v>
      </c>
      <c r="F205" t="str">
        <f ca="1">IF(AND(ISNUMBER($F$1324),$B$1132=1),$F$1324,HLOOKUP(INDIRECT(ADDRESS(2,COLUMN())),OFFSET($K$2,0,0,ROW()-1,5),ROW()-1,FALSE))</f>
        <v/>
      </c>
      <c r="G205">
        <f ca="1">IF(AND(ISNUMBER($G$1324),$B$1132=1),$G$1324,HLOOKUP(INDIRECT(ADDRESS(2,COLUMN())),OFFSET($K$2,0,0,ROW()-1,5),ROW()-1,FALSE))</f>
        <v>0.382520996</v>
      </c>
      <c r="H205">
        <f ca="1">IF(AND(ISNUMBER($H$1324),$B$1132=1),$H$1324,HLOOKUP(INDIRECT(ADDRESS(2,COLUMN())),OFFSET($K$2,0,0,ROW()-1,5),ROW()-1,FALSE))</f>
        <v>0.35799499499999998</v>
      </c>
      <c r="I205">
        <f ca="1">IF(AND(ISNUMBER($I$1324),$B$1132=1),$I$1324,HLOOKUP(INDIRECT(ADDRESS(2,COLUMN())),OFFSET($K$2,0,0,ROW()-1,5),ROW()-1,FALSE))</f>
        <v>0.49011498999999997</v>
      </c>
      <c r="J205" t="str">
        <f ca="1">IF(AND(ISNUMBER($J$1324),$B$1132=1),$J$1324,HLOOKUP(INDIRECT(ADDRESS(2,COLUMN())),OFFSET($K$2,0,0,ROW()-1,5),ROW()-1,FALSE))</f>
        <v/>
      </c>
      <c r="K205" t="str">
        <f>""</f>
        <v/>
      </c>
      <c r="L205">
        <f>0.382520996</f>
        <v>0.382520996</v>
      </c>
      <c r="M205">
        <f>0.357994995</f>
        <v>0.35799499499999998</v>
      </c>
      <c r="N205">
        <f>0.49011499</f>
        <v>0.49011498999999997</v>
      </c>
      <c r="O205" t="str">
        <f>""</f>
        <v/>
      </c>
    </row>
    <row r="206" spans="1:15" x14ac:dyDescent="0.25">
      <c r="A206" t="str">
        <f>"                    Keurig Dr Pepper Inc"</f>
        <v xml:space="preserve">                    Keurig Dr Pepper Inc</v>
      </c>
      <c r="B206" t="str">
        <f>"KDP US Equity"</f>
        <v>KDP US Equity</v>
      </c>
      <c r="C206" t="str">
        <f t="shared" si="21"/>
        <v>F0946</v>
      </c>
      <c r="D206" t="str">
        <f t="shared" si="22"/>
        <v>TOTAL_GHG_CO2_EMISSIONS</v>
      </c>
      <c r="E206" t="str">
        <f t="shared" si="23"/>
        <v>Dynamic</v>
      </c>
      <c r="F206" t="str">
        <f ca="1">IF(AND(ISNUMBER($F$1325),$B$1132=1),$F$1325,HLOOKUP(INDIRECT(ADDRESS(2,COLUMN())),OFFSET($K$2,0,0,ROW()-1,5),ROW()-1,FALSE))</f>
        <v/>
      </c>
      <c r="G206">
        <f ca="1">IF(AND(ISNUMBER($G$1325),$B$1132=1),$G$1325,HLOOKUP(INDIRECT(ADDRESS(2,COLUMN())),OFFSET($K$2,0,0,ROW()-1,5),ROW()-1,FALSE))</f>
        <v>0.46194799800000003</v>
      </c>
      <c r="H206">
        <f ca="1">IF(AND(ISNUMBER($H$1325),$B$1132=1),$H$1325,HLOOKUP(INDIRECT(ADDRESS(2,COLUMN())),OFFSET($K$2,0,0,ROW()-1,5),ROW()-1,FALSE))</f>
        <v>0.45483099399999999</v>
      </c>
      <c r="I206">
        <f ca="1">IF(AND(ISNUMBER($I$1325),$B$1132=1),$I$1325,HLOOKUP(INDIRECT(ADDRESS(2,COLUMN())),OFFSET($K$2,0,0,ROW()-1,5),ROW()-1,FALSE))</f>
        <v>0.431458008</v>
      </c>
      <c r="J206">
        <f ca="1">IF(AND(ISNUMBER($J$1325),$B$1132=1),$J$1325,HLOOKUP(INDIRECT(ADDRESS(2,COLUMN())),OFFSET($K$2,0,0,ROW()-1,5),ROW()-1,FALSE))</f>
        <v>0.44005899100000001</v>
      </c>
      <c r="K206" t="str">
        <f>""</f>
        <v/>
      </c>
      <c r="L206">
        <f>0.461947998</f>
        <v>0.46194799800000003</v>
      </c>
      <c r="M206">
        <f>0.454830994</f>
        <v>0.45483099399999999</v>
      </c>
      <c r="N206">
        <f>0.431458008</f>
        <v>0.431458008</v>
      </c>
      <c r="O206">
        <f>0.440058991</f>
        <v>0.44005899100000001</v>
      </c>
    </row>
    <row r="207" spans="1:15" x14ac:dyDescent="0.25">
      <c r="A207" t="str">
        <f>"                    Kirin Holdings Co Ltd"</f>
        <v xml:space="preserve">                    Kirin Holdings Co Ltd</v>
      </c>
      <c r="B207" t="str">
        <f>"2503 JP Equity"</f>
        <v>2503 JP Equity</v>
      </c>
      <c r="C207" t="str">
        <f t="shared" si="21"/>
        <v>F0946</v>
      </c>
      <c r="D207" t="str">
        <f t="shared" si="22"/>
        <v>TOTAL_GHG_CO2_EMISSIONS</v>
      </c>
      <c r="E207" t="str">
        <f t="shared" si="23"/>
        <v>Dynamic</v>
      </c>
      <c r="F207" t="str">
        <f ca="1">IF(AND(ISNUMBER($F$1326),$B$1132=1),$F$1326,HLOOKUP(INDIRECT(ADDRESS(2,COLUMN())),OFFSET($K$2,0,0,ROW()-1,5),ROW()-1,FALSE))</f>
        <v/>
      </c>
      <c r="G207">
        <f ca="1">IF(AND(ISNUMBER($G$1326),$B$1132=1),$G$1326,HLOOKUP(INDIRECT(ADDRESS(2,COLUMN())),OFFSET($K$2,0,0,ROW()-1,5),ROW()-1,FALSE))</f>
        <v>0.72199999999999998</v>
      </c>
      <c r="H207">
        <f ca="1">IF(AND(ISNUMBER($H$1326),$B$1132=1),$H$1326,HLOOKUP(INDIRECT(ADDRESS(2,COLUMN())),OFFSET($K$2,0,0,ROW()-1,5),ROW()-1,FALSE))</f>
        <v>0.875005005</v>
      </c>
      <c r="I207">
        <f ca="1">IF(AND(ISNUMBER($I$1326),$B$1132=1),$I$1326,HLOOKUP(INDIRECT(ADDRESS(2,COLUMN())),OFFSET($K$2,0,0,ROW()-1,5),ROW()-1,FALSE))</f>
        <v>0.94899999999999995</v>
      </c>
      <c r="J207">
        <f ca="1">IF(AND(ISNUMBER($J$1326),$B$1132=1),$J$1326,HLOOKUP(INDIRECT(ADDRESS(2,COLUMN())),OFFSET($K$2,0,0,ROW()-1,5),ROW()-1,FALSE))</f>
        <v>0.98599999999999999</v>
      </c>
      <c r="K207" t="str">
        <f>""</f>
        <v/>
      </c>
      <c r="L207">
        <f>0.722</f>
        <v>0.72199999999999998</v>
      </c>
      <c r="M207">
        <f>0.875005005</f>
        <v>0.875005005</v>
      </c>
      <c r="N207">
        <f>0.949</f>
        <v>0.94899999999999995</v>
      </c>
      <c r="O207">
        <f>0.986</f>
        <v>0.98599999999999999</v>
      </c>
    </row>
    <row r="208" spans="1:15" x14ac:dyDescent="0.25">
      <c r="A208" t="str">
        <f>"                    Kweichow Moutai Co Ltd"</f>
        <v xml:space="preserve">                    Kweichow Moutai Co Ltd</v>
      </c>
      <c r="B208" t="str">
        <f>"600519 CH Equity"</f>
        <v>600519 CH Equity</v>
      </c>
      <c r="C208" t="str">
        <f t="shared" si="21"/>
        <v>F0946</v>
      </c>
      <c r="D208" t="str">
        <f t="shared" si="22"/>
        <v>TOTAL_GHG_CO2_EMISSIONS</v>
      </c>
      <c r="E208" t="str">
        <f t="shared" si="23"/>
        <v>Dynamic</v>
      </c>
      <c r="F208" t="str">
        <f ca="1">IF(AND(ISNUMBER($F$1327),$B$1132=1),$F$1327,HLOOKUP(INDIRECT(ADDRESS(2,COLUMN())),OFFSET($K$2,0,0,ROW()-1,5),ROW()-1,FALSE))</f>
        <v/>
      </c>
      <c r="G208" t="str">
        <f ca="1">IF(AND(ISNUMBER($G$1327),$B$1132=1),$G$1327,HLOOKUP(INDIRECT(ADDRESS(2,COLUMN())),OFFSET($K$2,0,0,ROW()-1,5),ROW()-1,FALSE))</f>
        <v/>
      </c>
      <c r="H208" t="str">
        <f ca="1">IF(AND(ISNUMBER($H$1327),$B$1132=1),$H$1327,HLOOKUP(INDIRECT(ADDRESS(2,COLUMN())),OFFSET($K$2,0,0,ROW()-1,5),ROW()-1,FALSE))</f>
        <v/>
      </c>
      <c r="I208" t="str">
        <f ca="1">IF(AND(ISNUMBER($I$1327),$B$1132=1),$I$1327,HLOOKUP(INDIRECT(ADDRESS(2,COLUMN())),OFFSET($K$2,0,0,ROW()-1,5),ROW()-1,FALSE))</f>
        <v/>
      </c>
      <c r="J208" t="str">
        <f ca="1">IF(AND(ISNUMBER($J$1327),$B$1132=1),$J$1327,HLOOKUP(INDIRECT(ADDRESS(2,COLUMN())),OFFSET($K$2,0,0,ROW()-1,5),ROW()-1,FALSE))</f>
        <v/>
      </c>
      <c r="K208" t="str">
        <f>""</f>
        <v/>
      </c>
      <c r="L208" t="str">
        <f>""</f>
        <v/>
      </c>
      <c r="M208" t="str">
        <f>""</f>
        <v/>
      </c>
      <c r="N208" t="str">
        <f>""</f>
        <v/>
      </c>
      <c r="O208" t="str">
        <f>""</f>
        <v/>
      </c>
    </row>
    <row r="209" spans="1:15" x14ac:dyDescent="0.25">
      <c r="A209" t="str">
        <f>"                    Lotte Chilsung Beverage Co Ltd"</f>
        <v xml:space="preserve">                    Lotte Chilsung Beverage Co Ltd</v>
      </c>
      <c r="B209" t="str">
        <f>"005300 KS Equity"</f>
        <v>005300 KS Equity</v>
      </c>
      <c r="C209" t="str">
        <f t="shared" si="21"/>
        <v>F0946</v>
      </c>
      <c r="D209" t="str">
        <f t="shared" si="22"/>
        <v>TOTAL_GHG_CO2_EMISSIONS</v>
      </c>
      <c r="E209" t="str">
        <f t="shared" si="23"/>
        <v>Dynamic</v>
      </c>
      <c r="F209" t="str">
        <f ca="1">IF(AND(ISNUMBER($F$1328),$B$1132=1),$F$1328,HLOOKUP(INDIRECT(ADDRESS(2,COLUMN())),OFFSET($K$2,0,0,ROW()-1,5),ROW()-1,FALSE))</f>
        <v/>
      </c>
      <c r="G209">
        <f ca="1">IF(AND(ISNUMBER($G$1328),$B$1132=1),$G$1328,HLOOKUP(INDIRECT(ADDRESS(2,COLUMN())),OFFSET($K$2,0,0,ROW()-1,5),ROW()-1,FALSE))</f>
        <v>0.162802002</v>
      </c>
      <c r="H209">
        <f ca="1">IF(AND(ISNUMBER($H$1328),$B$1132=1),$H$1328,HLOOKUP(INDIRECT(ADDRESS(2,COLUMN())),OFFSET($K$2,0,0,ROW()-1,5),ROW()-1,FALSE))</f>
        <v>0.14978999300000001</v>
      </c>
      <c r="I209">
        <f ca="1">IF(AND(ISNUMBER($I$1328),$B$1132=1),$I$1328,HLOOKUP(INDIRECT(ADDRESS(2,COLUMN())),OFFSET($K$2,0,0,ROW()-1,5),ROW()-1,FALSE))</f>
        <v>0.152113998</v>
      </c>
      <c r="J209">
        <f ca="1">IF(AND(ISNUMBER($J$1328),$B$1132=1),$J$1328,HLOOKUP(INDIRECT(ADDRESS(2,COLUMN())),OFFSET($K$2,0,0,ROW()-1,5),ROW()-1,FALSE))</f>
        <v>0.15648599199999999</v>
      </c>
      <c r="K209" t="str">
        <f>""</f>
        <v/>
      </c>
      <c r="L209">
        <f>0.162802002</f>
        <v>0.162802002</v>
      </c>
      <c r="M209">
        <f>0.149789993</f>
        <v>0.14978999300000001</v>
      </c>
      <c r="N209">
        <f>0.152113998</f>
        <v>0.152113998</v>
      </c>
      <c r="O209">
        <f>0.156485992</f>
        <v>0.15648599199999999</v>
      </c>
    </row>
    <row r="210" spans="1:15" x14ac:dyDescent="0.25">
      <c r="A210" t="str">
        <f>"                    Lassonde Industries Inc"</f>
        <v xml:space="preserve">                    Lassonde Industries Inc</v>
      </c>
      <c r="B210" t="str">
        <f>"LAS/A CN Equity"</f>
        <v>LAS/A CN Equity</v>
      </c>
      <c r="C210" t="str">
        <f t="shared" si="21"/>
        <v>F0946</v>
      </c>
      <c r="D210" t="str">
        <f t="shared" si="22"/>
        <v>TOTAL_GHG_CO2_EMISSIONS</v>
      </c>
      <c r="E210" t="str">
        <f t="shared" si="23"/>
        <v>Dynamic</v>
      </c>
      <c r="F210" t="str">
        <f ca="1">IF(AND(ISNUMBER($F$1329),$B$1132=1),$F$1329,HLOOKUP(INDIRECT(ADDRESS(2,COLUMN())),OFFSET($K$2,0,0,ROW()-1,5),ROW()-1,FALSE))</f>
        <v/>
      </c>
      <c r="G210" t="str">
        <f ca="1">IF(AND(ISNUMBER($G$1329),$B$1132=1),$G$1329,HLOOKUP(INDIRECT(ADDRESS(2,COLUMN())),OFFSET($K$2,0,0,ROW()-1,5),ROW()-1,FALSE))</f>
        <v/>
      </c>
      <c r="H210" t="str">
        <f ca="1">IF(AND(ISNUMBER($H$1329),$B$1132=1),$H$1329,HLOOKUP(INDIRECT(ADDRESS(2,COLUMN())),OFFSET($K$2,0,0,ROW()-1,5),ROW()-1,FALSE))</f>
        <v/>
      </c>
      <c r="I210" t="str">
        <f ca="1">IF(AND(ISNUMBER($I$1329),$B$1132=1),$I$1329,HLOOKUP(INDIRECT(ADDRESS(2,COLUMN())),OFFSET($K$2,0,0,ROW()-1,5),ROW()-1,FALSE))</f>
        <v/>
      </c>
      <c r="J210" t="str">
        <f ca="1">IF(AND(ISNUMBER($J$1329),$B$1132=1),$J$1329,HLOOKUP(INDIRECT(ADDRESS(2,COLUMN())),OFFSET($K$2,0,0,ROW()-1,5),ROW()-1,FALSE))</f>
        <v/>
      </c>
      <c r="K210" t="str">
        <f>""</f>
        <v/>
      </c>
      <c r="L210" t="str">
        <f>""</f>
        <v/>
      </c>
      <c r="M210" t="str">
        <f>""</f>
        <v/>
      </c>
      <c r="N210" t="str">
        <f>""</f>
        <v/>
      </c>
      <c r="O210" t="str">
        <f>""</f>
        <v/>
      </c>
    </row>
    <row r="211" spans="1:15" x14ac:dyDescent="0.25">
      <c r="A211" t="str">
        <f>"                    Luzhou Laojiao Co Ltd"</f>
        <v xml:space="preserve">                    Luzhou Laojiao Co Ltd</v>
      </c>
      <c r="B211" t="str">
        <f>"000568 CH Equity"</f>
        <v>000568 CH Equity</v>
      </c>
      <c r="C211" t="str">
        <f t="shared" si="21"/>
        <v>F0946</v>
      </c>
      <c r="D211" t="str">
        <f t="shared" si="22"/>
        <v>TOTAL_GHG_CO2_EMISSIONS</v>
      </c>
      <c r="E211" t="str">
        <f t="shared" si="23"/>
        <v>Dynamic</v>
      </c>
      <c r="F211" t="str">
        <f ca="1">IF(AND(ISNUMBER($F$1330),$B$1132=1),$F$1330,HLOOKUP(INDIRECT(ADDRESS(2,COLUMN())),OFFSET($K$2,0,0,ROW()-1,5),ROW()-1,FALSE))</f>
        <v/>
      </c>
      <c r="G211" t="str">
        <f ca="1">IF(AND(ISNUMBER($G$1330),$B$1132=1),$G$1330,HLOOKUP(INDIRECT(ADDRESS(2,COLUMN())),OFFSET($K$2,0,0,ROW()-1,5),ROW()-1,FALSE))</f>
        <v/>
      </c>
      <c r="H211" t="str">
        <f ca="1">IF(AND(ISNUMBER($H$1330),$B$1132=1),$H$1330,HLOOKUP(INDIRECT(ADDRESS(2,COLUMN())),OFFSET($K$2,0,0,ROW()-1,5),ROW()-1,FALSE))</f>
        <v/>
      </c>
      <c r="I211" t="str">
        <f ca="1">IF(AND(ISNUMBER($I$1330),$B$1132=1),$I$1330,HLOOKUP(INDIRECT(ADDRESS(2,COLUMN())),OFFSET($K$2,0,0,ROW()-1,5),ROW()-1,FALSE))</f>
        <v/>
      </c>
      <c r="J211" t="str">
        <f ca="1">IF(AND(ISNUMBER($J$1330),$B$1132=1),$J$1330,HLOOKUP(INDIRECT(ADDRESS(2,COLUMN())),OFFSET($K$2,0,0,ROW()-1,5),ROW()-1,FALSE))</f>
        <v/>
      </c>
      <c r="K211" t="str">
        <f>""</f>
        <v/>
      </c>
      <c r="L211" t="str">
        <f>""</f>
        <v/>
      </c>
      <c r="M211" t="str">
        <f>""</f>
        <v/>
      </c>
      <c r="N211" t="str">
        <f>""</f>
        <v/>
      </c>
      <c r="O211" t="str">
        <f>""</f>
        <v/>
      </c>
    </row>
    <row r="212" spans="1:15" x14ac:dyDescent="0.25">
      <c r="A212" t="str">
        <f>"                    Marie Brizard Wine &amp; Spirits S"</f>
        <v xml:space="preserve">                    Marie Brizard Wine &amp; Spirits S</v>
      </c>
      <c r="B212" t="str">
        <f>"MBWS FP Equity"</f>
        <v>MBWS FP Equity</v>
      </c>
      <c r="C212" t="str">
        <f t="shared" si="21"/>
        <v>F0946</v>
      </c>
      <c r="D212" t="str">
        <f t="shared" si="22"/>
        <v>TOTAL_GHG_CO2_EMISSIONS</v>
      </c>
      <c r="E212" t="str">
        <f t="shared" si="23"/>
        <v>Dynamic</v>
      </c>
      <c r="F212">
        <f ca="1">IF(AND(ISNUMBER($F$1331),$B$1132=1),$F$1331,HLOOKUP(INDIRECT(ADDRESS(2,COLUMN())),OFFSET($K$2,0,0,ROW()-1,5),ROW()-1,FALSE))</f>
        <v>4.0949999999999997E-3</v>
      </c>
      <c r="G212">
        <f ca="1">IF(AND(ISNUMBER($G$1331),$B$1132=1),$G$1331,HLOOKUP(INDIRECT(ADDRESS(2,COLUMN())),OFFSET($K$2,0,0,ROW()-1,5),ROW()-1,FALSE))</f>
        <v>5.3940000000000004E-3</v>
      </c>
      <c r="H212">
        <f ca="1">IF(AND(ISNUMBER($H$1331),$B$1132=1),$H$1331,HLOOKUP(INDIRECT(ADDRESS(2,COLUMN())),OFFSET($K$2,0,0,ROW()-1,5),ROW()-1,FALSE))</f>
        <v>4.4279999999999996E-3</v>
      </c>
      <c r="I212">
        <f ca="1">IF(AND(ISNUMBER($I$1331),$B$1132=1),$I$1331,HLOOKUP(INDIRECT(ADDRESS(2,COLUMN())),OFFSET($K$2,0,0,ROW()-1,5),ROW()-1,FALSE))</f>
        <v>1.9961E-2</v>
      </c>
      <c r="J212">
        <f ca="1">IF(AND(ISNUMBER($J$1331),$B$1132=1),$J$1331,HLOOKUP(INDIRECT(ADDRESS(2,COLUMN())),OFFSET($K$2,0,0,ROW()-1,5),ROW()-1,FALSE))</f>
        <v>1.7621000000000001E-2</v>
      </c>
      <c r="K212">
        <f>0.004095</f>
        <v>4.0949999999999997E-3</v>
      </c>
      <c r="L212">
        <f>0.005394</f>
        <v>5.3940000000000004E-3</v>
      </c>
      <c r="M212">
        <f>0.004428</f>
        <v>4.4279999999999996E-3</v>
      </c>
      <c r="N212">
        <f>0.019961</f>
        <v>1.9961E-2</v>
      </c>
      <c r="O212">
        <f>0.017621</f>
        <v>1.7621000000000001E-2</v>
      </c>
    </row>
    <row r="213" spans="1:15" x14ac:dyDescent="0.25">
      <c r="A213" t="str">
        <f>"                    Molson Coors Beverage Co"</f>
        <v xml:space="preserve">                    Molson Coors Beverage Co</v>
      </c>
      <c r="B213" t="str">
        <f>"TAP US Equity"</f>
        <v>TAP US Equity</v>
      </c>
      <c r="C213" t="str">
        <f t="shared" si="21"/>
        <v>F0946</v>
      </c>
      <c r="D213" t="str">
        <f t="shared" si="22"/>
        <v>TOTAL_GHG_CO2_EMISSIONS</v>
      </c>
      <c r="E213" t="str">
        <f t="shared" si="23"/>
        <v>Dynamic</v>
      </c>
      <c r="F213" t="str">
        <f ca="1">IF(AND(ISNUMBER($F$1332),$B$1132=1),$F$1332,HLOOKUP(INDIRECT(ADDRESS(2,COLUMN())),OFFSET($K$2,0,0,ROW()-1,5),ROW()-1,FALSE))</f>
        <v/>
      </c>
      <c r="G213">
        <f ca="1">IF(AND(ISNUMBER($G$1332),$B$1132=1),$G$1332,HLOOKUP(INDIRECT(ADDRESS(2,COLUMN())),OFFSET($K$2,0,0,ROW()-1,5),ROW()-1,FALSE))</f>
        <v>0.94838800099999998</v>
      </c>
      <c r="H213">
        <f ca="1">IF(AND(ISNUMBER($H$1332),$B$1132=1),$H$1332,HLOOKUP(INDIRECT(ADDRESS(2,COLUMN())),OFFSET($K$2,0,0,ROW()-1,5),ROW()-1,FALSE))</f>
        <v>1.0024500119999999</v>
      </c>
      <c r="I213">
        <f ca="1">IF(AND(ISNUMBER($I$1332),$B$1132=1),$I$1332,HLOOKUP(INDIRECT(ADDRESS(2,COLUMN())),OFFSET($K$2,0,0,ROW()-1,5),ROW()-1,FALSE))</f>
        <v>1.04051001</v>
      </c>
      <c r="J213">
        <f ca="1">IF(AND(ISNUMBER($J$1332),$B$1132=1),$J$1332,HLOOKUP(INDIRECT(ADDRESS(2,COLUMN())),OFFSET($K$2,0,0,ROW()-1,5),ROW()-1,FALSE))</f>
        <v>1.1036300050000001</v>
      </c>
      <c r="K213" t="str">
        <f>""</f>
        <v/>
      </c>
      <c r="L213">
        <f>0.948388001</f>
        <v>0.94838800099999998</v>
      </c>
      <c r="M213">
        <f>1.002450012</f>
        <v>1.0024500119999999</v>
      </c>
      <c r="N213">
        <f>1.04051001</f>
        <v>1.04051001</v>
      </c>
      <c r="O213">
        <f>1.103630005</f>
        <v>1.1036300050000001</v>
      </c>
    </row>
    <row r="214" spans="1:15" x14ac:dyDescent="0.25">
      <c r="A214" t="str">
        <f>"                    Monster Beverage Corp"</f>
        <v xml:space="preserve">                    Monster Beverage Corp</v>
      </c>
      <c r="B214" t="str">
        <f>"MNST US Equity"</f>
        <v>MNST US Equity</v>
      </c>
      <c r="C214" t="str">
        <f t="shared" si="21"/>
        <v>F0946</v>
      </c>
      <c r="D214" t="str">
        <f t="shared" si="22"/>
        <v>TOTAL_GHG_CO2_EMISSIONS</v>
      </c>
      <c r="E214" t="str">
        <f t="shared" si="23"/>
        <v>Dynamic</v>
      </c>
      <c r="F214" t="str">
        <f ca="1">IF(AND(ISNUMBER($F$1333),$B$1132=1),$F$1333,HLOOKUP(INDIRECT(ADDRESS(2,COLUMN())),OFFSET($K$2,0,0,ROW()-1,5),ROW()-1,FALSE))</f>
        <v/>
      </c>
      <c r="G214">
        <f ca="1">IF(AND(ISNUMBER($G$1333),$B$1132=1),$G$1333,HLOOKUP(INDIRECT(ADDRESS(2,COLUMN())),OFFSET($K$2,0,0,ROW()-1,5),ROW()-1,FALSE))</f>
        <v>9.3480000000000004E-3</v>
      </c>
      <c r="H214">
        <f ca="1">IF(AND(ISNUMBER($H$1333),$B$1132=1),$H$1333,HLOOKUP(INDIRECT(ADDRESS(2,COLUMN())),OFFSET($K$2,0,0,ROW()-1,5),ROW()-1,FALSE))</f>
        <v>8.5996900000000001E-3</v>
      </c>
      <c r="I214" t="str">
        <f ca="1">IF(AND(ISNUMBER($I$1333),$B$1132=1),$I$1333,HLOOKUP(INDIRECT(ADDRESS(2,COLUMN())),OFFSET($K$2,0,0,ROW()-1,5),ROW()-1,FALSE))</f>
        <v/>
      </c>
      <c r="J214" t="str">
        <f ca="1">IF(AND(ISNUMBER($J$1333),$B$1132=1),$J$1333,HLOOKUP(INDIRECT(ADDRESS(2,COLUMN())),OFFSET($K$2,0,0,ROW()-1,5),ROW()-1,FALSE))</f>
        <v/>
      </c>
      <c r="K214" t="str">
        <f>""</f>
        <v/>
      </c>
      <c r="L214">
        <f>0.009348</f>
        <v>9.3480000000000004E-3</v>
      </c>
      <c r="M214">
        <f>0.00859969</f>
        <v>8.5996900000000001E-3</v>
      </c>
      <c r="N214" t="str">
        <f>""</f>
        <v/>
      </c>
      <c r="O214" t="str">
        <f>""</f>
        <v/>
      </c>
    </row>
    <row r="215" spans="1:15" x14ac:dyDescent="0.25">
      <c r="A215" t="str">
        <f>"                    Nigerian Breweries PLC"</f>
        <v xml:space="preserve">                    Nigerian Breweries PLC</v>
      </c>
      <c r="B215" t="str">
        <f>"NB NL Equity"</f>
        <v>NB NL Equity</v>
      </c>
      <c r="C215" t="str">
        <f t="shared" si="21"/>
        <v>F0946</v>
      </c>
      <c r="D215" t="str">
        <f t="shared" si="22"/>
        <v>TOTAL_GHG_CO2_EMISSIONS</v>
      </c>
      <c r="E215" t="str">
        <f t="shared" si="23"/>
        <v>Dynamic</v>
      </c>
      <c r="F215" t="str">
        <f ca="1">IF(AND(ISNUMBER($F$1334),$B$1132=1),$F$1334,HLOOKUP(INDIRECT(ADDRESS(2,COLUMN())),OFFSET($K$2,0,0,ROW()-1,5),ROW()-1,FALSE))</f>
        <v/>
      </c>
      <c r="G215" t="str">
        <f ca="1">IF(AND(ISNUMBER($G$1334),$B$1132=1),$G$1334,HLOOKUP(INDIRECT(ADDRESS(2,COLUMN())),OFFSET($K$2,0,0,ROW()-1,5),ROW()-1,FALSE))</f>
        <v/>
      </c>
      <c r="H215" t="str">
        <f ca="1">IF(AND(ISNUMBER($H$1334),$B$1132=1),$H$1334,HLOOKUP(INDIRECT(ADDRESS(2,COLUMN())),OFFSET($K$2,0,0,ROW()-1,5),ROW()-1,FALSE))</f>
        <v/>
      </c>
      <c r="I215" t="str">
        <f ca="1">IF(AND(ISNUMBER($I$1334),$B$1132=1),$I$1334,HLOOKUP(INDIRECT(ADDRESS(2,COLUMN())),OFFSET($K$2,0,0,ROW()-1,5),ROW()-1,FALSE))</f>
        <v/>
      </c>
      <c r="J215" t="str">
        <f ca="1">IF(AND(ISNUMBER($J$1334),$B$1132=1),$J$1334,HLOOKUP(INDIRECT(ADDRESS(2,COLUMN())),OFFSET($K$2,0,0,ROW()-1,5),ROW()-1,FALSE))</f>
        <v/>
      </c>
      <c r="K215" t="str">
        <f>""</f>
        <v/>
      </c>
      <c r="L215" t="str">
        <f>""</f>
        <v/>
      </c>
      <c r="M215" t="str">
        <f>""</f>
        <v/>
      </c>
      <c r="N215" t="str">
        <f>""</f>
        <v/>
      </c>
      <c r="O215" t="str">
        <f>""</f>
        <v/>
      </c>
    </row>
    <row r="216" spans="1:15" x14ac:dyDescent="0.25">
      <c r="A216" t="str">
        <f>"                    National Beverage Corp"</f>
        <v xml:space="preserve">                    National Beverage Corp</v>
      </c>
      <c r="B216" t="str">
        <f>"FIZZ US Equity"</f>
        <v>FIZZ US Equity</v>
      </c>
      <c r="C216" t="str">
        <f t="shared" si="21"/>
        <v>F0946</v>
      </c>
      <c r="D216" t="str">
        <f t="shared" si="22"/>
        <v>TOTAL_GHG_CO2_EMISSIONS</v>
      </c>
      <c r="E216" t="str">
        <f t="shared" si="23"/>
        <v>Dynamic</v>
      </c>
      <c r="F216" t="str">
        <f ca="1">IF(AND(ISNUMBER($F$1335),$B$1132=1),$F$1335,HLOOKUP(INDIRECT(ADDRESS(2,COLUMN())),OFFSET($K$2,0,0,ROW()-1,5),ROW()-1,FALSE))</f>
        <v/>
      </c>
      <c r="G216" t="str">
        <f ca="1">IF(AND(ISNUMBER($G$1335),$B$1132=1),$G$1335,HLOOKUP(INDIRECT(ADDRESS(2,COLUMN())),OFFSET($K$2,0,0,ROW()-1,5),ROW()-1,FALSE))</f>
        <v/>
      </c>
      <c r="H216" t="str">
        <f ca="1">IF(AND(ISNUMBER($H$1335),$B$1132=1),$H$1335,HLOOKUP(INDIRECT(ADDRESS(2,COLUMN())),OFFSET($K$2,0,0,ROW()-1,5),ROW()-1,FALSE))</f>
        <v/>
      </c>
      <c r="I216" t="str">
        <f ca="1">IF(AND(ISNUMBER($I$1335),$B$1132=1),$I$1335,HLOOKUP(INDIRECT(ADDRESS(2,COLUMN())),OFFSET($K$2,0,0,ROW()-1,5),ROW()-1,FALSE))</f>
        <v/>
      </c>
      <c r="J216" t="str">
        <f ca="1">IF(AND(ISNUMBER($J$1335),$B$1132=1),$J$1335,HLOOKUP(INDIRECT(ADDRESS(2,COLUMN())),OFFSET($K$2,0,0,ROW()-1,5),ROW()-1,FALSE))</f>
        <v/>
      </c>
      <c r="K216" t="str">
        <f>""</f>
        <v/>
      </c>
      <c r="L216" t="str">
        <f>""</f>
        <v/>
      </c>
      <c r="M216" t="str">
        <f>""</f>
        <v/>
      </c>
      <c r="N216" t="str">
        <f>""</f>
        <v/>
      </c>
      <c r="O216" t="str">
        <f>""</f>
        <v/>
      </c>
    </row>
    <row r="217" spans="1:15" x14ac:dyDescent="0.25">
      <c r="A217" t="str">
        <f>"                    Organizacion Cultiba SAB de CV"</f>
        <v xml:space="preserve">                    Organizacion Cultiba SAB de CV</v>
      </c>
      <c r="B217" t="str">
        <f>"CULTIBAB MM Equity"</f>
        <v>CULTIBAB MM Equity</v>
      </c>
      <c r="C217" t="str">
        <f t="shared" si="21"/>
        <v>F0946</v>
      </c>
      <c r="D217" t="str">
        <f t="shared" si="22"/>
        <v>TOTAL_GHG_CO2_EMISSIONS</v>
      </c>
      <c r="E217" t="str">
        <f t="shared" si="23"/>
        <v>Dynamic</v>
      </c>
      <c r="F217" t="str">
        <f ca="1">IF(AND(ISNUMBER($F$1336),$B$1132=1),$F$1336,HLOOKUP(INDIRECT(ADDRESS(2,COLUMN())),OFFSET($K$2,0,0,ROW()-1,5),ROW()-1,FALSE))</f>
        <v/>
      </c>
      <c r="G217" t="str">
        <f ca="1">IF(AND(ISNUMBER($G$1336),$B$1132=1),$G$1336,HLOOKUP(INDIRECT(ADDRESS(2,COLUMN())),OFFSET($K$2,0,0,ROW()-1,5),ROW()-1,FALSE))</f>
        <v/>
      </c>
      <c r="H217" t="str">
        <f ca="1">IF(AND(ISNUMBER($H$1336),$B$1132=1),$H$1336,HLOOKUP(INDIRECT(ADDRESS(2,COLUMN())),OFFSET($K$2,0,0,ROW()-1,5),ROW()-1,FALSE))</f>
        <v/>
      </c>
      <c r="I217" t="str">
        <f ca="1">IF(AND(ISNUMBER($I$1336),$B$1132=1),$I$1336,HLOOKUP(INDIRECT(ADDRESS(2,COLUMN())),OFFSET($K$2,0,0,ROW()-1,5),ROW()-1,FALSE))</f>
        <v/>
      </c>
      <c r="J217" t="str">
        <f ca="1">IF(AND(ISNUMBER($J$1336),$B$1132=1),$J$1336,HLOOKUP(INDIRECT(ADDRESS(2,COLUMN())),OFFSET($K$2,0,0,ROW()-1,5),ROW()-1,FALSE))</f>
        <v/>
      </c>
      <c r="K217" t="str">
        <f>""</f>
        <v/>
      </c>
      <c r="L217" t="str">
        <f>""</f>
        <v/>
      </c>
      <c r="M217" t="str">
        <f>""</f>
        <v/>
      </c>
      <c r="N217" t="str">
        <f>""</f>
        <v/>
      </c>
      <c r="O217" t="str">
        <f>""</f>
        <v/>
      </c>
    </row>
    <row r="218" spans="1:15" x14ac:dyDescent="0.25">
      <c r="A218" t="str">
        <f>"                    PepsiCo Inc"</f>
        <v xml:space="preserve">                    PepsiCo Inc</v>
      </c>
      <c r="B218" t="str">
        <f>"PEP US Equity"</f>
        <v>PEP US Equity</v>
      </c>
      <c r="C218" t="str">
        <f t="shared" si="21"/>
        <v>F0946</v>
      </c>
      <c r="D218" t="str">
        <f t="shared" si="22"/>
        <v>TOTAL_GHG_CO2_EMISSIONS</v>
      </c>
      <c r="E218" t="str">
        <f t="shared" si="23"/>
        <v>Dynamic</v>
      </c>
      <c r="F218" t="str">
        <f ca="1">IF(AND(ISNUMBER($F$1337),$B$1132=1),$F$1337,HLOOKUP(INDIRECT(ADDRESS(2,COLUMN())),OFFSET($K$2,0,0,ROW()-1,5),ROW()-1,FALSE))</f>
        <v/>
      </c>
      <c r="G218">
        <f ca="1">IF(AND(ISNUMBER($G$1337),$B$1132=1),$G$1337,HLOOKUP(INDIRECT(ADDRESS(2,COLUMN())),OFFSET($K$2,0,0,ROW()-1,5),ROW()-1,FALSE))</f>
        <v>5.4078300779999999</v>
      </c>
      <c r="H218">
        <f ca="1">IF(AND(ISNUMBER($H$1337),$B$1132=1),$H$1337,HLOOKUP(INDIRECT(ADDRESS(2,COLUMN())),OFFSET($K$2,0,0,ROW()-1,5),ROW()-1,FALSE))</f>
        <v>5.2723198240000002</v>
      </c>
      <c r="I218">
        <f ca="1">IF(AND(ISNUMBER($I$1337),$B$1132=1),$I$1337,HLOOKUP(INDIRECT(ADDRESS(2,COLUMN())),OFFSET($K$2,0,0,ROW()-1,5),ROW()-1,FALSE))</f>
        <v>5.108939941</v>
      </c>
      <c r="J218">
        <f ca="1">IF(AND(ISNUMBER($J$1337),$B$1132=1),$J$1337,HLOOKUP(INDIRECT(ADDRESS(2,COLUMN())),OFFSET($K$2,0,0,ROW()-1,5),ROW()-1,FALSE))</f>
        <v>5.2072402340000004</v>
      </c>
      <c r="K218" t="str">
        <f>""</f>
        <v/>
      </c>
      <c r="L218">
        <f>5.407830078</f>
        <v>5.4078300779999999</v>
      </c>
      <c r="M218">
        <f>5.272319824</f>
        <v>5.2723198240000002</v>
      </c>
      <c r="N218">
        <f>5.108939941</f>
        <v>5.108939941</v>
      </c>
      <c r="O218">
        <f>5.207240234</f>
        <v>5.2072402340000004</v>
      </c>
    </row>
    <row r="219" spans="1:15" x14ac:dyDescent="0.25">
      <c r="A219" t="str">
        <f>"                    Pernod Ricard SA"</f>
        <v xml:space="preserve">                    Pernod Ricard SA</v>
      </c>
      <c r="B219" t="str">
        <f>"RI FP Equity"</f>
        <v>RI FP Equity</v>
      </c>
      <c r="C219" t="str">
        <f t="shared" si="21"/>
        <v>F0946</v>
      </c>
      <c r="D219" t="str">
        <f t="shared" si="22"/>
        <v>TOTAL_GHG_CO2_EMISSIONS</v>
      </c>
      <c r="E219" t="str">
        <f t="shared" si="23"/>
        <v>Dynamic</v>
      </c>
      <c r="F219" t="str">
        <f ca="1">IF(AND(ISNUMBER($F$1338),$B$1132=1),$F$1338,HLOOKUP(INDIRECT(ADDRESS(2,COLUMN())),OFFSET($K$2,0,0,ROW()-1,5),ROW()-1,FALSE))</f>
        <v/>
      </c>
      <c r="G219">
        <f ca="1">IF(AND(ISNUMBER($G$1338),$B$1132=1),$G$1338,HLOOKUP(INDIRECT(ADDRESS(2,COLUMN())),OFFSET($K$2,0,0,ROW()-1,5),ROW()-1,FALSE))</f>
        <v>0.34213501000000002</v>
      </c>
      <c r="H219">
        <f ca="1">IF(AND(ISNUMBER($H$1338),$B$1132=1),$H$1338,HLOOKUP(INDIRECT(ADDRESS(2,COLUMN())),OFFSET($K$2,0,0,ROW()-1,5),ROW()-1,FALSE))</f>
        <v>0.29499700899999998</v>
      </c>
      <c r="I219">
        <f ca="1">IF(AND(ISNUMBER($I$1338),$B$1132=1),$I$1338,HLOOKUP(INDIRECT(ADDRESS(2,COLUMN())),OFFSET($K$2,0,0,ROW()-1,5),ROW()-1,FALSE))</f>
        <v>0.28497399899999998</v>
      </c>
      <c r="J219">
        <f ca="1">IF(AND(ISNUMBER($J$1338),$B$1132=1),$J$1338,HLOOKUP(INDIRECT(ADDRESS(2,COLUMN())),OFFSET($K$2,0,0,ROW()-1,5),ROW()-1,FALSE))</f>
        <v>0.29752899199999999</v>
      </c>
      <c r="K219" t="str">
        <f>""</f>
        <v/>
      </c>
      <c r="L219">
        <f>0.34213501</f>
        <v>0.34213501000000002</v>
      </c>
      <c r="M219">
        <f>0.294997009</f>
        <v>0.29499700899999998</v>
      </c>
      <c r="N219">
        <f>0.284973999</f>
        <v>0.28497399899999998</v>
      </c>
      <c r="O219">
        <f>0.297528992</f>
        <v>0.29752899199999999</v>
      </c>
    </row>
    <row r="220" spans="1:15" x14ac:dyDescent="0.25">
      <c r="A220" t="str">
        <f>"                    Primo Water Corp"</f>
        <v xml:space="preserve">                    Primo Water Corp</v>
      </c>
      <c r="B220" t="str">
        <f>"PRMW US Equity"</f>
        <v>PRMW US Equity</v>
      </c>
      <c r="C220" t="str">
        <f t="shared" si="21"/>
        <v>F0946</v>
      </c>
      <c r="D220" t="str">
        <f t="shared" si="22"/>
        <v>TOTAL_GHG_CO2_EMISSIONS</v>
      </c>
      <c r="E220" t="str">
        <f t="shared" si="23"/>
        <v>Dynamic</v>
      </c>
      <c r="F220" t="str">
        <f ca="1">IF(AND(ISNUMBER($F$1339),$B$1132=1),$F$1339,HLOOKUP(INDIRECT(ADDRESS(2,COLUMN())),OFFSET($K$2,0,0,ROW()-1,5),ROW()-1,FALSE))</f>
        <v/>
      </c>
      <c r="G220" t="str">
        <f ca="1">IF(AND(ISNUMBER($G$1339),$B$1132=1),$G$1339,HLOOKUP(INDIRECT(ADDRESS(2,COLUMN())),OFFSET($K$2,0,0,ROW()-1,5),ROW()-1,FALSE))</f>
        <v/>
      </c>
      <c r="H220" t="str">
        <f ca="1">IF(AND(ISNUMBER($H$1339),$B$1132=1),$H$1339,HLOOKUP(INDIRECT(ADDRESS(2,COLUMN())),OFFSET($K$2,0,0,ROW()-1,5),ROW()-1,FALSE))</f>
        <v/>
      </c>
      <c r="I220" t="str">
        <f ca="1">IF(AND(ISNUMBER($I$1339),$B$1132=1),$I$1339,HLOOKUP(INDIRECT(ADDRESS(2,COLUMN())),OFFSET($K$2,0,0,ROW()-1,5),ROW()-1,FALSE))</f>
        <v/>
      </c>
      <c r="J220" t="str">
        <f ca="1">IF(AND(ISNUMBER($J$1339),$B$1132=1),$J$1339,HLOOKUP(INDIRECT(ADDRESS(2,COLUMN())),OFFSET($K$2,0,0,ROW()-1,5),ROW()-1,FALSE))</f>
        <v/>
      </c>
      <c r="K220" t="str">
        <f>""</f>
        <v/>
      </c>
      <c r="L220" t="str">
        <f>""</f>
        <v/>
      </c>
      <c r="M220" t="str">
        <f>""</f>
        <v/>
      </c>
      <c r="N220" t="str">
        <f>""</f>
        <v/>
      </c>
      <c r="O220" t="str">
        <f>""</f>
        <v/>
      </c>
    </row>
    <row r="221" spans="1:15" x14ac:dyDescent="0.25">
      <c r="A221" t="str">
        <f>"                    Royal Unibrew A/S"</f>
        <v xml:space="preserve">                    Royal Unibrew A/S</v>
      </c>
      <c r="B221" t="str">
        <f>"RBREW DC Equity"</f>
        <v>RBREW DC Equity</v>
      </c>
      <c r="C221" t="str">
        <f t="shared" si="21"/>
        <v>F0946</v>
      </c>
      <c r="D221" t="str">
        <f t="shared" si="22"/>
        <v>TOTAL_GHG_CO2_EMISSIONS</v>
      </c>
      <c r="E221" t="str">
        <f t="shared" si="23"/>
        <v>Dynamic</v>
      </c>
      <c r="F221" t="str">
        <f ca="1">IF(AND(ISNUMBER($F$1340),$B$1132=1),$F$1340,HLOOKUP(INDIRECT(ADDRESS(2,COLUMN())),OFFSET($K$2,0,0,ROW()-1,5),ROW()-1,FALSE))</f>
        <v/>
      </c>
      <c r="G221">
        <f ca="1">IF(AND(ISNUMBER($G$1340),$B$1132=1),$G$1340,HLOOKUP(INDIRECT(ADDRESS(2,COLUMN())),OFFSET($K$2,0,0,ROW()-1,5),ROW()-1,FALSE))</f>
        <v>3.5831001000000001E-2</v>
      </c>
      <c r="H221" t="str">
        <f ca="1">IF(AND(ISNUMBER($H$1340),$B$1132=1),$H$1340,HLOOKUP(INDIRECT(ADDRESS(2,COLUMN())),OFFSET($K$2,0,0,ROW()-1,5),ROW()-1,FALSE))</f>
        <v/>
      </c>
      <c r="I221" t="str">
        <f ca="1">IF(AND(ISNUMBER($I$1340),$B$1132=1),$I$1340,HLOOKUP(INDIRECT(ADDRESS(2,COLUMN())),OFFSET($K$2,0,0,ROW()-1,5),ROW()-1,FALSE))</f>
        <v/>
      </c>
      <c r="J221" t="str">
        <f ca="1">IF(AND(ISNUMBER($J$1340),$B$1132=1),$J$1340,HLOOKUP(INDIRECT(ADDRESS(2,COLUMN())),OFFSET($K$2,0,0,ROW()-1,5),ROW()-1,FALSE))</f>
        <v/>
      </c>
      <c r="K221" t="str">
        <f>""</f>
        <v/>
      </c>
      <c r="L221">
        <f>0.035831001</f>
        <v>3.5831001000000001E-2</v>
      </c>
      <c r="M221" t="str">
        <f>""</f>
        <v/>
      </c>
      <c r="N221" t="str">
        <f>""</f>
        <v/>
      </c>
      <c r="O221" t="str">
        <f>""</f>
        <v/>
      </c>
    </row>
    <row r="222" spans="1:15" x14ac:dyDescent="0.25">
      <c r="A222" t="str">
        <f>"                    Remy Cointreau SA"</f>
        <v xml:space="preserve">                    Remy Cointreau SA</v>
      </c>
      <c r="B222" t="str">
        <f>"RCO FP Equity"</f>
        <v>RCO FP Equity</v>
      </c>
      <c r="C222" t="str">
        <f t="shared" si="21"/>
        <v>F0946</v>
      </c>
      <c r="D222" t="str">
        <f t="shared" si="22"/>
        <v>TOTAL_GHG_CO2_EMISSIONS</v>
      </c>
      <c r="E222" t="str">
        <f t="shared" si="23"/>
        <v>Dynamic</v>
      </c>
      <c r="F222" t="str">
        <f ca="1">IF(AND(ISNUMBER($F$1341),$B$1132=1),$F$1341,HLOOKUP(INDIRECT(ADDRESS(2,COLUMN())),OFFSET($K$2,0,0,ROW()-1,5),ROW()-1,FALSE))</f>
        <v/>
      </c>
      <c r="G222">
        <f ca="1">IF(AND(ISNUMBER($G$1341),$B$1132=1),$G$1341,HLOOKUP(INDIRECT(ADDRESS(2,COLUMN())),OFFSET($K$2,0,0,ROW()-1,5),ROW()-1,FALSE))</f>
        <v>7.1390000000000004E-3</v>
      </c>
      <c r="H222">
        <f ca="1">IF(AND(ISNUMBER($H$1341),$B$1132=1),$H$1341,HLOOKUP(INDIRECT(ADDRESS(2,COLUMN())),OFFSET($K$2,0,0,ROW()-1,5),ROW()-1,FALSE))</f>
        <v>7.8580000000000004E-3</v>
      </c>
      <c r="I222">
        <f ca="1">IF(AND(ISNUMBER($I$1341),$B$1132=1),$I$1341,HLOOKUP(INDIRECT(ADDRESS(2,COLUMN())),OFFSET($K$2,0,0,ROW()-1,5),ROW()-1,FALSE))</f>
        <v>8.2539999999999992E-3</v>
      </c>
      <c r="J222">
        <f ca="1">IF(AND(ISNUMBER($J$1341),$B$1132=1),$J$1341,HLOOKUP(INDIRECT(ADDRESS(2,COLUMN())),OFFSET($K$2,0,0,ROW()-1,5),ROW()-1,FALSE))</f>
        <v>1.1332999999999999E-2</v>
      </c>
      <c r="K222" t="str">
        <f>""</f>
        <v/>
      </c>
      <c r="L222">
        <f>0.007139</f>
        <v>7.1390000000000004E-3</v>
      </c>
      <c r="M222">
        <f>0.007858</f>
        <v>7.8580000000000004E-3</v>
      </c>
      <c r="N222">
        <f>0.008254</f>
        <v>8.2539999999999992E-3</v>
      </c>
      <c r="O222">
        <f>0.011333</f>
        <v>1.1332999999999999E-2</v>
      </c>
    </row>
    <row r="223" spans="1:15" x14ac:dyDescent="0.25">
      <c r="A223" t="str">
        <f>"                    Sapporo Holdings Ltd"</f>
        <v xml:space="preserve">                    Sapporo Holdings Ltd</v>
      </c>
      <c r="B223" t="str">
        <f>"2501 JP Equity"</f>
        <v>2501 JP Equity</v>
      </c>
      <c r="C223" t="str">
        <f t="shared" si="21"/>
        <v>F0946</v>
      </c>
      <c r="D223" t="str">
        <f t="shared" si="22"/>
        <v>TOTAL_GHG_CO2_EMISSIONS</v>
      </c>
      <c r="E223" t="str">
        <f t="shared" si="23"/>
        <v>Dynamic</v>
      </c>
      <c r="F223" t="str">
        <f ca="1">IF(AND(ISNUMBER($F$1342),$B$1132=1),$F$1342,HLOOKUP(INDIRECT(ADDRESS(2,COLUMN())),OFFSET($K$2,0,0,ROW()-1,5),ROW()-1,FALSE))</f>
        <v/>
      </c>
      <c r="G223">
        <f ca="1">IF(AND(ISNUMBER($G$1342),$B$1132=1),$G$1342,HLOOKUP(INDIRECT(ADDRESS(2,COLUMN())),OFFSET($K$2,0,0,ROW()-1,5),ROW()-1,FALSE))</f>
        <v>0.18410000600000001</v>
      </c>
      <c r="H223">
        <f ca="1">IF(AND(ISNUMBER($H$1342),$B$1132=1),$H$1342,HLOOKUP(INDIRECT(ADDRESS(2,COLUMN())),OFFSET($K$2,0,0,ROW()-1,5),ROW()-1,FALSE))</f>
        <v>0.18049999999999999</v>
      </c>
      <c r="I223">
        <f ca="1">IF(AND(ISNUMBER($I$1342),$B$1132=1),$I$1342,HLOOKUP(INDIRECT(ADDRESS(2,COLUMN())),OFFSET($K$2,0,0,ROW()-1,5),ROW()-1,FALSE))</f>
        <v>0.206899994</v>
      </c>
      <c r="J223">
        <f ca="1">IF(AND(ISNUMBER($J$1342),$B$1132=1),$J$1342,HLOOKUP(INDIRECT(ADDRESS(2,COLUMN())),OFFSET($K$2,0,0,ROW()-1,5),ROW()-1,FALSE))</f>
        <v>0.25539999400000002</v>
      </c>
      <c r="K223" t="str">
        <f>""</f>
        <v/>
      </c>
      <c r="L223">
        <f>0.184100006</f>
        <v>0.18410000600000001</v>
      </c>
      <c r="M223">
        <f>0.1805</f>
        <v>0.18049999999999999</v>
      </c>
      <c r="N223">
        <f>0.206899994</f>
        <v>0.206899994</v>
      </c>
      <c r="O223">
        <f>0.255399994</f>
        <v>0.25539999400000002</v>
      </c>
    </row>
    <row r="224" spans="1:15" x14ac:dyDescent="0.25">
      <c r="A224" t="str">
        <f>"                    Suntory Beverage &amp; Food Ltd"</f>
        <v xml:space="preserve">                    Suntory Beverage &amp; Food Ltd</v>
      </c>
      <c r="B224" t="str">
        <f>"2587 JP Equity"</f>
        <v>2587 JP Equity</v>
      </c>
      <c r="C224" t="str">
        <f t="shared" si="21"/>
        <v>F0946</v>
      </c>
      <c r="D224" t="str">
        <f t="shared" si="22"/>
        <v>TOTAL_GHG_CO2_EMISSIONS</v>
      </c>
      <c r="E224" t="str">
        <f t="shared" si="23"/>
        <v>Dynamic</v>
      </c>
      <c r="F224" t="str">
        <f ca="1">IF(AND(ISNUMBER($F$1343),$B$1132=1),$F$1343,HLOOKUP(INDIRECT(ADDRESS(2,COLUMN())),OFFSET($K$2,0,0,ROW()-1,5),ROW()-1,FALSE))</f>
        <v/>
      </c>
      <c r="G224">
        <f ca="1">IF(AND(ISNUMBER($G$1343),$B$1132=1),$G$1343,HLOOKUP(INDIRECT(ADDRESS(2,COLUMN())),OFFSET($K$2,0,0,ROW()-1,5),ROW()-1,FALSE))</f>
        <v>0.51500000000000001</v>
      </c>
      <c r="H224">
        <f ca="1">IF(AND(ISNUMBER($H$1343),$B$1132=1),$H$1343,HLOOKUP(INDIRECT(ADDRESS(2,COLUMN())),OFFSET($K$2,0,0,ROW()-1,5),ROW()-1,FALSE))</f>
        <v>0.48599999999999999</v>
      </c>
      <c r="I224">
        <f ca="1">IF(AND(ISNUMBER($I$1343),$B$1132=1),$I$1343,HLOOKUP(INDIRECT(ADDRESS(2,COLUMN())),OFFSET($K$2,0,0,ROW()-1,5),ROW()-1,FALSE))</f>
        <v>0.501</v>
      </c>
      <c r="J224">
        <f ca="1">IF(AND(ISNUMBER($J$1343),$B$1132=1),$J$1343,HLOOKUP(INDIRECT(ADDRESS(2,COLUMN())),OFFSET($K$2,0,0,ROW()-1,5),ROW()-1,FALSE))</f>
        <v>0.46200000000000002</v>
      </c>
      <c r="K224" t="str">
        <f>""</f>
        <v/>
      </c>
      <c r="L224">
        <f>0.515</f>
        <v>0.51500000000000001</v>
      </c>
      <c r="M224">
        <f>0.486</f>
        <v>0.48599999999999999</v>
      </c>
      <c r="N224">
        <f>0.501</f>
        <v>0.501</v>
      </c>
      <c r="O224">
        <f>0.462</f>
        <v>0.46200000000000002</v>
      </c>
    </row>
    <row r="225" spans="1:15" x14ac:dyDescent="0.25">
      <c r="A225" t="str">
        <f>"                    Takara Holdings Inc"</f>
        <v xml:space="preserve">                    Takara Holdings Inc</v>
      </c>
      <c r="B225" t="str">
        <f>"2531 JP Equity"</f>
        <v>2531 JP Equity</v>
      </c>
      <c r="C225" t="str">
        <f t="shared" si="21"/>
        <v>F0946</v>
      </c>
      <c r="D225" t="str">
        <f t="shared" si="22"/>
        <v>TOTAL_GHG_CO2_EMISSIONS</v>
      </c>
      <c r="E225" t="str">
        <f t="shared" si="23"/>
        <v>Dynamic</v>
      </c>
      <c r="F225" t="str">
        <f ca="1">IF(AND(ISNUMBER($F$1344),$B$1132=1),$F$1344,HLOOKUP(INDIRECT(ADDRESS(2,COLUMN())),OFFSET($K$2,0,0,ROW()-1,5),ROW()-1,FALSE))</f>
        <v/>
      </c>
      <c r="G225">
        <f ca="1">IF(AND(ISNUMBER($G$1344),$B$1132=1),$G$1344,HLOOKUP(INDIRECT(ADDRESS(2,COLUMN())),OFFSET($K$2,0,0,ROW()-1,5),ROW()-1,FALSE))</f>
        <v>0.112800003</v>
      </c>
      <c r="H225">
        <f ca="1">IF(AND(ISNUMBER($H$1344),$B$1132=1),$H$1344,HLOOKUP(INDIRECT(ADDRESS(2,COLUMN())),OFFSET($K$2,0,0,ROW()-1,5),ROW()-1,FALSE))</f>
        <v>0.112800003</v>
      </c>
      <c r="I225">
        <f ca="1">IF(AND(ISNUMBER($I$1344),$B$1132=1),$I$1344,HLOOKUP(INDIRECT(ADDRESS(2,COLUMN())),OFFSET($K$2,0,0,ROW()-1,5),ROW()-1,FALSE))</f>
        <v>0.11019999699999999</v>
      </c>
      <c r="J225">
        <f ca="1">IF(AND(ISNUMBER($J$1344),$B$1132=1),$J$1344,HLOOKUP(INDIRECT(ADDRESS(2,COLUMN())),OFFSET($K$2,0,0,ROW()-1,5),ROW()-1,FALSE))</f>
        <v>0.113300003</v>
      </c>
      <c r="K225" t="str">
        <f>""</f>
        <v/>
      </c>
      <c r="L225">
        <f>0.112800003</f>
        <v>0.112800003</v>
      </c>
      <c r="M225">
        <f>0.112800003</f>
        <v>0.112800003</v>
      </c>
      <c r="N225">
        <f>0.110199997</f>
        <v>0.11019999699999999</v>
      </c>
      <c r="O225">
        <f>0.113300003</f>
        <v>0.113300003</v>
      </c>
    </row>
    <row r="226" spans="1:15" x14ac:dyDescent="0.25">
      <c r="A226" t="str">
        <f>"                    Tata Consumer Products Ltd"</f>
        <v xml:space="preserve">                    Tata Consumer Products Ltd</v>
      </c>
      <c r="B226" t="str">
        <f>"TATACONS IN Equity"</f>
        <v>TATACONS IN Equity</v>
      </c>
      <c r="C226" t="str">
        <f t="shared" si="21"/>
        <v>F0946</v>
      </c>
      <c r="D226" t="str">
        <f t="shared" si="22"/>
        <v>TOTAL_GHG_CO2_EMISSIONS</v>
      </c>
      <c r="E226" t="str">
        <f t="shared" si="23"/>
        <v>Dynamic</v>
      </c>
      <c r="F226">
        <f ca="1">IF(AND(ISNUMBER($F$1345),$B$1132=1),$F$1345,HLOOKUP(INDIRECT(ADDRESS(2,COLUMN())),OFFSET($K$2,0,0,ROW()-1,5),ROW()-1,FALSE))</f>
        <v>2.6681E-2</v>
      </c>
      <c r="G226">
        <f ca="1">IF(AND(ISNUMBER($G$1345),$B$1132=1),$G$1345,HLOOKUP(INDIRECT(ADDRESS(2,COLUMN())),OFFSET($K$2,0,0,ROW()-1,5),ROW()-1,FALSE))</f>
        <v>3.1454000000000003E-2</v>
      </c>
      <c r="H226">
        <f ca="1">IF(AND(ISNUMBER($H$1345),$B$1132=1),$H$1345,HLOOKUP(INDIRECT(ADDRESS(2,COLUMN())),OFFSET($K$2,0,0,ROW()-1,5),ROW()-1,FALSE))</f>
        <v>3.2341999000000003E-2</v>
      </c>
      <c r="I226">
        <f ca="1">IF(AND(ISNUMBER($I$1345),$B$1132=1),$I$1345,HLOOKUP(INDIRECT(ADDRESS(2,COLUMN())),OFFSET($K$2,0,0,ROW()-1,5),ROW()-1,FALSE))</f>
        <v>2.8767999999999998E-2</v>
      </c>
      <c r="J226">
        <f ca="1">IF(AND(ISNUMBER($J$1345),$B$1132=1),$J$1345,HLOOKUP(INDIRECT(ADDRESS(2,COLUMN())),OFFSET($K$2,0,0,ROW()-1,5),ROW()-1,FALSE))</f>
        <v>2.6915001000000001E-2</v>
      </c>
      <c r="K226">
        <f>0.026681</f>
        <v>2.6681E-2</v>
      </c>
      <c r="L226">
        <f>0.031454</f>
        <v>3.1454000000000003E-2</v>
      </c>
      <c r="M226">
        <f>0.032341999</f>
        <v>3.2341999000000003E-2</v>
      </c>
      <c r="N226">
        <f>0.028768</f>
        <v>2.8767999999999998E-2</v>
      </c>
      <c r="O226">
        <f>0.026915001</f>
        <v>2.6915001000000001E-2</v>
      </c>
    </row>
    <row r="227" spans="1:15" x14ac:dyDescent="0.25">
      <c r="A227" t="str">
        <f>"                    Thai Beverage PCL"</f>
        <v xml:space="preserve">                    Thai Beverage PCL</v>
      </c>
      <c r="B227" t="str">
        <f>"THBEV SP Equity"</f>
        <v>THBEV SP Equity</v>
      </c>
      <c r="C227" t="str">
        <f t="shared" si="21"/>
        <v>F0946</v>
      </c>
      <c r="D227" t="str">
        <f t="shared" si="22"/>
        <v>TOTAL_GHG_CO2_EMISSIONS</v>
      </c>
      <c r="E227" t="str">
        <f t="shared" si="23"/>
        <v>Dynamic</v>
      </c>
      <c r="F227">
        <f ca="1">IF(AND(ISNUMBER($F$1346),$B$1132=1),$F$1346,HLOOKUP(INDIRECT(ADDRESS(2,COLUMN())),OFFSET($K$2,0,0,ROW()-1,5),ROW()-1,FALSE))</f>
        <v>0.93472699000000004</v>
      </c>
      <c r="G227">
        <f ca="1">IF(AND(ISNUMBER($G$1346),$B$1132=1),$G$1346,HLOOKUP(INDIRECT(ADDRESS(2,COLUMN())),OFFSET($K$2,0,0,ROW()-1,5),ROW()-1,FALSE))</f>
        <v>1.0086799930000001</v>
      </c>
      <c r="H227">
        <f ca="1">IF(AND(ISNUMBER($H$1346),$B$1132=1),$H$1346,HLOOKUP(INDIRECT(ADDRESS(2,COLUMN())),OFFSET($K$2,0,0,ROW()-1,5),ROW()-1,FALSE))</f>
        <v>1.062859985</v>
      </c>
      <c r="I227">
        <f ca="1">IF(AND(ISNUMBER($I$1346),$B$1132=1),$I$1346,HLOOKUP(INDIRECT(ADDRESS(2,COLUMN())),OFFSET($K$2,0,0,ROW()-1,5),ROW()-1,FALSE))</f>
        <v>1.114339966</v>
      </c>
      <c r="J227">
        <f ca="1">IF(AND(ISNUMBER($J$1346),$B$1132=1),$J$1346,HLOOKUP(INDIRECT(ADDRESS(2,COLUMN())),OFFSET($K$2,0,0,ROW()-1,5),ROW()-1,FALSE))</f>
        <v>0.76000897199999995</v>
      </c>
      <c r="K227">
        <f>0.93472699</f>
        <v>0.93472699000000004</v>
      </c>
      <c r="L227">
        <f>1.008679993</f>
        <v>1.0086799930000001</v>
      </c>
      <c r="M227">
        <f>1.062859985</f>
        <v>1.062859985</v>
      </c>
      <c r="N227">
        <f>1.114339966</f>
        <v>1.114339966</v>
      </c>
      <c r="O227">
        <f>0.760008972</f>
        <v>0.76000897199999995</v>
      </c>
    </row>
    <row r="228" spans="1:15" x14ac:dyDescent="0.25">
      <c r="A228" t="str">
        <f>"                    Tsingtao Brewery Co Ltd"</f>
        <v xml:space="preserve">                    Tsingtao Brewery Co Ltd</v>
      </c>
      <c r="B228" t="str">
        <f>"600600 CH Equity"</f>
        <v>600600 CH Equity</v>
      </c>
      <c r="C228" t="str">
        <f t="shared" si="21"/>
        <v>F0946</v>
      </c>
      <c r="D228" t="str">
        <f t="shared" si="22"/>
        <v>TOTAL_GHG_CO2_EMISSIONS</v>
      </c>
      <c r="E228" t="str">
        <f t="shared" si="23"/>
        <v>Dynamic</v>
      </c>
      <c r="F228">
        <f ca="1">IF(AND(ISNUMBER($F$1347),$B$1132=1),$F$1347,HLOOKUP(INDIRECT(ADDRESS(2,COLUMN())),OFFSET($K$2,0,0,ROW()-1,5),ROW()-1,FALSE))</f>
        <v>0.74409600799999998</v>
      </c>
      <c r="G228">
        <f ca="1">IF(AND(ISNUMBER($G$1347),$B$1132=1),$G$1347,HLOOKUP(INDIRECT(ADDRESS(2,COLUMN())),OFFSET($K$2,0,0,ROW()-1,5),ROW()-1,FALSE))</f>
        <v>0.77864599599999995</v>
      </c>
      <c r="H228">
        <f ca="1">IF(AND(ISNUMBER($H$1347),$B$1132=1),$H$1347,HLOOKUP(INDIRECT(ADDRESS(2,COLUMN())),OFFSET($K$2,0,0,ROW()-1,5),ROW()-1,FALSE))</f>
        <v>0.85140698199999998</v>
      </c>
      <c r="I228">
        <f ca="1">IF(AND(ISNUMBER($I$1347),$B$1132=1),$I$1347,HLOOKUP(INDIRECT(ADDRESS(2,COLUMN())),OFFSET($K$2,0,0,ROW()-1,5),ROW()-1,FALSE))</f>
        <v>0.92779699699999996</v>
      </c>
      <c r="J228" t="str">
        <f ca="1">IF(AND(ISNUMBER($J$1347),$B$1132=1),$J$1347,HLOOKUP(INDIRECT(ADDRESS(2,COLUMN())),OFFSET($K$2,0,0,ROW()-1,5),ROW()-1,FALSE))</f>
        <v/>
      </c>
      <c r="K228">
        <f>0.744096008</f>
        <v>0.74409600799999998</v>
      </c>
      <c r="L228">
        <f>0.778645996</f>
        <v>0.77864599599999995</v>
      </c>
      <c r="M228">
        <f>0.851406982</f>
        <v>0.85140698199999998</v>
      </c>
      <c r="N228">
        <f>0.927796997</f>
        <v>0.92779699699999996</v>
      </c>
      <c r="O228" t="str">
        <f>""</f>
        <v/>
      </c>
    </row>
    <row r="229" spans="1:15" x14ac:dyDescent="0.25">
      <c r="A229" t="str">
        <f>"                    Tingyi Cayman Islands Holding"</f>
        <v xml:space="preserve">                    Tingyi Cayman Islands Holding</v>
      </c>
      <c r="B229" t="str">
        <f>"322 HK Equity"</f>
        <v>322 HK Equity</v>
      </c>
      <c r="C229" t="str">
        <f t="shared" ref="C229:C237" si="24">"F0946"</f>
        <v>F0946</v>
      </c>
      <c r="D229" t="str">
        <f t="shared" ref="D229:D237" si="25">"TOTAL_GHG_CO2_EMISSIONS"</f>
        <v>TOTAL_GHG_CO2_EMISSIONS</v>
      </c>
      <c r="E229" t="str">
        <f t="shared" ref="E229:E237" si="26">"Dynamic"</f>
        <v>Dynamic</v>
      </c>
      <c r="F229" t="str">
        <f ca="1">IF(AND(ISNUMBER($F$1348),$B$1132=1),$F$1348,HLOOKUP(INDIRECT(ADDRESS(2,COLUMN())),OFFSET($K$2,0,0,ROW()-1,5),ROW()-1,FALSE))</f>
        <v/>
      </c>
      <c r="G229">
        <f ca="1">IF(AND(ISNUMBER($G$1348),$B$1132=1),$G$1348,HLOOKUP(INDIRECT(ADDRESS(2,COLUMN())),OFFSET($K$2,0,0,ROW()-1,5),ROW()-1,FALSE))</f>
        <v>2.2823000489999998</v>
      </c>
      <c r="H229">
        <f ca="1">IF(AND(ISNUMBER($H$1348),$B$1132=1),$H$1348,HLOOKUP(INDIRECT(ADDRESS(2,COLUMN())),OFFSET($K$2,0,0,ROW()-1,5),ROW()-1,FALSE))</f>
        <v>1.022</v>
      </c>
      <c r="I229">
        <f ca="1">IF(AND(ISNUMBER($I$1348),$B$1132=1),$I$1348,HLOOKUP(INDIRECT(ADDRESS(2,COLUMN())),OFFSET($K$2,0,0,ROW()-1,5),ROW()-1,FALSE))</f>
        <v>0.995</v>
      </c>
      <c r="J229">
        <f ca="1">IF(AND(ISNUMBER($J$1348),$B$1132=1),$J$1348,HLOOKUP(INDIRECT(ADDRESS(2,COLUMN())),OFFSET($K$2,0,0,ROW()-1,5),ROW()-1,FALSE))</f>
        <v>1.071</v>
      </c>
      <c r="K229" t="str">
        <f>""</f>
        <v/>
      </c>
      <c r="L229">
        <f>2.282300049</f>
        <v>2.2823000489999998</v>
      </c>
      <c r="M229">
        <f>1.022</f>
        <v>1.022</v>
      </c>
      <c r="N229">
        <f>0.995</f>
        <v>0.995</v>
      </c>
      <c r="O229">
        <f>1.071</f>
        <v>1.071</v>
      </c>
    </row>
    <row r="230" spans="1:15" x14ac:dyDescent="0.25">
      <c r="A230" t="str">
        <f>"                    Treasury Wine Estates Ltd"</f>
        <v xml:space="preserve">                    Treasury Wine Estates Ltd</v>
      </c>
      <c r="B230" t="str">
        <f>"TWE AU Equity"</f>
        <v>TWE AU Equity</v>
      </c>
      <c r="C230" t="str">
        <f t="shared" si="24"/>
        <v>F0946</v>
      </c>
      <c r="D230" t="str">
        <f t="shared" si="25"/>
        <v>TOTAL_GHG_CO2_EMISSIONS</v>
      </c>
      <c r="E230" t="str">
        <f t="shared" si="26"/>
        <v>Dynamic</v>
      </c>
      <c r="F230" t="str">
        <f ca="1">IF(AND(ISNUMBER($F$1349),$B$1132=1),$F$1349,HLOOKUP(INDIRECT(ADDRESS(2,COLUMN())),OFFSET($K$2,0,0,ROW()-1,5),ROW()-1,FALSE))</f>
        <v/>
      </c>
      <c r="G230">
        <f ca="1">IF(AND(ISNUMBER($G$1349),$B$1132=1),$G$1349,HLOOKUP(INDIRECT(ADDRESS(2,COLUMN())),OFFSET($K$2,0,0,ROW()-1,5),ROW()-1,FALSE))</f>
        <v>4.0700001E-2</v>
      </c>
      <c r="H230">
        <f ca="1">IF(AND(ISNUMBER($H$1349),$B$1132=1),$H$1349,HLOOKUP(INDIRECT(ADDRESS(2,COLUMN())),OFFSET($K$2,0,0,ROW()-1,5),ROW()-1,FALSE))</f>
        <v>4.7299999000000002E-2</v>
      </c>
      <c r="I230">
        <f ca="1">IF(AND(ISNUMBER($I$1349),$B$1132=1),$I$1349,HLOOKUP(INDIRECT(ADDRESS(2,COLUMN())),OFFSET($K$2,0,0,ROW()-1,5),ROW()-1,FALSE))</f>
        <v>4.5700000999999997E-2</v>
      </c>
      <c r="J230">
        <f ca="1">IF(AND(ISNUMBER($J$1349),$B$1132=1),$J$1349,HLOOKUP(INDIRECT(ADDRESS(2,COLUMN())),OFFSET($K$2,0,0,ROW()-1,5),ROW()-1,FALSE))</f>
        <v>4.7599997999999998E-2</v>
      </c>
      <c r="K230" t="str">
        <f>""</f>
        <v/>
      </c>
      <c r="L230">
        <f>0.040700001</f>
        <v>4.0700001E-2</v>
      </c>
      <c r="M230">
        <f>0.047299999</f>
        <v>4.7299999000000002E-2</v>
      </c>
      <c r="N230">
        <f>0.045700001</f>
        <v>4.5700000999999997E-2</v>
      </c>
      <c r="O230">
        <f>0.047599998</f>
        <v>4.7599997999999998E-2</v>
      </c>
    </row>
    <row r="231" spans="1:15" x14ac:dyDescent="0.25">
      <c r="A231" t="str">
        <f>"                    Union de Cervecerias Peruanas"</f>
        <v xml:space="preserve">                    Union de Cervecerias Peruanas</v>
      </c>
      <c r="B231" t="str">
        <f>"BACKUSI1 PE Equity"</f>
        <v>BACKUSI1 PE Equity</v>
      </c>
      <c r="C231" t="str">
        <f t="shared" si="24"/>
        <v>F0946</v>
      </c>
      <c r="D231" t="str">
        <f t="shared" si="25"/>
        <v>TOTAL_GHG_CO2_EMISSIONS</v>
      </c>
      <c r="E231" t="str">
        <f t="shared" si="26"/>
        <v>Dynamic</v>
      </c>
      <c r="F231" t="str">
        <f ca="1">IF(AND(ISNUMBER($F$1350),$B$1132=1),$F$1350,HLOOKUP(INDIRECT(ADDRESS(2,COLUMN())),OFFSET($K$2,0,0,ROW()-1,5),ROW()-1,FALSE))</f>
        <v/>
      </c>
      <c r="G231" t="str">
        <f ca="1">IF(AND(ISNUMBER($G$1350),$B$1132=1),$G$1350,HLOOKUP(INDIRECT(ADDRESS(2,COLUMN())),OFFSET($K$2,0,0,ROW()-1,5),ROW()-1,FALSE))</f>
        <v/>
      </c>
      <c r="H231" t="str">
        <f ca="1">IF(AND(ISNUMBER($H$1350),$B$1132=1),$H$1350,HLOOKUP(INDIRECT(ADDRESS(2,COLUMN())),OFFSET($K$2,0,0,ROW()-1,5),ROW()-1,FALSE))</f>
        <v/>
      </c>
      <c r="I231" t="str">
        <f ca="1">IF(AND(ISNUMBER($I$1350),$B$1132=1),$I$1350,HLOOKUP(INDIRECT(ADDRESS(2,COLUMN())),OFFSET($K$2,0,0,ROW()-1,5),ROW()-1,FALSE))</f>
        <v/>
      </c>
      <c r="J231" t="str">
        <f ca="1">IF(AND(ISNUMBER($J$1350),$B$1132=1),$J$1350,HLOOKUP(INDIRECT(ADDRESS(2,COLUMN())),OFFSET($K$2,0,0,ROW()-1,5),ROW()-1,FALSE))</f>
        <v/>
      </c>
      <c r="K231" t="str">
        <f>""</f>
        <v/>
      </c>
      <c r="L231" t="str">
        <f>""</f>
        <v/>
      </c>
      <c r="M231" t="str">
        <f>""</f>
        <v/>
      </c>
      <c r="N231" t="str">
        <f>""</f>
        <v/>
      </c>
      <c r="O231" t="str">
        <f>""</f>
        <v/>
      </c>
    </row>
    <row r="232" spans="1:15" x14ac:dyDescent="0.25">
      <c r="A232" t="str">
        <f>"                    United Spirits Ltd"</f>
        <v xml:space="preserve">                    United Spirits Ltd</v>
      </c>
      <c r="B232" t="str">
        <f>"UNSP IN Equity"</f>
        <v>UNSP IN Equity</v>
      </c>
      <c r="C232" t="str">
        <f t="shared" si="24"/>
        <v>F0946</v>
      </c>
      <c r="D232" t="str">
        <f t="shared" si="25"/>
        <v>TOTAL_GHG_CO2_EMISSIONS</v>
      </c>
      <c r="E232" t="str">
        <f t="shared" si="26"/>
        <v>Dynamic</v>
      </c>
      <c r="F232" t="str">
        <f ca="1">IF(AND(ISNUMBER($F$1351),$B$1132=1),$F$1351,HLOOKUP(INDIRECT(ADDRESS(2,COLUMN())),OFFSET($K$2,0,0,ROW()-1,5),ROW()-1,FALSE))</f>
        <v/>
      </c>
      <c r="G232" t="str">
        <f ca="1">IF(AND(ISNUMBER($G$1351),$B$1132=1),$G$1351,HLOOKUP(INDIRECT(ADDRESS(2,COLUMN())),OFFSET($K$2,0,0,ROW()-1,5),ROW()-1,FALSE))</f>
        <v/>
      </c>
      <c r="H232" t="str">
        <f ca="1">IF(AND(ISNUMBER($H$1351),$B$1132=1),$H$1351,HLOOKUP(INDIRECT(ADDRESS(2,COLUMN())),OFFSET($K$2,0,0,ROW()-1,5),ROW()-1,FALSE))</f>
        <v/>
      </c>
      <c r="I232" t="str">
        <f ca="1">IF(AND(ISNUMBER($I$1351),$B$1132=1),$I$1351,HLOOKUP(INDIRECT(ADDRESS(2,COLUMN())),OFFSET($K$2,0,0,ROW()-1,5),ROW()-1,FALSE))</f>
        <v/>
      </c>
      <c r="J232" t="str">
        <f ca="1">IF(AND(ISNUMBER($J$1351),$B$1132=1),$J$1351,HLOOKUP(INDIRECT(ADDRESS(2,COLUMN())),OFFSET($K$2,0,0,ROW()-1,5),ROW()-1,FALSE))</f>
        <v/>
      </c>
      <c r="K232" t="str">
        <f>""</f>
        <v/>
      </c>
      <c r="L232" t="str">
        <f>""</f>
        <v/>
      </c>
      <c r="M232" t="str">
        <f>""</f>
        <v/>
      </c>
      <c r="N232" t="str">
        <f>""</f>
        <v/>
      </c>
      <c r="O232" t="str">
        <f>""</f>
        <v/>
      </c>
    </row>
    <row r="233" spans="1:15" x14ac:dyDescent="0.25">
      <c r="A233" t="str">
        <f>"                    Uni-President China Holdings L"</f>
        <v xml:space="preserve">                    Uni-President China Holdings L</v>
      </c>
      <c r="B233" t="str">
        <f>"220 HK Equity"</f>
        <v>220 HK Equity</v>
      </c>
      <c r="C233" t="str">
        <f t="shared" si="24"/>
        <v>F0946</v>
      </c>
      <c r="D233" t="str">
        <f t="shared" si="25"/>
        <v>TOTAL_GHG_CO2_EMISSIONS</v>
      </c>
      <c r="E233" t="str">
        <f t="shared" si="26"/>
        <v>Dynamic</v>
      </c>
      <c r="F233">
        <f ca="1">IF(AND(ISNUMBER($F$1352),$B$1132=1),$F$1352,HLOOKUP(INDIRECT(ADDRESS(2,COLUMN())),OFFSET($K$2,0,0,ROW()-1,5),ROW()-1,FALSE))</f>
        <v>0.64701001000000002</v>
      </c>
      <c r="G233">
        <f ca="1">IF(AND(ISNUMBER($G$1352),$B$1132=1),$G$1352,HLOOKUP(INDIRECT(ADDRESS(2,COLUMN())),OFFSET($K$2,0,0,ROW()-1,5),ROW()-1,FALSE))</f>
        <v>0.59196997100000004</v>
      </c>
      <c r="H233">
        <f ca="1">IF(AND(ISNUMBER($H$1352),$B$1132=1),$H$1352,HLOOKUP(INDIRECT(ADDRESS(2,COLUMN())),OFFSET($K$2,0,0,ROW()-1,5),ROW()-1,FALSE))</f>
        <v>0.52821899400000005</v>
      </c>
      <c r="I233">
        <f ca="1">IF(AND(ISNUMBER($I$1352),$B$1132=1),$I$1352,HLOOKUP(INDIRECT(ADDRESS(2,COLUMN())),OFFSET($K$2,0,0,ROW()-1,5),ROW()-1,FALSE))</f>
        <v>0.45863699299999999</v>
      </c>
      <c r="J233">
        <f ca="1">IF(AND(ISNUMBER($J$1352),$B$1132=1),$J$1352,HLOOKUP(INDIRECT(ADDRESS(2,COLUMN())),OFFSET($K$2,0,0,ROW()-1,5),ROW()-1,FALSE))</f>
        <v>0.45472399899999999</v>
      </c>
      <c r="K233">
        <f>0.64701001</f>
        <v>0.64701001000000002</v>
      </c>
      <c r="L233">
        <f>0.591969971</f>
        <v>0.59196997100000004</v>
      </c>
      <c r="M233">
        <f>0.528218994</f>
        <v>0.52821899400000005</v>
      </c>
      <c r="N233">
        <f>0.458636993</f>
        <v>0.45863699299999999</v>
      </c>
      <c r="O233">
        <f>0.454723999</f>
        <v>0.45472399899999999</v>
      </c>
    </row>
    <row r="234" spans="1:15" x14ac:dyDescent="0.25">
      <c r="A234" t="str">
        <f>"                    Vina Concha y Toro SA"</f>
        <v xml:space="preserve">                    Vina Concha y Toro SA</v>
      </c>
      <c r="B234" t="str">
        <f>"CONCHA CI Equity"</f>
        <v>CONCHA CI Equity</v>
      </c>
      <c r="C234" t="str">
        <f t="shared" si="24"/>
        <v>F0946</v>
      </c>
      <c r="D234" t="str">
        <f t="shared" si="25"/>
        <v>TOTAL_GHG_CO2_EMISSIONS</v>
      </c>
      <c r="E234" t="str">
        <f t="shared" si="26"/>
        <v>Dynamic</v>
      </c>
      <c r="F234" t="str">
        <f ca="1">IF(AND(ISNUMBER($F$1353),$B$1132=1),$F$1353,HLOOKUP(INDIRECT(ADDRESS(2,COLUMN())),OFFSET($K$2,0,0,ROW()-1,5),ROW()-1,FALSE))</f>
        <v/>
      </c>
      <c r="G234">
        <f ca="1">IF(AND(ISNUMBER($G$1353),$B$1132=1),$G$1353,HLOOKUP(INDIRECT(ADDRESS(2,COLUMN())),OFFSET($K$2,0,0,ROW()-1,5),ROW()-1,FALSE))</f>
        <v>6.2415000999999998E-2</v>
      </c>
      <c r="H234">
        <f ca="1">IF(AND(ISNUMBER($H$1353),$B$1132=1),$H$1353,HLOOKUP(INDIRECT(ADDRESS(2,COLUMN())),OFFSET($K$2,0,0,ROW()-1,5),ROW()-1,FALSE))</f>
        <v>6.1886200000000002E-2</v>
      </c>
      <c r="I234">
        <f ca="1">IF(AND(ISNUMBER($I$1353),$B$1132=1),$I$1353,HLOOKUP(INDIRECT(ADDRESS(2,COLUMN())),OFFSET($K$2,0,0,ROW()-1,5),ROW()-1,FALSE))</f>
        <v>5.5321998999999997E-2</v>
      </c>
      <c r="J234">
        <f ca="1">IF(AND(ISNUMBER($J$1353),$B$1132=1),$J$1353,HLOOKUP(INDIRECT(ADDRESS(2,COLUMN())),OFFSET($K$2,0,0,ROW()-1,5),ROW()-1,FALSE))</f>
        <v>5.8389000000000003E-2</v>
      </c>
      <c r="K234" t="str">
        <f>""</f>
        <v/>
      </c>
      <c r="L234">
        <f>0.062415001</f>
        <v>6.2415000999999998E-2</v>
      </c>
      <c r="M234">
        <f>0.0618862</f>
        <v>6.1886200000000002E-2</v>
      </c>
      <c r="N234">
        <f>0.055321999</f>
        <v>5.5321998999999997E-2</v>
      </c>
      <c r="O234">
        <f>0.058389</f>
        <v>5.8389000000000003E-2</v>
      </c>
    </row>
    <row r="235" spans="1:15" x14ac:dyDescent="0.25">
      <c r="A235" t="str">
        <f>"                    Vita Coco Co Inc/The"</f>
        <v xml:space="preserve">                    Vita Coco Co Inc/The</v>
      </c>
      <c r="B235" t="str">
        <f>"COCO US Equity"</f>
        <v>COCO US Equity</v>
      </c>
      <c r="C235" t="str">
        <f t="shared" si="24"/>
        <v>F0946</v>
      </c>
      <c r="D235" t="str">
        <f t="shared" si="25"/>
        <v>TOTAL_GHG_CO2_EMISSIONS</v>
      </c>
      <c r="E235" t="str">
        <f t="shared" si="26"/>
        <v>Dynamic</v>
      </c>
      <c r="F235" t="str">
        <f ca="1">IF(AND(ISNUMBER($F$1354),$B$1132=1),$F$1354,HLOOKUP(INDIRECT(ADDRESS(2,COLUMN())),OFFSET($K$2,0,0,ROW()-1,5),ROW()-1,FALSE))</f>
        <v/>
      </c>
      <c r="G235" t="str">
        <f ca="1">IF(AND(ISNUMBER($G$1354),$B$1132=1),$G$1354,HLOOKUP(INDIRECT(ADDRESS(2,COLUMN())),OFFSET($K$2,0,0,ROW()-1,5),ROW()-1,FALSE))</f>
        <v/>
      </c>
      <c r="H235" t="str">
        <f ca="1">IF(AND(ISNUMBER($H$1354),$B$1132=1),$H$1354,HLOOKUP(INDIRECT(ADDRESS(2,COLUMN())),OFFSET($K$2,0,0,ROW()-1,5),ROW()-1,FALSE))</f>
        <v/>
      </c>
      <c r="I235" t="str">
        <f ca="1">IF(AND(ISNUMBER($I$1354),$B$1132=1),$I$1354,HLOOKUP(INDIRECT(ADDRESS(2,COLUMN())),OFFSET($K$2,0,0,ROW()-1,5),ROW()-1,FALSE))</f>
        <v/>
      </c>
      <c r="J235" t="str">
        <f ca="1">IF(AND(ISNUMBER($J$1354),$B$1132=1),$J$1354,HLOOKUP(INDIRECT(ADDRESS(2,COLUMN())),OFFSET($K$2,0,0,ROW()-1,5),ROW()-1,FALSE))</f>
        <v/>
      </c>
      <c r="K235" t="str">
        <f>""</f>
        <v/>
      </c>
      <c r="L235" t="str">
        <f>""</f>
        <v/>
      </c>
      <c r="M235" t="str">
        <f>""</f>
        <v/>
      </c>
      <c r="N235" t="str">
        <f>""</f>
        <v/>
      </c>
      <c r="O235" t="str">
        <f>""</f>
        <v/>
      </c>
    </row>
    <row r="236" spans="1:15" x14ac:dyDescent="0.25">
      <c r="A236" t="str">
        <f>"                    Wuliangye Yibin Co Ltd"</f>
        <v xml:space="preserve">                    Wuliangye Yibin Co Ltd</v>
      </c>
      <c r="B236" t="str">
        <f>"000858 CH Equity"</f>
        <v>000858 CH Equity</v>
      </c>
      <c r="C236" t="str">
        <f t="shared" si="24"/>
        <v>F0946</v>
      </c>
      <c r="D236" t="str">
        <f t="shared" si="25"/>
        <v>TOTAL_GHG_CO2_EMISSIONS</v>
      </c>
      <c r="E236" t="str">
        <f t="shared" si="26"/>
        <v>Dynamic</v>
      </c>
      <c r="F236">
        <f ca="1">IF(AND(ISNUMBER($F$1355),$B$1132=1),$F$1355,HLOOKUP(INDIRECT(ADDRESS(2,COLUMN())),OFFSET($K$2,0,0,ROW()-1,5),ROW()-1,FALSE))</f>
        <v>0.48410000600000003</v>
      </c>
      <c r="G236">
        <f ca="1">IF(AND(ISNUMBER($G$1355),$B$1132=1),$G$1355,HLOOKUP(INDIRECT(ADDRESS(2,COLUMN())),OFFSET($K$2,0,0,ROW()-1,5),ROW()-1,FALSE))</f>
        <v>0.51959997599999996</v>
      </c>
      <c r="H236" t="str">
        <f ca="1">IF(AND(ISNUMBER($H$1355),$B$1132=1),$H$1355,HLOOKUP(INDIRECT(ADDRESS(2,COLUMN())),OFFSET($K$2,0,0,ROW()-1,5),ROW()-1,FALSE))</f>
        <v/>
      </c>
      <c r="I236" t="str">
        <f ca="1">IF(AND(ISNUMBER($I$1355),$B$1132=1),$I$1355,HLOOKUP(INDIRECT(ADDRESS(2,COLUMN())),OFFSET($K$2,0,0,ROW()-1,5),ROW()-1,FALSE))</f>
        <v/>
      </c>
      <c r="J236" t="str">
        <f ca="1">IF(AND(ISNUMBER($J$1355),$B$1132=1),$J$1355,HLOOKUP(INDIRECT(ADDRESS(2,COLUMN())),OFFSET($K$2,0,0,ROW()-1,5),ROW()-1,FALSE))</f>
        <v/>
      </c>
      <c r="K236">
        <f>0.484100006</f>
        <v>0.48410000600000003</v>
      </c>
      <c r="L236">
        <f>0.519599976</f>
        <v>0.51959997599999996</v>
      </c>
      <c r="M236" t="str">
        <f>""</f>
        <v/>
      </c>
      <c r="N236" t="str">
        <f>""</f>
        <v/>
      </c>
      <c r="O236" t="str">
        <f>""</f>
        <v/>
      </c>
    </row>
    <row r="237" spans="1:15" x14ac:dyDescent="0.25">
      <c r="A237" t="str">
        <f>"                    Yakult Honsha Co Ltd"</f>
        <v xml:space="preserve">                    Yakult Honsha Co Ltd</v>
      </c>
      <c r="B237" t="str">
        <f>"2267 JP Equity"</f>
        <v>2267 JP Equity</v>
      </c>
      <c r="C237" t="str">
        <f t="shared" si="24"/>
        <v>F0946</v>
      </c>
      <c r="D237" t="str">
        <f t="shared" si="25"/>
        <v>TOTAL_GHG_CO2_EMISSIONS</v>
      </c>
      <c r="E237" t="str">
        <f t="shared" si="26"/>
        <v>Dynamic</v>
      </c>
      <c r="F237" t="str">
        <f ca="1">IF(AND(ISNUMBER($F$1356),$B$1132=1),$F$1356,HLOOKUP(INDIRECT(ADDRESS(2,COLUMN())),OFFSET($K$2,0,0,ROW()-1,5),ROW()-1,FALSE))</f>
        <v/>
      </c>
      <c r="G237">
        <f ca="1">IF(AND(ISNUMBER($G$1356),$B$1132=1),$G$1356,HLOOKUP(INDIRECT(ADDRESS(2,COLUMN())),OFFSET($K$2,0,0,ROW()-1,5),ROW()-1,FALSE))</f>
        <v>8.2903999000000006E-2</v>
      </c>
      <c r="H237">
        <f ca="1">IF(AND(ISNUMBER($H$1356),$B$1132=1),$H$1356,HLOOKUP(INDIRECT(ADDRESS(2,COLUMN())),OFFSET($K$2,0,0,ROW()-1,5),ROW()-1,FALSE))</f>
        <v>8.3730002999999997E-2</v>
      </c>
      <c r="I237">
        <f ca="1">IF(AND(ISNUMBER($I$1356),$B$1132=1),$I$1356,HLOOKUP(INDIRECT(ADDRESS(2,COLUMN())),OFFSET($K$2,0,0,ROW()-1,5),ROW()-1,FALSE))</f>
        <v>7.8918999000000004E-2</v>
      </c>
      <c r="J237">
        <f ca="1">IF(AND(ISNUMBER($J$1356),$B$1132=1),$J$1356,HLOOKUP(INDIRECT(ADDRESS(2,COLUMN())),OFFSET($K$2,0,0,ROW()-1,5),ROW()-1,FALSE))</f>
        <v>7.9303000999999998E-2</v>
      </c>
      <c r="K237" t="str">
        <f>""</f>
        <v/>
      </c>
      <c r="L237">
        <f>0.082903999</f>
        <v>8.2903999000000006E-2</v>
      </c>
      <c r="M237">
        <f>0.083730003</f>
        <v>8.3730002999999997E-2</v>
      </c>
      <c r="N237">
        <f>0.078918999</f>
        <v>7.8918999000000004E-2</v>
      </c>
      <c r="O237">
        <f>0.079303001</f>
        <v>7.9303000999999998E-2</v>
      </c>
    </row>
    <row r="238" spans="1:15" x14ac:dyDescent="0.25">
      <c r="A238" t="str">
        <f>"                Food"</f>
        <v xml:space="preserve">                Food</v>
      </c>
      <c r="B238" t="str">
        <f>""</f>
        <v/>
      </c>
      <c r="E238" t="str">
        <f>"Sum"</f>
        <v>Sum</v>
      </c>
      <c r="F238">
        <f ca="1">IF(ISERROR(IF(SUM($F$239:$F$339) = 0, "", SUM($F$239:$F$339))), "", (IF(SUM($F$239:$F$339) = 0, "", SUM($F$239:$F$339))))</f>
        <v>34.304678038000006</v>
      </c>
      <c r="G238">
        <f ca="1">IF(ISERROR(IF(SUM($G$239:$G$339) = 0, "", SUM($G$239:$G$339))), "", (IF(SUM($G$239:$G$339) = 0, "", SUM($G$239:$G$339))))</f>
        <v>88.37408669700001</v>
      </c>
      <c r="H238">
        <f ca="1">IF(ISERROR(IF(SUM($H$239:$H$339) = 0, "", SUM($H$239:$H$339))), "", (IF(SUM($H$239:$H$339) = 0, "", SUM($H$239:$H$339))))</f>
        <v>81.785049923999992</v>
      </c>
      <c r="I238">
        <f ca="1">IF(ISERROR(IF(SUM($I$239:$I$339) = 0, "", SUM($I$239:$I$339))), "", (IF(SUM($I$239:$I$339) = 0, "", SUM($I$239:$I$339))))</f>
        <v>75.956587439999993</v>
      </c>
      <c r="J238">
        <f ca="1">IF(ISERROR(IF(SUM($J$239:$J$339) = 0, "", SUM($J$239:$J$339))), "", (IF(SUM($J$239:$J$339) = 0, "", SUM($J$239:$J$339))))</f>
        <v>73.922043706000011</v>
      </c>
      <c r="K238" t="str">
        <f>""</f>
        <v/>
      </c>
      <c r="L238">
        <f>88.3740867</f>
        <v>88.374086700000007</v>
      </c>
      <c r="M238">
        <f>81.78504993</f>
        <v>81.78504993</v>
      </c>
      <c r="N238">
        <f>75.95658743</f>
        <v>75.956587429999999</v>
      </c>
      <c r="O238">
        <f>73.9220437</f>
        <v>73.922043700000003</v>
      </c>
    </row>
    <row r="239" spans="1:15" x14ac:dyDescent="0.25">
      <c r="A239" t="str">
        <f>"                    AAK AB"</f>
        <v xml:space="preserve">                    AAK AB</v>
      </c>
      <c r="B239" t="str">
        <f>"AAK SS Equity"</f>
        <v>AAK SS Equity</v>
      </c>
      <c r="C239" t="str">
        <f t="shared" ref="C239:C270" si="27">"F0946"</f>
        <v>F0946</v>
      </c>
      <c r="D239" t="str">
        <f t="shared" ref="D239:D270" si="28">"TOTAL_GHG_CO2_EMISSIONS"</f>
        <v>TOTAL_GHG_CO2_EMISSIONS</v>
      </c>
      <c r="E239" t="str">
        <f t="shared" ref="E239:E270" si="29">"Dynamic"</f>
        <v>Dynamic</v>
      </c>
      <c r="F239">
        <f ca="1">IF(AND(ISNUMBER($F$1357),$B$1132=1),$F$1357,HLOOKUP(INDIRECT(ADDRESS(2,COLUMN())),OFFSET($K$2,0,0,ROW()-1,5),ROW()-1,FALSE))</f>
        <v>0.34392999299999999</v>
      </c>
      <c r="G239">
        <f ca="1">IF(AND(ISNUMBER($G$1357),$B$1132=1),$G$1357,HLOOKUP(INDIRECT(ADDRESS(2,COLUMN())),OFFSET($K$2,0,0,ROW()-1,5),ROW()-1,FALSE))</f>
        <v>0.28801199300000002</v>
      </c>
      <c r="H239">
        <f ca="1">IF(AND(ISNUMBER($H$1357),$B$1132=1),$H$1357,HLOOKUP(INDIRECT(ADDRESS(2,COLUMN())),OFFSET($K$2,0,0,ROW()-1,5),ROW()-1,FALSE))</f>
        <v>0.33768200700000001</v>
      </c>
      <c r="I239">
        <f ca="1">IF(AND(ISNUMBER($I$1357),$B$1132=1),$I$1357,HLOOKUP(INDIRECT(ADDRESS(2,COLUMN())),OFFSET($K$2,0,0,ROW()-1,5),ROW()-1,FALSE))</f>
        <v>0.36373800699999997</v>
      </c>
      <c r="J239">
        <f ca="1">IF(AND(ISNUMBER($J$1357),$B$1132=1),$J$1357,HLOOKUP(INDIRECT(ADDRESS(2,COLUMN())),OFFSET($K$2,0,0,ROW()-1,5),ROW()-1,FALSE))</f>
        <v>0.33900000000000002</v>
      </c>
      <c r="K239">
        <f>0.343929993</f>
        <v>0.34392999299999999</v>
      </c>
      <c r="L239">
        <f>0.288011993</f>
        <v>0.28801199300000002</v>
      </c>
      <c r="M239">
        <f>0.337682007</f>
        <v>0.33768200700000001</v>
      </c>
      <c r="N239">
        <f>0.363738007</f>
        <v>0.36373800699999997</v>
      </c>
      <c r="O239">
        <f>0.339</f>
        <v>0.33900000000000002</v>
      </c>
    </row>
    <row r="240" spans="1:15" x14ac:dyDescent="0.25">
      <c r="A240" t="str">
        <f>"                    Ajinomoto Co Inc"</f>
        <v xml:space="preserve">                    Ajinomoto Co Inc</v>
      </c>
      <c r="B240" t="str">
        <f>"2802 JP Equity"</f>
        <v>2802 JP Equity</v>
      </c>
      <c r="C240" t="str">
        <f t="shared" si="27"/>
        <v>F0946</v>
      </c>
      <c r="D240" t="str">
        <f t="shared" si="28"/>
        <v>TOTAL_GHG_CO2_EMISSIONS</v>
      </c>
      <c r="E240" t="str">
        <f t="shared" si="29"/>
        <v>Dynamic</v>
      </c>
      <c r="F240" t="str">
        <f ca="1">IF(AND(ISNUMBER($F$1358),$B$1132=1),$F$1358,HLOOKUP(INDIRECT(ADDRESS(2,COLUMN())),OFFSET($K$2,0,0,ROW()-1,5),ROW()-1,FALSE))</f>
        <v/>
      </c>
      <c r="G240">
        <f ca="1">IF(AND(ISNUMBER($G$1358),$B$1132=1),$G$1358,HLOOKUP(INDIRECT(ADDRESS(2,COLUMN())),OFFSET($K$2,0,0,ROW()-1,5),ROW()-1,FALSE))</f>
        <v>1.6119599609999999</v>
      </c>
      <c r="H240">
        <f ca="1">IF(AND(ISNUMBER($H$1358),$B$1132=1),$H$1358,HLOOKUP(INDIRECT(ADDRESS(2,COLUMN())),OFFSET($K$2,0,0,ROW()-1,5),ROW()-1,FALSE))</f>
        <v>1.919599976</v>
      </c>
      <c r="I240">
        <f ca="1">IF(AND(ISNUMBER($I$1358),$B$1132=1),$I$1358,HLOOKUP(INDIRECT(ADDRESS(2,COLUMN())),OFFSET($K$2,0,0,ROW()-1,5),ROW()-1,FALSE))</f>
        <v>1.9913800049999999</v>
      </c>
      <c r="J240">
        <f ca="1">IF(AND(ISNUMBER($J$1358),$B$1132=1),$J$1358,HLOOKUP(INDIRECT(ADDRESS(2,COLUMN())),OFFSET($K$2,0,0,ROW()-1,5),ROW()-1,FALSE))</f>
        <v>2.2237299799999999</v>
      </c>
      <c r="K240" t="str">
        <f>""</f>
        <v/>
      </c>
      <c r="L240">
        <f>1.611959961</f>
        <v>1.6119599609999999</v>
      </c>
      <c r="M240">
        <f>1.919599976</f>
        <v>1.919599976</v>
      </c>
      <c r="N240">
        <f>1.991380005</f>
        <v>1.9913800049999999</v>
      </c>
      <c r="O240">
        <f>2.22372998</f>
        <v>2.2237299799999999</v>
      </c>
    </row>
    <row r="241" spans="1:15" x14ac:dyDescent="0.25">
      <c r="A241" t="str">
        <f>"                    Almarai Co JSC"</f>
        <v xml:space="preserve">                    Almarai Co JSC</v>
      </c>
      <c r="B241" t="str">
        <f>"ALMARAI AB Equity"</f>
        <v>ALMARAI AB Equity</v>
      </c>
      <c r="C241" t="str">
        <f t="shared" si="27"/>
        <v>F0946</v>
      </c>
      <c r="D241" t="str">
        <f t="shared" si="28"/>
        <v>TOTAL_GHG_CO2_EMISSIONS</v>
      </c>
      <c r="E241" t="str">
        <f t="shared" si="29"/>
        <v>Dynamic</v>
      </c>
      <c r="F241">
        <f ca="1">IF(AND(ISNUMBER($F$1359),$B$1132=1),$F$1359,HLOOKUP(INDIRECT(ADDRESS(2,COLUMN())),OFFSET($K$2,0,0,ROW()-1,5),ROW()-1,FALSE))</f>
        <v>1.7741500240000001</v>
      </c>
      <c r="G241">
        <f ca="1">IF(AND(ISNUMBER($G$1359),$B$1132=1),$G$1359,HLOOKUP(INDIRECT(ADDRESS(2,COLUMN())),OFFSET($K$2,0,0,ROW()-1,5),ROW()-1,FALSE))</f>
        <v>1.7786500240000001</v>
      </c>
      <c r="H241">
        <f ca="1">IF(AND(ISNUMBER($H$1359),$B$1132=1),$H$1359,HLOOKUP(INDIRECT(ADDRESS(2,COLUMN())),OFFSET($K$2,0,0,ROW()-1,5),ROW()-1,FALSE))</f>
        <v>1.7141300049999999</v>
      </c>
      <c r="I241">
        <f ca="1">IF(AND(ISNUMBER($I$1359),$B$1132=1),$I$1359,HLOOKUP(INDIRECT(ADDRESS(2,COLUMN())),OFFSET($K$2,0,0,ROW()-1,5),ROW()-1,FALSE))</f>
        <v>1.897599976</v>
      </c>
      <c r="J241">
        <f ca="1">IF(AND(ISNUMBER($J$1359),$B$1132=1),$J$1359,HLOOKUP(INDIRECT(ADDRESS(2,COLUMN())),OFFSET($K$2,0,0,ROW()-1,5),ROW()-1,FALSE))</f>
        <v>1.69202002</v>
      </c>
      <c r="K241">
        <f>1.774150024</f>
        <v>1.7741500240000001</v>
      </c>
      <c r="L241">
        <f>1.778650024</f>
        <v>1.7786500240000001</v>
      </c>
      <c r="M241">
        <f>1.714130005</f>
        <v>1.7141300049999999</v>
      </c>
      <c r="N241">
        <f>1.897599976</f>
        <v>1.897599976</v>
      </c>
      <c r="O241">
        <f>1.69202002</f>
        <v>1.69202002</v>
      </c>
    </row>
    <row r="242" spans="1:15" x14ac:dyDescent="0.25">
      <c r="A242" t="str">
        <f>"                    Aryzta AG"</f>
        <v xml:space="preserve">                    Aryzta AG</v>
      </c>
      <c r="B242" t="str">
        <f>"ARYN SW Equity"</f>
        <v>ARYN SW Equity</v>
      </c>
      <c r="C242" t="str">
        <f t="shared" si="27"/>
        <v>F0946</v>
      </c>
      <c r="D242" t="str">
        <f t="shared" si="28"/>
        <v>TOTAL_GHG_CO2_EMISSIONS</v>
      </c>
      <c r="E242" t="str">
        <f t="shared" si="29"/>
        <v>Dynamic</v>
      </c>
      <c r="F242" t="str">
        <f ca="1">IF(AND(ISNUMBER($F$1360),$B$1132=1),$F$1360,HLOOKUP(INDIRECT(ADDRESS(2,COLUMN())),OFFSET($K$2,0,0,ROW()-1,5),ROW()-1,FALSE))</f>
        <v/>
      </c>
      <c r="G242">
        <f ca="1">IF(AND(ISNUMBER($G$1360),$B$1132=1),$G$1360,HLOOKUP(INDIRECT(ADDRESS(2,COLUMN())),OFFSET($K$2,0,0,ROW()-1,5),ROW()-1,FALSE))</f>
        <v>0.20202200300000001</v>
      </c>
      <c r="H242" t="str">
        <f ca="1">IF(AND(ISNUMBER($H$1360),$B$1132=1),$H$1360,HLOOKUP(INDIRECT(ADDRESS(2,COLUMN())),OFFSET($K$2,0,0,ROW()-1,5),ROW()-1,FALSE))</f>
        <v/>
      </c>
      <c r="I242" t="str">
        <f ca="1">IF(AND(ISNUMBER($I$1360),$B$1132=1),$I$1360,HLOOKUP(INDIRECT(ADDRESS(2,COLUMN())),OFFSET($K$2,0,0,ROW()-1,5),ROW()-1,FALSE))</f>
        <v/>
      </c>
      <c r="J242" t="str">
        <f ca="1">IF(AND(ISNUMBER($J$1360),$B$1132=1),$J$1360,HLOOKUP(INDIRECT(ADDRESS(2,COLUMN())),OFFSET($K$2,0,0,ROW()-1,5),ROW()-1,FALSE))</f>
        <v/>
      </c>
      <c r="K242" t="str">
        <f>""</f>
        <v/>
      </c>
      <c r="L242">
        <f>0.202022003</f>
        <v>0.20202200300000001</v>
      </c>
      <c r="M242" t="str">
        <f>""</f>
        <v/>
      </c>
      <c r="N242" t="str">
        <f>""</f>
        <v/>
      </c>
      <c r="O242" t="str">
        <f>""</f>
        <v/>
      </c>
    </row>
    <row r="243" spans="1:15" x14ac:dyDescent="0.25">
      <c r="A243" t="str">
        <f>"                    Atria Oyj"</f>
        <v xml:space="preserve">                    Atria Oyj</v>
      </c>
      <c r="B243" t="str">
        <f>"ATRAV FH Equity"</f>
        <v>ATRAV FH Equity</v>
      </c>
      <c r="C243" t="str">
        <f t="shared" si="27"/>
        <v>F0946</v>
      </c>
      <c r="D243" t="str">
        <f t="shared" si="28"/>
        <v>TOTAL_GHG_CO2_EMISSIONS</v>
      </c>
      <c r="E243" t="str">
        <f t="shared" si="29"/>
        <v>Dynamic</v>
      </c>
      <c r="F243">
        <f ca="1">IF(AND(ISNUMBER($F$1361),$B$1132=1),$F$1361,HLOOKUP(INDIRECT(ADDRESS(2,COLUMN())),OFFSET($K$2,0,0,ROW()-1,5),ROW()-1,FALSE))</f>
        <v>0.82899999999999996</v>
      </c>
      <c r="G243">
        <f ca="1">IF(AND(ISNUMBER($G$1361),$B$1132=1),$G$1361,HLOOKUP(INDIRECT(ADDRESS(2,COLUMN())),OFFSET($K$2,0,0,ROW()-1,5),ROW()-1,FALSE))</f>
        <v>0.80700000000000005</v>
      </c>
      <c r="H243">
        <f ca="1">IF(AND(ISNUMBER($H$1361),$B$1132=1),$H$1361,HLOOKUP(INDIRECT(ADDRESS(2,COLUMN())),OFFSET($K$2,0,0,ROW()-1,5),ROW()-1,FALSE))</f>
        <v>1.014</v>
      </c>
      <c r="I243">
        <f ca="1">IF(AND(ISNUMBER($I$1361),$B$1132=1),$I$1361,HLOOKUP(INDIRECT(ADDRESS(2,COLUMN())),OFFSET($K$2,0,0,ROW()-1,5),ROW()-1,FALSE))</f>
        <v>1.1879999999999999</v>
      </c>
      <c r="J243">
        <f ca="1">IF(AND(ISNUMBER($J$1361),$B$1132=1),$J$1361,HLOOKUP(INDIRECT(ADDRESS(2,COLUMN())),OFFSET($K$2,0,0,ROW()-1,5),ROW()-1,FALSE))</f>
        <v>1.2190000000000001</v>
      </c>
      <c r="K243">
        <f>0.829</f>
        <v>0.82899999999999996</v>
      </c>
      <c r="L243">
        <f>0.807</f>
        <v>0.80700000000000005</v>
      </c>
      <c r="M243">
        <f>1.014</f>
        <v>1.014</v>
      </c>
      <c r="N243">
        <f>1.188</f>
        <v>1.1879999999999999</v>
      </c>
      <c r="O243">
        <f>1.219</f>
        <v>1.2190000000000001</v>
      </c>
    </row>
    <row r="244" spans="1:15" x14ac:dyDescent="0.25">
      <c r="A244" t="str">
        <f>"                    Associated British Foods PLC"</f>
        <v xml:space="preserve">                    Associated British Foods PLC</v>
      </c>
      <c r="B244" t="str">
        <f>"ABF LN Equity"</f>
        <v>ABF LN Equity</v>
      </c>
      <c r="C244" t="str">
        <f t="shared" si="27"/>
        <v>F0946</v>
      </c>
      <c r="D244" t="str">
        <f t="shared" si="28"/>
        <v>TOTAL_GHG_CO2_EMISSIONS</v>
      </c>
      <c r="E244" t="str">
        <f t="shared" si="29"/>
        <v>Dynamic</v>
      </c>
      <c r="F244" t="str">
        <f ca="1">IF(AND(ISNUMBER($F$1362),$B$1132=1),$F$1362,HLOOKUP(INDIRECT(ADDRESS(2,COLUMN())),OFFSET($K$2,0,0,ROW()-1,5),ROW()-1,FALSE))</f>
        <v/>
      </c>
      <c r="G244">
        <f ca="1">IF(AND(ISNUMBER($G$1362),$B$1132=1),$G$1362,HLOOKUP(INDIRECT(ADDRESS(2,COLUMN())),OFFSET($K$2,0,0,ROW()-1,5),ROW()-1,FALSE))</f>
        <v>3.1609399410000001</v>
      </c>
      <c r="H244">
        <f ca="1">IF(AND(ISNUMBER($H$1362),$B$1132=1),$H$1362,HLOOKUP(INDIRECT(ADDRESS(2,COLUMN())),OFFSET($K$2,0,0,ROW()-1,5),ROW()-1,FALSE))</f>
        <v>3.5551899410000001</v>
      </c>
      <c r="I244">
        <f ca="1">IF(AND(ISNUMBER($I$1362),$B$1132=1),$I$1362,HLOOKUP(INDIRECT(ADDRESS(2,COLUMN())),OFFSET($K$2,0,0,ROW()-1,5),ROW()-1,FALSE))</f>
        <v>3.9929999999999999</v>
      </c>
      <c r="J244">
        <f ca="1">IF(AND(ISNUMBER($J$1362),$B$1132=1),$J$1362,HLOOKUP(INDIRECT(ADDRESS(2,COLUMN())),OFFSET($K$2,0,0,ROW()-1,5),ROW()-1,FALSE))</f>
        <v>4.1529999999999996</v>
      </c>
      <c r="K244" t="str">
        <f>""</f>
        <v/>
      </c>
      <c r="L244">
        <f>3.160939941</f>
        <v>3.1609399410000001</v>
      </c>
      <c r="M244">
        <f>3.555189941</f>
        <v>3.5551899410000001</v>
      </c>
      <c r="N244">
        <f>3.993</f>
        <v>3.9929999999999999</v>
      </c>
      <c r="O244">
        <f>4.153</f>
        <v>4.1529999999999996</v>
      </c>
    </row>
    <row r="245" spans="1:15" x14ac:dyDescent="0.25">
      <c r="A245" t="str">
        <f>"                    Bega Cheese Ltd"</f>
        <v xml:space="preserve">                    Bega Cheese Ltd</v>
      </c>
      <c r="B245" t="str">
        <f>"BGA AU Equity"</f>
        <v>BGA AU Equity</v>
      </c>
      <c r="C245" t="str">
        <f t="shared" si="27"/>
        <v>F0946</v>
      </c>
      <c r="D245" t="str">
        <f t="shared" si="28"/>
        <v>TOTAL_GHG_CO2_EMISSIONS</v>
      </c>
      <c r="E245" t="str">
        <f t="shared" si="29"/>
        <v>Dynamic</v>
      </c>
      <c r="F245" t="str">
        <f ca="1">IF(AND(ISNUMBER($F$1363),$B$1132=1),$F$1363,HLOOKUP(INDIRECT(ADDRESS(2,COLUMN())),OFFSET($K$2,0,0,ROW()-1,5),ROW()-1,FALSE))</f>
        <v/>
      </c>
      <c r="G245">
        <f ca="1">IF(AND(ISNUMBER($G$1363),$B$1132=1),$G$1363,HLOOKUP(INDIRECT(ADDRESS(2,COLUMN())),OFFSET($K$2,0,0,ROW()-1,5),ROW()-1,FALSE))</f>
        <v>0.288817993</v>
      </c>
      <c r="H245">
        <f ca="1">IF(AND(ISNUMBER($H$1363),$B$1132=1),$H$1363,HLOOKUP(INDIRECT(ADDRESS(2,COLUMN())),OFFSET($K$2,0,0,ROW()-1,5),ROW()-1,FALSE))</f>
        <v>0.29883801300000001</v>
      </c>
      <c r="I245">
        <f ca="1">IF(AND(ISNUMBER($I$1363),$B$1132=1),$I$1363,HLOOKUP(INDIRECT(ADDRESS(2,COLUMN())),OFFSET($K$2,0,0,ROW()-1,5),ROW()-1,FALSE))</f>
        <v>0.184393997</v>
      </c>
      <c r="J245">
        <f ca="1">IF(AND(ISNUMBER($J$1363),$B$1132=1),$J$1363,HLOOKUP(INDIRECT(ADDRESS(2,COLUMN())),OFFSET($K$2,0,0,ROW()-1,5),ROW()-1,FALSE))</f>
        <v>0.194744003</v>
      </c>
      <c r="K245" t="str">
        <f>""</f>
        <v/>
      </c>
      <c r="L245">
        <f>0.288817993</f>
        <v>0.288817993</v>
      </c>
      <c r="M245">
        <f>0.298838013</f>
        <v>0.29883801300000001</v>
      </c>
      <c r="N245">
        <f>0.184393997</f>
        <v>0.184393997</v>
      </c>
      <c r="O245">
        <f>0.194744003</f>
        <v>0.194744003</v>
      </c>
    </row>
    <row r="246" spans="1:15" x14ac:dyDescent="0.25">
      <c r="A246" t="str">
        <f>"                    Binggrae Co Ltd"</f>
        <v xml:space="preserve">                    Binggrae Co Ltd</v>
      </c>
      <c r="B246" t="str">
        <f>"005180 KS Equity"</f>
        <v>005180 KS Equity</v>
      </c>
      <c r="C246" t="str">
        <f t="shared" si="27"/>
        <v>F0946</v>
      </c>
      <c r="D246" t="str">
        <f t="shared" si="28"/>
        <v>TOTAL_GHG_CO2_EMISSIONS</v>
      </c>
      <c r="E246" t="str">
        <f t="shared" si="29"/>
        <v>Dynamic</v>
      </c>
      <c r="F246" t="str">
        <f ca="1">IF(AND(ISNUMBER($F$1364),$B$1132=1),$F$1364,HLOOKUP(INDIRECT(ADDRESS(2,COLUMN())),OFFSET($K$2,0,0,ROW()-1,5),ROW()-1,FALSE))</f>
        <v/>
      </c>
      <c r="G246">
        <f ca="1">IF(AND(ISNUMBER($G$1364),$B$1132=1),$G$1364,HLOOKUP(INDIRECT(ADDRESS(2,COLUMN())),OFFSET($K$2,0,0,ROW()-1,5),ROW()-1,FALSE))</f>
        <v>6.1000999E-2</v>
      </c>
      <c r="H246">
        <f ca="1">IF(AND(ISNUMBER($H$1364),$B$1132=1),$H$1364,HLOOKUP(INDIRECT(ADDRESS(2,COLUMN())),OFFSET($K$2,0,0,ROW()-1,5),ROW()-1,FALSE))</f>
        <v>5.9762999999999997E-2</v>
      </c>
      <c r="I246">
        <f ca="1">IF(AND(ISNUMBER($I$1364),$B$1132=1),$I$1364,HLOOKUP(INDIRECT(ADDRESS(2,COLUMN())),OFFSET($K$2,0,0,ROW()-1,5),ROW()-1,FALSE))</f>
        <v>5.8208999999999997E-2</v>
      </c>
      <c r="J246">
        <f ca="1">IF(AND(ISNUMBER($J$1364),$B$1132=1),$J$1364,HLOOKUP(INDIRECT(ADDRESS(2,COLUMN())),OFFSET($K$2,0,0,ROW()-1,5),ROW()-1,FALSE))</f>
        <v>5.6972000000000002E-2</v>
      </c>
      <c r="K246" t="str">
        <f>""</f>
        <v/>
      </c>
      <c r="L246">
        <f>0.061000999</f>
        <v>6.1000999E-2</v>
      </c>
      <c r="M246">
        <f>0.059763</f>
        <v>5.9762999999999997E-2</v>
      </c>
      <c r="N246">
        <f>0.058209</f>
        <v>5.8208999999999997E-2</v>
      </c>
      <c r="O246">
        <f>0.056972</f>
        <v>5.6972000000000002E-2</v>
      </c>
    </row>
    <row r="247" spans="1:15" x14ac:dyDescent="0.25">
      <c r="A247" t="str">
        <f>"                    Bonduelle SCA"</f>
        <v xml:space="preserve">                    Bonduelle SCA</v>
      </c>
      <c r="B247" t="str">
        <f>"BON FP Equity"</f>
        <v>BON FP Equity</v>
      </c>
      <c r="C247" t="str">
        <f t="shared" si="27"/>
        <v>F0946</v>
      </c>
      <c r="D247" t="str">
        <f t="shared" si="28"/>
        <v>TOTAL_GHG_CO2_EMISSIONS</v>
      </c>
      <c r="E247" t="str">
        <f t="shared" si="29"/>
        <v>Dynamic</v>
      </c>
      <c r="F247" t="str">
        <f ca="1">IF(AND(ISNUMBER($F$1365),$B$1132=1),$F$1365,HLOOKUP(INDIRECT(ADDRESS(2,COLUMN())),OFFSET($K$2,0,0,ROW()-1,5),ROW()-1,FALSE))</f>
        <v/>
      </c>
      <c r="G247">
        <f ca="1">IF(AND(ISNUMBER($G$1365),$B$1132=1),$G$1365,HLOOKUP(INDIRECT(ADDRESS(2,COLUMN())),OFFSET($K$2,0,0,ROW()-1,5),ROW()-1,FALSE))</f>
        <v>0.227108002</v>
      </c>
      <c r="H247">
        <f ca="1">IF(AND(ISNUMBER($H$1365),$B$1132=1),$H$1365,HLOOKUP(INDIRECT(ADDRESS(2,COLUMN())),OFFSET($K$2,0,0,ROW()-1,5),ROW()-1,FALSE))</f>
        <v>0.213949997</v>
      </c>
      <c r="I247">
        <f ca="1">IF(AND(ISNUMBER($I$1365),$B$1132=1),$I$1365,HLOOKUP(INDIRECT(ADDRESS(2,COLUMN())),OFFSET($K$2,0,0,ROW()-1,5),ROW()-1,FALSE))</f>
        <v>0.208395996</v>
      </c>
      <c r="J247">
        <f ca="1">IF(AND(ISNUMBER($J$1365),$B$1132=1),$J$1365,HLOOKUP(INDIRECT(ADDRESS(2,COLUMN())),OFFSET($K$2,0,0,ROW()-1,5),ROW()-1,FALSE))</f>
        <v>0.21284800700000001</v>
      </c>
      <c r="K247" t="str">
        <f>""</f>
        <v/>
      </c>
      <c r="L247">
        <f>0.227108002</f>
        <v>0.227108002</v>
      </c>
      <c r="M247">
        <f>0.213949997</f>
        <v>0.213949997</v>
      </c>
      <c r="N247">
        <f>0.208395996</f>
        <v>0.208395996</v>
      </c>
      <c r="O247">
        <f>0.212848007</f>
        <v>0.21284800700000001</v>
      </c>
    </row>
    <row r="248" spans="1:15" x14ac:dyDescent="0.25">
      <c r="A248" t="str">
        <f>"                    BRF SA"</f>
        <v xml:space="preserve">                    BRF SA</v>
      </c>
      <c r="B248" t="str">
        <f>"BRFS3 BZ Equity"</f>
        <v>BRFS3 BZ Equity</v>
      </c>
      <c r="C248" t="str">
        <f t="shared" si="27"/>
        <v>F0946</v>
      </c>
      <c r="D248" t="str">
        <f t="shared" si="28"/>
        <v>TOTAL_GHG_CO2_EMISSIONS</v>
      </c>
      <c r="E248" t="str">
        <f t="shared" si="29"/>
        <v>Dynamic</v>
      </c>
      <c r="F248">
        <f ca="1">IF(AND(ISNUMBER($F$1366),$B$1132=1),$F$1366,HLOOKUP(INDIRECT(ADDRESS(2,COLUMN())),OFFSET($K$2,0,0,ROW()-1,5),ROW()-1,FALSE))</f>
        <v>0.45934100300000003</v>
      </c>
      <c r="G248">
        <f ca="1">IF(AND(ISNUMBER($G$1366),$B$1132=1),$G$1366,HLOOKUP(INDIRECT(ADDRESS(2,COLUMN())),OFFSET($K$2,0,0,ROW()-1,5),ROW()-1,FALSE))</f>
        <v>0.51827197300000005</v>
      </c>
      <c r="H248">
        <f ca="1">IF(AND(ISNUMBER($H$1366),$B$1132=1),$H$1366,HLOOKUP(INDIRECT(ADDRESS(2,COLUMN())),OFFSET($K$2,0,0,ROW()-1,5),ROW()-1,FALSE))</f>
        <v>0.35552801499999998</v>
      </c>
      <c r="I248">
        <f ca="1">IF(AND(ISNUMBER($I$1366),$B$1132=1),$I$1366,HLOOKUP(INDIRECT(ADDRESS(2,COLUMN())),OFFSET($K$2,0,0,ROW()-1,5),ROW()-1,FALSE))</f>
        <v>0.41109600800000001</v>
      </c>
      <c r="J248">
        <f ca="1">IF(AND(ISNUMBER($J$1366),$B$1132=1),$J$1366,HLOOKUP(INDIRECT(ADDRESS(2,COLUMN())),OFFSET($K$2,0,0,ROW()-1,5),ROW()-1,FALSE))</f>
        <v>0.38588299599999998</v>
      </c>
      <c r="K248">
        <f>0.459341003</f>
        <v>0.45934100300000003</v>
      </c>
      <c r="L248">
        <f>0.518271973</f>
        <v>0.51827197300000005</v>
      </c>
      <c r="M248">
        <f>0.355528015</f>
        <v>0.35552801499999998</v>
      </c>
      <c r="N248">
        <f>0.411096008</f>
        <v>0.41109600800000001</v>
      </c>
      <c r="O248">
        <f>0.385882996</f>
        <v>0.38588299599999998</v>
      </c>
    </row>
    <row r="249" spans="1:15" x14ac:dyDescent="0.25">
      <c r="A249" t="str">
        <f>"                    Bright Dairy &amp; Food Co Ltd"</f>
        <v xml:space="preserve">                    Bright Dairy &amp; Food Co Ltd</v>
      </c>
      <c r="B249" t="str">
        <f>"600597 CH Equity"</f>
        <v>600597 CH Equity</v>
      </c>
      <c r="C249" t="str">
        <f t="shared" si="27"/>
        <v>F0946</v>
      </c>
      <c r="D249" t="str">
        <f t="shared" si="28"/>
        <v>TOTAL_GHG_CO2_EMISSIONS</v>
      </c>
      <c r="E249" t="str">
        <f t="shared" si="29"/>
        <v>Dynamic</v>
      </c>
      <c r="F249">
        <f ca="1">IF(AND(ISNUMBER($F$1367),$B$1132=1),$F$1367,HLOOKUP(INDIRECT(ADDRESS(2,COLUMN())),OFFSET($K$2,0,0,ROW()-1,5),ROW()-1,FALSE))</f>
        <v>0.283700012</v>
      </c>
      <c r="G249">
        <f ca="1">IF(AND(ISNUMBER($G$1367),$B$1132=1),$G$1367,HLOOKUP(INDIRECT(ADDRESS(2,COLUMN())),OFFSET($K$2,0,0,ROW()-1,5),ROW()-1,FALSE))</f>
        <v>0.293899994</v>
      </c>
      <c r="H249">
        <f ca="1">IF(AND(ISNUMBER($H$1367),$B$1132=1),$H$1367,HLOOKUP(INDIRECT(ADDRESS(2,COLUMN())),OFFSET($K$2,0,0,ROW()-1,5),ROW()-1,FALSE))</f>
        <v>0.27029998799999999</v>
      </c>
      <c r="I249">
        <f ca="1">IF(AND(ISNUMBER($I$1367),$B$1132=1),$I$1367,HLOOKUP(INDIRECT(ADDRESS(2,COLUMN())),OFFSET($K$2,0,0,ROW()-1,5),ROW()-1,FALSE))</f>
        <v>0.24539999400000001</v>
      </c>
      <c r="J249" t="str">
        <f ca="1">IF(AND(ISNUMBER($J$1367),$B$1132=1),$J$1367,HLOOKUP(INDIRECT(ADDRESS(2,COLUMN())),OFFSET($K$2,0,0,ROW()-1,5),ROW()-1,FALSE))</f>
        <v/>
      </c>
      <c r="K249">
        <f>0.283700012</f>
        <v>0.283700012</v>
      </c>
      <c r="L249">
        <f>0.293899994</f>
        <v>0.293899994</v>
      </c>
      <c r="M249">
        <f>0.270299988</f>
        <v>0.27029998799999999</v>
      </c>
      <c r="N249">
        <f>0.245399994</f>
        <v>0.24539999400000001</v>
      </c>
      <c r="O249" t="str">
        <f>""</f>
        <v/>
      </c>
    </row>
    <row r="250" spans="1:15" x14ac:dyDescent="0.25">
      <c r="A250" t="str">
        <f>"                    Barry Callebaut AG"</f>
        <v xml:space="preserve">                    Barry Callebaut AG</v>
      </c>
      <c r="B250" t="str">
        <f>"BARN SW Equity"</f>
        <v>BARN SW Equity</v>
      </c>
      <c r="C250" t="str">
        <f t="shared" si="27"/>
        <v>F0946</v>
      </c>
      <c r="D250" t="str">
        <f t="shared" si="28"/>
        <v>TOTAL_GHG_CO2_EMISSIONS</v>
      </c>
      <c r="E250" t="str">
        <f t="shared" si="29"/>
        <v>Dynamic</v>
      </c>
      <c r="F250" t="str">
        <f ca="1">IF(AND(ISNUMBER($F$1368),$B$1132=1),$F$1368,HLOOKUP(INDIRECT(ADDRESS(2,COLUMN())),OFFSET($K$2,0,0,ROW()-1,5),ROW()-1,FALSE))</f>
        <v/>
      </c>
      <c r="G250">
        <f ca="1">IF(AND(ISNUMBER($G$1368),$B$1132=1),$G$1368,HLOOKUP(INDIRECT(ADDRESS(2,COLUMN())),OFFSET($K$2,0,0,ROW()-1,5),ROW()-1,FALSE))</f>
        <v>0.37368899500000002</v>
      </c>
      <c r="H250" t="str">
        <f ca="1">IF(AND(ISNUMBER($H$1368),$B$1132=1),$H$1368,HLOOKUP(INDIRECT(ADDRESS(2,COLUMN())),OFFSET($K$2,0,0,ROW()-1,5),ROW()-1,FALSE))</f>
        <v/>
      </c>
      <c r="I250" t="str">
        <f ca="1">IF(AND(ISNUMBER($I$1368),$B$1132=1),$I$1368,HLOOKUP(INDIRECT(ADDRESS(2,COLUMN())),OFFSET($K$2,0,0,ROW()-1,5),ROW()-1,FALSE))</f>
        <v/>
      </c>
      <c r="J250" t="str">
        <f ca="1">IF(AND(ISNUMBER($J$1368),$B$1132=1),$J$1368,HLOOKUP(INDIRECT(ADDRESS(2,COLUMN())),OFFSET($K$2,0,0,ROW()-1,5),ROW()-1,FALSE))</f>
        <v/>
      </c>
      <c r="K250" t="str">
        <f>""</f>
        <v/>
      </c>
      <c r="L250">
        <f>0.373688995</f>
        <v>0.37368899500000002</v>
      </c>
      <c r="M250" t="str">
        <f>""</f>
        <v/>
      </c>
      <c r="N250" t="str">
        <f>""</f>
        <v/>
      </c>
      <c r="O250" t="str">
        <f>""</f>
        <v/>
      </c>
    </row>
    <row r="251" spans="1:15" x14ac:dyDescent="0.25">
      <c r="A251" t="str">
        <f>"                    Britannia Industries Ltd"</f>
        <v xml:space="preserve">                    Britannia Industries Ltd</v>
      </c>
      <c r="B251" t="str">
        <f>"BRIT IN Equity"</f>
        <v>BRIT IN Equity</v>
      </c>
      <c r="C251" t="str">
        <f t="shared" si="27"/>
        <v>F0946</v>
      </c>
      <c r="D251" t="str">
        <f t="shared" si="28"/>
        <v>TOTAL_GHG_CO2_EMISSIONS</v>
      </c>
      <c r="E251" t="str">
        <f t="shared" si="29"/>
        <v>Dynamic</v>
      </c>
      <c r="F251" t="str">
        <f ca="1">IF(AND(ISNUMBER($F$1369),$B$1132=1),$F$1369,HLOOKUP(INDIRECT(ADDRESS(2,COLUMN())),OFFSET($K$2,0,0,ROW()-1,5),ROW()-1,FALSE))</f>
        <v/>
      </c>
      <c r="G251">
        <f ca="1">IF(AND(ISNUMBER($G$1369),$B$1132=1),$G$1369,HLOOKUP(INDIRECT(ADDRESS(2,COLUMN())),OFFSET($K$2,0,0,ROW()-1,5),ROW()-1,FALSE))</f>
        <v>0.124404999</v>
      </c>
      <c r="H251">
        <f ca="1">IF(AND(ISNUMBER($H$1369),$B$1132=1),$H$1369,HLOOKUP(INDIRECT(ADDRESS(2,COLUMN())),OFFSET($K$2,0,0,ROW()-1,5),ROW()-1,FALSE))</f>
        <v>0.12489800299999999</v>
      </c>
      <c r="I251">
        <f ca="1">IF(AND(ISNUMBER($I$1369),$B$1132=1),$I$1369,HLOOKUP(INDIRECT(ADDRESS(2,COLUMN())),OFFSET($K$2,0,0,ROW()-1,5),ROW()-1,FALSE))</f>
        <v>0.117962997</v>
      </c>
      <c r="J251">
        <f ca="1">IF(AND(ISNUMBER($J$1369),$B$1132=1),$J$1369,HLOOKUP(INDIRECT(ADDRESS(2,COLUMN())),OFFSET($K$2,0,0,ROW()-1,5),ROW()-1,FALSE))</f>
        <v>0.116052002</v>
      </c>
      <c r="K251" t="str">
        <f>""</f>
        <v/>
      </c>
      <c r="L251">
        <f>0.124404999</f>
        <v>0.124404999</v>
      </c>
      <c r="M251">
        <f>0.124898003</f>
        <v>0.12489800299999999</v>
      </c>
      <c r="N251">
        <f>0.117962997</f>
        <v>0.117962997</v>
      </c>
      <c r="O251">
        <f>0.116052002</f>
        <v>0.116052002</v>
      </c>
    </row>
    <row r="252" spans="1:15" x14ac:dyDescent="0.25">
      <c r="A252" t="str">
        <f>"                    Calbee Inc"</f>
        <v xml:space="preserve">                    Calbee Inc</v>
      </c>
      <c r="B252" t="str">
        <f>"2229 JP Equity"</f>
        <v>2229 JP Equity</v>
      </c>
      <c r="C252" t="str">
        <f t="shared" si="27"/>
        <v>F0946</v>
      </c>
      <c r="D252" t="str">
        <f t="shared" si="28"/>
        <v>TOTAL_GHG_CO2_EMISSIONS</v>
      </c>
      <c r="E252" t="str">
        <f t="shared" si="29"/>
        <v>Dynamic</v>
      </c>
      <c r="F252" t="str">
        <f ca="1">IF(AND(ISNUMBER($F$1370),$B$1132=1),$F$1370,HLOOKUP(INDIRECT(ADDRESS(2,COLUMN())),OFFSET($K$2,0,0,ROW()-1,5),ROW()-1,FALSE))</f>
        <v/>
      </c>
      <c r="G252">
        <f ca="1">IF(AND(ISNUMBER($G$1370),$B$1132=1),$G$1370,HLOOKUP(INDIRECT(ADDRESS(2,COLUMN())),OFFSET($K$2,0,0,ROW()-1,5),ROW()-1,FALSE))</f>
        <v>0.163238998</v>
      </c>
      <c r="H252">
        <f ca="1">IF(AND(ISNUMBER($H$1370),$B$1132=1),$H$1370,HLOOKUP(INDIRECT(ADDRESS(2,COLUMN())),OFFSET($K$2,0,0,ROW()-1,5),ROW()-1,FALSE))</f>
        <v>0.15665299999999999</v>
      </c>
      <c r="I252">
        <f ca="1">IF(AND(ISNUMBER($I$1370),$B$1132=1),$I$1370,HLOOKUP(INDIRECT(ADDRESS(2,COLUMN())),OFFSET($K$2,0,0,ROW()-1,5),ROW()-1,FALSE))</f>
        <v>0.167903</v>
      </c>
      <c r="J252">
        <f ca="1">IF(AND(ISNUMBER($J$1370),$B$1132=1),$J$1370,HLOOKUP(INDIRECT(ADDRESS(2,COLUMN())),OFFSET($K$2,0,0,ROW()-1,5),ROW()-1,FALSE))</f>
        <v>0.17039500399999999</v>
      </c>
      <c r="K252" t="str">
        <f>""</f>
        <v/>
      </c>
      <c r="L252">
        <f>0.163238998</f>
        <v>0.163238998</v>
      </c>
      <c r="M252">
        <f>0.156653</f>
        <v>0.15665299999999999</v>
      </c>
      <c r="N252">
        <f>0.167903</f>
        <v>0.167903</v>
      </c>
      <c r="O252">
        <f>0.170395004</f>
        <v>0.17039500399999999</v>
      </c>
    </row>
    <row r="253" spans="1:15" x14ac:dyDescent="0.25">
      <c r="A253" t="str">
        <f>"                    Charoen Pokphand Foods PCL"</f>
        <v xml:space="preserve">                    Charoen Pokphand Foods PCL</v>
      </c>
      <c r="B253" t="str">
        <f>"CPF TB Equity"</f>
        <v>CPF TB Equity</v>
      </c>
      <c r="C253" t="str">
        <f t="shared" si="27"/>
        <v>F0946</v>
      </c>
      <c r="D253" t="str">
        <f t="shared" si="28"/>
        <v>TOTAL_GHG_CO2_EMISSIONS</v>
      </c>
      <c r="E253" t="str">
        <f t="shared" si="29"/>
        <v>Dynamic</v>
      </c>
      <c r="F253">
        <f ca="1">IF(AND(ISNUMBER($F$1371),$B$1132=1),$F$1371,HLOOKUP(INDIRECT(ADDRESS(2,COLUMN())),OFFSET($K$2,0,0,ROW()-1,5),ROW()-1,FALSE))</f>
        <v>0.8</v>
      </c>
      <c r="G253">
        <f ca="1">IF(AND(ISNUMBER($G$1371),$B$1132=1),$G$1371,HLOOKUP(INDIRECT(ADDRESS(2,COLUMN())),OFFSET($K$2,0,0,ROW()-1,5),ROW()-1,FALSE))</f>
        <v>0.86299999999999999</v>
      </c>
      <c r="H253" t="str">
        <f ca="1">IF(AND(ISNUMBER($H$1371),$B$1132=1),$H$1371,HLOOKUP(INDIRECT(ADDRESS(2,COLUMN())),OFFSET($K$2,0,0,ROW()-1,5),ROW()-1,FALSE))</f>
        <v/>
      </c>
      <c r="I253">
        <f ca="1">IF(AND(ISNUMBER($I$1371),$B$1132=1),$I$1371,HLOOKUP(INDIRECT(ADDRESS(2,COLUMN())),OFFSET($K$2,0,0,ROW()-1,5),ROW()-1,FALSE))</f>
        <v>0.84</v>
      </c>
      <c r="J253" t="str">
        <f ca="1">IF(AND(ISNUMBER($J$1371),$B$1132=1),$J$1371,HLOOKUP(INDIRECT(ADDRESS(2,COLUMN())),OFFSET($K$2,0,0,ROW()-1,5),ROW()-1,FALSE))</f>
        <v/>
      </c>
      <c r="K253">
        <f>0.8</f>
        <v>0.8</v>
      </c>
      <c r="L253">
        <f>0.863</f>
        <v>0.86299999999999999</v>
      </c>
      <c r="M253" t="str">
        <f>""</f>
        <v/>
      </c>
      <c r="N253">
        <f>0.84</f>
        <v>0.84</v>
      </c>
      <c r="O253" t="str">
        <f>""</f>
        <v/>
      </c>
    </row>
    <row r="254" spans="1:15" x14ac:dyDescent="0.25">
      <c r="A254" t="str">
        <f>"                    China Mengniu Dairy Co Ltd"</f>
        <v xml:space="preserve">                    China Mengniu Dairy Co Ltd</v>
      </c>
      <c r="B254" t="str">
        <f>"2319 HK Equity"</f>
        <v>2319 HK Equity</v>
      </c>
      <c r="C254" t="str">
        <f t="shared" si="27"/>
        <v>F0946</v>
      </c>
      <c r="D254" t="str">
        <f t="shared" si="28"/>
        <v>TOTAL_GHG_CO2_EMISSIONS</v>
      </c>
      <c r="E254" t="str">
        <f t="shared" si="29"/>
        <v>Dynamic</v>
      </c>
      <c r="F254">
        <f ca="1">IF(AND(ISNUMBER($F$1372),$B$1132=1),$F$1372,HLOOKUP(INDIRECT(ADDRESS(2,COLUMN())),OFFSET($K$2,0,0,ROW()-1,5),ROW()-1,FALSE))</f>
        <v>1.4256999509999999</v>
      </c>
      <c r="G254">
        <f ca="1">IF(AND(ISNUMBER($G$1372),$B$1132=1),$G$1372,HLOOKUP(INDIRECT(ADDRESS(2,COLUMN())),OFFSET($K$2,0,0,ROW()-1,5),ROW()-1,FALSE))</f>
        <v>1.36</v>
      </c>
      <c r="H254">
        <f ca="1">IF(AND(ISNUMBER($H$1372),$B$1132=1),$H$1372,HLOOKUP(INDIRECT(ADDRESS(2,COLUMN())),OFFSET($K$2,0,0,ROW()-1,5),ROW()-1,FALSE))</f>
        <v>0.92440002399999999</v>
      </c>
      <c r="I254">
        <f ca="1">IF(AND(ISNUMBER($I$1372),$B$1132=1),$I$1372,HLOOKUP(INDIRECT(ADDRESS(2,COLUMN())),OFFSET($K$2,0,0,ROW()-1,5),ROW()-1,FALSE))</f>
        <v>1.169599976</v>
      </c>
      <c r="J254">
        <f ca="1">IF(AND(ISNUMBER($J$1372),$B$1132=1),$J$1372,HLOOKUP(INDIRECT(ADDRESS(2,COLUMN())),OFFSET($K$2,0,0,ROW()-1,5),ROW()-1,FALSE))</f>
        <v>1.052199951</v>
      </c>
      <c r="K254">
        <f>1.425699951</f>
        <v>1.4256999509999999</v>
      </c>
      <c r="L254">
        <f>1.36</f>
        <v>1.36</v>
      </c>
      <c r="M254">
        <f>0.924400024</f>
        <v>0.92440002399999999</v>
      </c>
      <c r="N254">
        <f>1.169599976</f>
        <v>1.169599976</v>
      </c>
      <c r="O254">
        <f>1.052199951</f>
        <v>1.052199951</v>
      </c>
    </row>
    <row r="255" spans="1:15" x14ac:dyDescent="0.25">
      <c r="A255" t="str">
        <f>"                    Cloetta AB"</f>
        <v xml:space="preserve">                    Cloetta AB</v>
      </c>
      <c r="B255" t="str">
        <f>"CLAB SS Equity"</f>
        <v>CLAB SS Equity</v>
      </c>
      <c r="C255" t="str">
        <f t="shared" si="27"/>
        <v>F0946</v>
      </c>
      <c r="D255" t="str">
        <f t="shared" si="28"/>
        <v>TOTAL_GHG_CO2_EMISSIONS</v>
      </c>
      <c r="E255" t="str">
        <f t="shared" si="29"/>
        <v>Dynamic</v>
      </c>
      <c r="F255">
        <f ca="1">IF(AND(ISNUMBER($F$1373),$B$1132=1),$F$1373,HLOOKUP(INDIRECT(ADDRESS(2,COLUMN())),OFFSET($K$2,0,0,ROW()-1,5),ROW()-1,FALSE))</f>
        <v>3.4476001999999999E-2</v>
      </c>
      <c r="G255">
        <f ca="1">IF(AND(ISNUMBER($G$1373),$B$1132=1),$G$1373,HLOOKUP(INDIRECT(ADDRESS(2,COLUMN())),OFFSET($K$2,0,0,ROW()-1,5),ROW()-1,FALSE))</f>
        <v>3.2469397999999997E-2</v>
      </c>
      <c r="H255">
        <f ca="1">IF(AND(ISNUMBER($H$1373),$B$1132=1),$H$1373,HLOOKUP(INDIRECT(ADDRESS(2,COLUMN())),OFFSET($K$2,0,0,ROW()-1,5),ROW()-1,FALSE))</f>
        <v>1.9698998999999998E-2</v>
      </c>
      <c r="I255">
        <f ca="1">IF(AND(ISNUMBER($I$1373),$B$1132=1),$I$1373,HLOOKUP(INDIRECT(ADDRESS(2,COLUMN())),OFFSET($K$2,0,0,ROW()-1,5),ROW()-1,FALSE))</f>
        <v>2.7546000000000001E-2</v>
      </c>
      <c r="J255">
        <f ca="1">IF(AND(ISNUMBER($J$1373),$B$1132=1),$J$1373,HLOOKUP(INDIRECT(ADDRESS(2,COLUMN())),OFFSET($K$2,0,0,ROW()-1,5),ROW()-1,FALSE))</f>
        <v>3.1285E-2</v>
      </c>
      <c r="K255">
        <f>0.034476002</f>
        <v>3.4476001999999999E-2</v>
      </c>
      <c r="L255">
        <f>0.032469398</f>
        <v>3.2469397999999997E-2</v>
      </c>
      <c r="M255">
        <f>0.019698999</f>
        <v>1.9698998999999998E-2</v>
      </c>
      <c r="N255">
        <f>0.027546</f>
        <v>2.7546000000000001E-2</v>
      </c>
      <c r="O255">
        <f>0.031285</f>
        <v>3.1285E-2</v>
      </c>
    </row>
    <row r="256" spans="1:15" x14ac:dyDescent="0.25">
      <c r="A256" t="str">
        <f>"                    Conagra Brands Inc"</f>
        <v xml:space="preserve">                    Conagra Brands Inc</v>
      </c>
      <c r="B256" t="str">
        <f>"CAG US Equity"</f>
        <v>CAG US Equity</v>
      </c>
      <c r="C256" t="str">
        <f t="shared" si="27"/>
        <v>F0946</v>
      </c>
      <c r="D256" t="str">
        <f t="shared" si="28"/>
        <v>TOTAL_GHG_CO2_EMISSIONS</v>
      </c>
      <c r="E256" t="str">
        <f t="shared" si="29"/>
        <v>Dynamic</v>
      </c>
      <c r="F256" t="str">
        <f ca="1">IF(AND(ISNUMBER($F$1374),$B$1132=1),$F$1374,HLOOKUP(INDIRECT(ADDRESS(2,COLUMN())),OFFSET($K$2,0,0,ROW()-1,5),ROW()-1,FALSE))</f>
        <v/>
      </c>
      <c r="G256">
        <f ca="1">IF(AND(ISNUMBER($G$1374),$B$1132=1),$G$1374,HLOOKUP(INDIRECT(ADDRESS(2,COLUMN())),OFFSET($K$2,0,0,ROW()-1,5),ROW()-1,FALSE))</f>
        <v>0.79778302000000001</v>
      </c>
      <c r="H256">
        <f ca="1">IF(AND(ISNUMBER($H$1374),$B$1132=1),$H$1374,HLOOKUP(INDIRECT(ADDRESS(2,COLUMN())),OFFSET($K$2,0,0,ROW()-1,5),ROW()-1,FALSE))</f>
        <v>0.854270996</v>
      </c>
      <c r="I256">
        <f ca="1">IF(AND(ISNUMBER($I$1374),$B$1132=1),$I$1374,HLOOKUP(INDIRECT(ADDRESS(2,COLUMN())),OFFSET($K$2,0,0,ROW()-1,5),ROW()-1,FALSE))</f>
        <v>0.86451300099999995</v>
      </c>
      <c r="J256">
        <f ca="1">IF(AND(ISNUMBER($J$1374),$B$1132=1),$J$1374,HLOOKUP(INDIRECT(ADDRESS(2,COLUMN())),OFFSET($K$2,0,0,ROW()-1,5),ROW()-1,FALSE))</f>
        <v>0.84877002000000001</v>
      </c>
      <c r="K256" t="str">
        <f>""</f>
        <v/>
      </c>
      <c r="L256">
        <f>0.79778302</f>
        <v>0.79778302000000001</v>
      </c>
      <c r="M256">
        <f>0.854270996</f>
        <v>0.854270996</v>
      </c>
      <c r="N256">
        <f>0.864513001</f>
        <v>0.86451300099999995</v>
      </c>
      <c r="O256">
        <f>0.84877002</f>
        <v>0.84877002000000001</v>
      </c>
    </row>
    <row r="257" spans="1:15" x14ac:dyDescent="0.25">
      <c r="A257" t="str">
        <f>"                    Cal-Maine Foods Inc"</f>
        <v xml:space="preserve">                    Cal-Maine Foods Inc</v>
      </c>
      <c r="B257" t="str">
        <f>"CALM US Equity"</f>
        <v>CALM US Equity</v>
      </c>
      <c r="C257" t="str">
        <f t="shared" si="27"/>
        <v>F0946</v>
      </c>
      <c r="D257" t="str">
        <f t="shared" si="28"/>
        <v>TOTAL_GHG_CO2_EMISSIONS</v>
      </c>
      <c r="E257" t="str">
        <f t="shared" si="29"/>
        <v>Dynamic</v>
      </c>
      <c r="F257" t="str">
        <f ca="1">IF(AND(ISNUMBER($F$1375),$B$1132=1),$F$1375,HLOOKUP(INDIRECT(ADDRESS(2,COLUMN())),OFFSET($K$2,0,0,ROW()-1,5),ROW()-1,FALSE))</f>
        <v/>
      </c>
      <c r="G257" t="str">
        <f ca="1">IF(AND(ISNUMBER($G$1375),$B$1132=1),$G$1375,HLOOKUP(INDIRECT(ADDRESS(2,COLUMN())),OFFSET($K$2,0,0,ROW()-1,5),ROW()-1,FALSE))</f>
        <v/>
      </c>
      <c r="H257" t="str">
        <f ca="1">IF(AND(ISNUMBER($H$1375),$B$1132=1),$H$1375,HLOOKUP(INDIRECT(ADDRESS(2,COLUMN())),OFFSET($K$2,0,0,ROW()-1,5),ROW()-1,FALSE))</f>
        <v/>
      </c>
      <c r="I257" t="str">
        <f ca="1">IF(AND(ISNUMBER($I$1375),$B$1132=1),$I$1375,HLOOKUP(INDIRECT(ADDRESS(2,COLUMN())),OFFSET($K$2,0,0,ROW()-1,5),ROW()-1,FALSE))</f>
        <v/>
      </c>
      <c r="J257" t="str">
        <f ca="1">IF(AND(ISNUMBER($J$1375),$B$1132=1),$J$1375,HLOOKUP(INDIRECT(ADDRESS(2,COLUMN())),OFFSET($K$2,0,0,ROW()-1,5),ROW()-1,FALSE))</f>
        <v/>
      </c>
      <c r="K257" t="str">
        <f>""</f>
        <v/>
      </c>
      <c r="L257" t="str">
        <f>""</f>
        <v/>
      </c>
      <c r="M257" t="str">
        <f>""</f>
        <v/>
      </c>
      <c r="N257" t="str">
        <f>""</f>
        <v/>
      </c>
      <c r="O257" t="str">
        <f>""</f>
        <v/>
      </c>
    </row>
    <row r="258" spans="1:15" x14ac:dyDescent="0.25">
      <c r="A258" t="str">
        <f>"                    Campbell Soup Co"</f>
        <v xml:space="preserve">                    Campbell Soup Co</v>
      </c>
      <c r="B258" t="str">
        <f>"CPB US Equity"</f>
        <v>CPB US Equity</v>
      </c>
      <c r="C258" t="str">
        <f t="shared" si="27"/>
        <v>F0946</v>
      </c>
      <c r="D258" t="str">
        <f t="shared" si="28"/>
        <v>TOTAL_GHG_CO2_EMISSIONS</v>
      </c>
      <c r="E258" t="str">
        <f t="shared" si="29"/>
        <v>Dynamic</v>
      </c>
      <c r="F258">
        <f ca="1">IF(AND(ISNUMBER($F$1376),$B$1132=1),$F$1376,HLOOKUP(INDIRECT(ADDRESS(2,COLUMN())),OFFSET($K$2,0,0,ROW()-1,5),ROW()-1,FALSE))</f>
        <v>0.676981995</v>
      </c>
      <c r="G258">
        <f ca="1">IF(AND(ISNUMBER($G$1376),$B$1132=1),$G$1376,HLOOKUP(INDIRECT(ADDRESS(2,COLUMN())),OFFSET($K$2,0,0,ROW()-1,5),ROW()-1,FALSE))</f>
        <v>0.68752301000000005</v>
      </c>
      <c r="H258">
        <f ca="1">IF(AND(ISNUMBER($H$1376),$B$1132=1),$H$1376,HLOOKUP(INDIRECT(ADDRESS(2,COLUMN())),OFFSET($K$2,0,0,ROW()-1,5),ROW()-1,FALSE))</f>
        <v>0.72220001199999995</v>
      </c>
      <c r="I258">
        <f ca="1">IF(AND(ISNUMBER($I$1376),$B$1132=1),$I$1376,HLOOKUP(INDIRECT(ADDRESS(2,COLUMN())),OFFSET($K$2,0,0,ROW()-1,5),ROW()-1,FALSE))</f>
        <v>0.67469097899999997</v>
      </c>
      <c r="J258">
        <f ca="1">IF(AND(ISNUMBER($J$1376),$B$1132=1),$J$1376,HLOOKUP(INDIRECT(ADDRESS(2,COLUMN())),OFFSET($K$2,0,0,ROW()-1,5),ROW()-1,FALSE))</f>
        <v>0.69387597700000003</v>
      </c>
      <c r="K258">
        <f>0.676981995</f>
        <v>0.676981995</v>
      </c>
      <c r="L258">
        <f>0.68752301</f>
        <v>0.68752301000000005</v>
      </c>
      <c r="M258">
        <f>0.722200012</f>
        <v>0.72220001199999995</v>
      </c>
      <c r="N258">
        <f>0.674690979</f>
        <v>0.67469097899999997</v>
      </c>
      <c r="O258">
        <f>0.693875977</f>
        <v>0.69387597700000003</v>
      </c>
    </row>
    <row r="259" spans="1:15" x14ac:dyDescent="0.25">
      <c r="A259" t="str">
        <f>"                    Daesang Corp"</f>
        <v xml:space="preserve">                    Daesang Corp</v>
      </c>
      <c r="B259" t="str">
        <f>"001680 KS Equity"</f>
        <v>001680 KS Equity</v>
      </c>
      <c r="C259" t="str">
        <f t="shared" si="27"/>
        <v>F0946</v>
      </c>
      <c r="D259" t="str">
        <f t="shared" si="28"/>
        <v>TOTAL_GHG_CO2_EMISSIONS</v>
      </c>
      <c r="E259" t="str">
        <f t="shared" si="29"/>
        <v>Dynamic</v>
      </c>
      <c r="F259" t="str">
        <f ca="1">IF(AND(ISNUMBER($F$1377),$B$1132=1),$F$1377,HLOOKUP(INDIRECT(ADDRESS(2,COLUMN())),OFFSET($K$2,0,0,ROW()-1,5),ROW()-1,FALSE))</f>
        <v/>
      </c>
      <c r="G259">
        <f ca="1">IF(AND(ISNUMBER($G$1377),$B$1132=1),$G$1377,HLOOKUP(INDIRECT(ADDRESS(2,COLUMN())),OFFSET($K$2,0,0,ROW()-1,5),ROW()-1,FALSE))</f>
        <v>0.50874099699999997</v>
      </c>
      <c r="H259">
        <f ca="1">IF(AND(ISNUMBER($H$1377),$B$1132=1),$H$1377,HLOOKUP(INDIRECT(ADDRESS(2,COLUMN())),OFFSET($K$2,0,0,ROW()-1,5),ROW()-1,FALSE))</f>
        <v>0.50870700099999999</v>
      </c>
      <c r="I259">
        <f ca="1">IF(AND(ISNUMBER($I$1377),$B$1132=1),$I$1377,HLOOKUP(INDIRECT(ADDRESS(2,COLUMN())),OFFSET($K$2,0,0,ROW()-1,5),ROW()-1,FALSE))</f>
        <v>0.53607299799999997</v>
      </c>
      <c r="J259">
        <f ca="1">IF(AND(ISNUMBER($J$1377),$B$1132=1),$J$1377,HLOOKUP(INDIRECT(ADDRESS(2,COLUMN())),OFFSET($K$2,0,0,ROW()-1,5),ROW()-1,FALSE))</f>
        <v>0.54324298100000001</v>
      </c>
      <c r="K259" t="str">
        <f>""</f>
        <v/>
      </c>
      <c r="L259">
        <f>0.508740997</f>
        <v>0.50874099699999997</v>
      </c>
      <c r="M259">
        <f>0.508707001</f>
        <v>0.50870700099999999</v>
      </c>
      <c r="N259">
        <f>0.536072998</f>
        <v>0.53607299799999997</v>
      </c>
      <c r="O259">
        <f>0.543242981</f>
        <v>0.54324298100000001</v>
      </c>
    </row>
    <row r="260" spans="1:15" x14ac:dyDescent="0.25">
      <c r="A260" t="str">
        <f>"                    Danone SA"</f>
        <v xml:space="preserve">                    Danone SA</v>
      </c>
      <c r="B260" t="str">
        <f>"BN FP Equity"</f>
        <v>BN FP Equity</v>
      </c>
      <c r="C260" t="str">
        <f t="shared" si="27"/>
        <v>F0946</v>
      </c>
      <c r="D260" t="str">
        <f t="shared" si="28"/>
        <v>TOTAL_GHG_CO2_EMISSIONS</v>
      </c>
      <c r="E260" t="str">
        <f t="shared" si="29"/>
        <v>Dynamic</v>
      </c>
      <c r="F260" t="str">
        <f ca="1">IF(AND(ISNUMBER($F$1378),$B$1132=1),$F$1378,HLOOKUP(INDIRECT(ADDRESS(2,COLUMN())),OFFSET($K$2,0,0,ROW()-1,5),ROW()-1,FALSE))</f>
        <v/>
      </c>
      <c r="G260">
        <f ca="1">IF(AND(ISNUMBER($G$1378),$B$1132=1),$G$1378,HLOOKUP(INDIRECT(ADDRESS(2,COLUMN())),OFFSET($K$2,0,0,ROW()-1,5),ROW()-1,FALSE))</f>
        <v>1.495619995</v>
      </c>
      <c r="H260">
        <f ca="1">IF(AND(ISNUMBER($H$1378),$B$1132=1),$H$1378,HLOOKUP(INDIRECT(ADDRESS(2,COLUMN())),OFFSET($K$2,0,0,ROW()-1,5),ROW()-1,FALSE))</f>
        <v>1.5330600590000001</v>
      </c>
      <c r="I260">
        <f ca="1">IF(AND(ISNUMBER($I$1378),$B$1132=1),$I$1378,HLOOKUP(INDIRECT(ADDRESS(2,COLUMN())),OFFSET($K$2,0,0,ROW()-1,5),ROW()-1,FALSE))</f>
        <v>1.66697998</v>
      </c>
      <c r="J260">
        <f ca="1">IF(AND(ISNUMBER($J$1378),$B$1132=1),$J$1378,HLOOKUP(INDIRECT(ADDRESS(2,COLUMN())),OFFSET($K$2,0,0,ROW()-1,5),ROW()-1,FALSE))</f>
        <v>1.7130200200000001</v>
      </c>
      <c r="K260" t="str">
        <f>""</f>
        <v/>
      </c>
      <c r="L260">
        <f>1.495619995</f>
        <v>1.495619995</v>
      </c>
      <c r="M260">
        <f>1.533060059</f>
        <v>1.5330600590000001</v>
      </c>
      <c r="N260">
        <f>1.66697998</f>
        <v>1.66697998</v>
      </c>
      <c r="O260">
        <f>1.71302002</f>
        <v>1.7130200200000001</v>
      </c>
    </row>
    <row r="261" spans="1:15" x14ac:dyDescent="0.25">
      <c r="A261" t="str">
        <f>"                    Delfi Ltd"</f>
        <v xml:space="preserve">                    Delfi Ltd</v>
      </c>
      <c r="B261" t="str">
        <f>"DELFI SP Equity"</f>
        <v>DELFI SP Equity</v>
      </c>
      <c r="C261" t="str">
        <f t="shared" si="27"/>
        <v>F0946</v>
      </c>
      <c r="D261" t="str">
        <f t="shared" si="28"/>
        <v>TOTAL_GHG_CO2_EMISSIONS</v>
      </c>
      <c r="E261" t="str">
        <f t="shared" si="29"/>
        <v>Dynamic</v>
      </c>
      <c r="F261">
        <f ca="1">IF(AND(ISNUMBER($F$1379),$B$1132=1),$F$1379,HLOOKUP(INDIRECT(ADDRESS(2,COLUMN())),OFFSET($K$2,0,0,ROW()-1,5),ROW()-1,FALSE))</f>
        <v>5.0168998999999999E-2</v>
      </c>
      <c r="G261">
        <f ca="1">IF(AND(ISNUMBER($G$1379),$B$1132=1),$G$1379,HLOOKUP(INDIRECT(ADDRESS(2,COLUMN())),OFFSET($K$2,0,0,ROW()-1,5),ROW()-1,FALSE))</f>
        <v>4.8094001999999997E-2</v>
      </c>
      <c r="H261" t="str">
        <f ca="1">IF(AND(ISNUMBER($H$1379),$B$1132=1),$H$1379,HLOOKUP(INDIRECT(ADDRESS(2,COLUMN())),OFFSET($K$2,0,0,ROW()-1,5),ROW()-1,FALSE))</f>
        <v/>
      </c>
      <c r="I261" t="str">
        <f ca="1">IF(AND(ISNUMBER($I$1379),$B$1132=1),$I$1379,HLOOKUP(INDIRECT(ADDRESS(2,COLUMN())),OFFSET($K$2,0,0,ROW()-1,5),ROW()-1,FALSE))</f>
        <v/>
      </c>
      <c r="J261" t="str">
        <f ca="1">IF(AND(ISNUMBER($J$1379),$B$1132=1),$J$1379,HLOOKUP(INDIRECT(ADDRESS(2,COLUMN())),OFFSET($K$2,0,0,ROW()-1,5),ROW()-1,FALSE))</f>
        <v/>
      </c>
      <c r="K261">
        <f>0.050168999</f>
        <v>5.0168998999999999E-2</v>
      </c>
      <c r="L261">
        <f>0.048094002</f>
        <v>4.8094001999999997E-2</v>
      </c>
      <c r="M261" t="str">
        <f>""</f>
        <v/>
      </c>
      <c r="N261" t="str">
        <f>""</f>
        <v/>
      </c>
      <c r="O261" t="str">
        <f>""</f>
        <v/>
      </c>
    </row>
    <row r="262" spans="1:15" x14ac:dyDescent="0.25">
      <c r="A262" t="str">
        <f>"                    Ebro Foods SA"</f>
        <v xml:space="preserve">                    Ebro Foods SA</v>
      </c>
      <c r="B262" t="str">
        <f>"EBRO SM Equity"</f>
        <v>EBRO SM Equity</v>
      </c>
      <c r="C262" t="str">
        <f t="shared" si="27"/>
        <v>F0946</v>
      </c>
      <c r="D262" t="str">
        <f t="shared" si="28"/>
        <v>TOTAL_GHG_CO2_EMISSIONS</v>
      </c>
      <c r="E262" t="str">
        <f t="shared" si="29"/>
        <v>Dynamic</v>
      </c>
      <c r="F262">
        <f ca="1">IF(AND(ISNUMBER($F$1380),$B$1132=1),$F$1380,HLOOKUP(INDIRECT(ADDRESS(2,COLUMN())),OFFSET($K$2,0,0,ROW()-1,5),ROW()-1,FALSE))</f>
        <v>0.274152008</v>
      </c>
      <c r="G262">
        <f ca="1">IF(AND(ISNUMBER($G$1380),$B$1132=1),$G$1380,HLOOKUP(INDIRECT(ADDRESS(2,COLUMN())),OFFSET($K$2,0,0,ROW()-1,5),ROW()-1,FALSE))</f>
        <v>0.31620400999999998</v>
      </c>
      <c r="H262">
        <f ca="1">IF(AND(ISNUMBER($H$1380),$B$1132=1),$H$1380,HLOOKUP(INDIRECT(ADDRESS(2,COLUMN())),OFFSET($K$2,0,0,ROW()-1,5),ROW()-1,FALSE))</f>
        <v>0.36666299400000002</v>
      </c>
      <c r="I262">
        <f ca="1">IF(AND(ISNUMBER($I$1380),$B$1132=1),$I$1380,HLOOKUP(INDIRECT(ADDRESS(2,COLUMN())),OFFSET($K$2,0,0,ROW()-1,5),ROW()-1,FALSE))</f>
        <v>0.55598498500000004</v>
      </c>
      <c r="J262">
        <f ca="1">IF(AND(ISNUMBER($J$1380),$B$1132=1),$J$1380,HLOOKUP(INDIRECT(ADDRESS(2,COLUMN())),OFFSET($K$2,0,0,ROW()-1,5),ROW()-1,FALSE))</f>
        <v>0.65577502399999998</v>
      </c>
      <c r="K262">
        <f>0.274152008</f>
        <v>0.274152008</v>
      </c>
      <c r="L262">
        <f>0.31620401</f>
        <v>0.31620400999999998</v>
      </c>
      <c r="M262">
        <f>0.366662994</f>
        <v>0.36666299400000002</v>
      </c>
      <c r="N262">
        <f>0.555984985</f>
        <v>0.55598498500000004</v>
      </c>
      <c r="O262">
        <f>0.655775024</f>
        <v>0.65577502399999998</v>
      </c>
    </row>
    <row r="263" spans="1:15" x14ac:dyDescent="0.25">
      <c r="A263" t="str">
        <f>"                    Emmi AG"</f>
        <v xml:space="preserve">                    Emmi AG</v>
      </c>
      <c r="B263" t="str">
        <f>"EMMN SW Equity"</f>
        <v>EMMN SW Equity</v>
      </c>
      <c r="C263" t="str">
        <f t="shared" si="27"/>
        <v>F0946</v>
      </c>
      <c r="D263" t="str">
        <f t="shared" si="28"/>
        <v>TOTAL_GHG_CO2_EMISSIONS</v>
      </c>
      <c r="E263" t="str">
        <f t="shared" si="29"/>
        <v>Dynamic</v>
      </c>
      <c r="F263">
        <f ca="1">IF(AND(ISNUMBER($F$1381),$B$1132=1),$F$1381,HLOOKUP(INDIRECT(ADDRESS(2,COLUMN())),OFFSET($K$2,0,0,ROW()-1,5),ROW()-1,FALSE))</f>
        <v>0.100367996</v>
      </c>
      <c r="G263">
        <f ca="1">IF(AND(ISNUMBER($G$1381),$B$1132=1),$G$1381,HLOOKUP(INDIRECT(ADDRESS(2,COLUMN())),OFFSET($K$2,0,0,ROW()-1,5),ROW()-1,FALSE))</f>
        <v>0.112634003</v>
      </c>
      <c r="H263">
        <f ca="1">IF(AND(ISNUMBER($H$1381),$B$1132=1),$H$1381,HLOOKUP(INDIRECT(ADDRESS(2,COLUMN())),OFFSET($K$2,0,0,ROW()-1,5),ROW()-1,FALSE))</f>
        <v>0.104528</v>
      </c>
      <c r="I263">
        <f ca="1">IF(AND(ISNUMBER($I$1381),$B$1132=1),$I$1381,HLOOKUP(INDIRECT(ADDRESS(2,COLUMN())),OFFSET($K$2,0,0,ROW()-1,5),ROW()-1,FALSE))</f>
        <v>0.105668999</v>
      </c>
      <c r="J263" t="str">
        <f ca="1">IF(AND(ISNUMBER($J$1381),$B$1132=1),$J$1381,HLOOKUP(INDIRECT(ADDRESS(2,COLUMN())),OFFSET($K$2,0,0,ROW()-1,5),ROW()-1,FALSE))</f>
        <v/>
      </c>
      <c r="K263">
        <f>0.100367996</f>
        <v>0.100367996</v>
      </c>
      <c r="L263">
        <f>0.112634003</f>
        <v>0.112634003</v>
      </c>
      <c r="M263">
        <f>0.104528</f>
        <v>0.104528</v>
      </c>
      <c r="N263">
        <f>0.105668999</f>
        <v>0.105668999</v>
      </c>
      <c r="O263" t="str">
        <f>""</f>
        <v/>
      </c>
    </row>
    <row r="264" spans="1:15" x14ac:dyDescent="0.25">
      <c r="A264" t="str">
        <f>"                    Ezaki Glico Co Ltd"</f>
        <v xml:space="preserve">                    Ezaki Glico Co Ltd</v>
      </c>
      <c r="B264" t="str">
        <f>"2206 JP Equity"</f>
        <v>2206 JP Equity</v>
      </c>
      <c r="C264" t="str">
        <f t="shared" si="27"/>
        <v>F0946</v>
      </c>
      <c r="D264" t="str">
        <f t="shared" si="28"/>
        <v>TOTAL_GHG_CO2_EMISSIONS</v>
      </c>
      <c r="E264" t="str">
        <f t="shared" si="29"/>
        <v>Dynamic</v>
      </c>
      <c r="F264">
        <f ca="1">IF(AND(ISNUMBER($F$1382),$B$1132=1),$F$1382,HLOOKUP(INDIRECT(ADDRESS(2,COLUMN())),OFFSET($K$2,0,0,ROW()-1,5),ROW()-1,FALSE))</f>
        <v>9.0941002000000007E-2</v>
      </c>
      <c r="G264">
        <f ca="1">IF(AND(ISNUMBER($G$1382),$B$1132=1),$G$1382,HLOOKUP(INDIRECT(ADDRESS(2,COLUMN())),OFFSET($K$2,0,0,ROW()-1,5),ROW()-1,FALSE))</f>
        <v>0.104772003</v>
      </c>
      <c r="H264">
        <f ca="1">IF(AND(ISNUMBER($H$1382),$B$1132=1),$H$1382,HLOOKUP(INDIRECT(ADDRESS(2,COLUMN())),OFFSET($K$2,0,0,ROW()-1,5),ROW()-1,FALSE))</f>
        <v>0.10727300300000001</v>
      </c>
      <c r="I264" t="str">
        <f ca="1">IF(AND(ISNUMBER($I$1382),$B$1132=1),$I$1382,HLOOKUP(INDIRECT(ADDRESS(2,COLUMN())),OFFSET($K$2,0,0,ROW()-1,5),ROW()-1,FALSE))</f>
        <v/>
      </c>
      <c r="J264">
        <f ca="1">IF(AND(ISNUMBER($J$1382),$B$1132=1),$J$1382,HLOOKUP(INDIRECT(ADDRESS(2,COLUMN())),OFFSET($K$2,0,0,ROW()-1,5),ROW()-1,FALSE))</f>
        <v>0.120146004</v>
      </c>
      <c r="K264">
        <f>0.090941002</f>
        <v>9.0941002000000007E-2</v>
      </c>
      <c r="L264">
        <f>0.104772003</f>
        <v>0.104772003</v>
      </c>
      <c r="M264">
        <f>0.107273003</f>
        <v>0.10727300300000001</v>
      </c>
      <c r="N264" t="str">
        <f>""</f>
        <v/>
      </c>
      <c r="O264">
        <f>0.120146004</f>
        <v>0.120146004</v>
      </c>
    </row>
    <row r="265" spans="1:15" x14ac:dyDescent="0.25">
      <c r="A265" t="str">
        <f>"                    First Pacific Co Ltd"</f>
        <v xml:space="preserve">                    First Pacific Co Ltd</v>
      </c>
      <c r="B265" t="str">
        <f>"142 HK Equity"</f>
        <v>142 HK Equity</v>
      </c>
      <c r="C265" t="str">
        <f t="shared" si="27"/>
        <v>F0946</v>
      </c>
      <c r="D265" t="str">
        <f t="shared" si="28"/>
        <v>TOTAL_GHG_CO2_EMISSIONS</v>
      </c>
      <c r="E265" t="str">
        <f t="shared" si="29"/>
        <v>Dynamic</v>
      </c>
      <c r="F265">
        <f ca="1">IF(AND(ISNUMBER($F$1383),$B$1132=1),$F$1383,HLOOKUP(INDIRECT(ADDRESS(2,COLUMN())),OFFSET($K$2,0,0,ROW()-1,5),ROW()-1,FALSE))</f>
        <v>11.489200200000001</v>
      </c>
      <c r="G265">
        <f ca="1">IF(AND(ISNUMBER($G$1383),$B$1132=1),$G$1383,HLOOKUP(INDIRECT(ADDRESS(2,COLUMN())),OFFSET($K$2,0,0,ROW()-1,5),ROW()-1,FALSE))</f>
        <v>16.67840039</v>
      </c>
      <c r="H265">
        <f ca="1">IF(AND(ISNUMBER($H$1383),$B$1132=1),$H$1383,HLOOKUP(INDIRECT(ADDRESS(2,COLUMN())),OFFSET($K$2,0,0,ROW()-1,5),ROW()-1,FALSE))</f>
        <v>10.708299800000001</v>
      </c>
      <c r="I265">
        <f ca="1">IF(AND(ISNUMBER($I$1383),$B$1132=1),$I$1383,HLOOKUP(INDIRECT(ADDRESS(2,COLUMN())),OFFSET($K$2,0,0,ROW()-1,5),ROW()-1,FALSE))</f>
        <v>8.3649101560000005</v>
      </c>
      <c r="J265">
        <f ca="1">IF(AND(ISNUMBER($J$1383),$B$1132=1),$J$1383,HLOOKUP(INDIRECT(ADDRESS(2,COLUMN())),OFFSET($K$2,0,0,ROW()-1,5),ROW()-1,FALSE))</f>
        <v>7.2291601559999998</v>
      </c>
      <c r="K265">
        <f>11.4892002</f>
        <v>11.489200200000001</v>
      </c>
      <c r="L265">
        <f>16.67840039</f>
        <v>16.67840039</v>
      </c>
      <c r="M265">
        <f>10.7082998</f>
        <v>10.708299800000001</v>
      </c>
      <c r="N265">
        <f>8.364910156</f>
        <v>8.3649101560000005</v>
      </c>
      <c r="O265">
        <f>7.229160156</f>
        <v>7.2291601559999998</v>
      </c>
    </row>
    <row r="266" spans="1:15" x14ac:dyDescent="0.25">
      <c r="A266" t="str">
        <f>"                    Flowers Foods Inc"</f>
        <v xml:space="preserve">                    Flowers Foods Inc</v>
      </c>
      <c r="B266" t="str">
        <f>"FLO US Equity"</f>
        <v>FLO US Equity</v>
      </c>
      <c r="C266" t="str">
        <f t="shared" si="27"/>
        <v>F0946</v>
      </c>
      <c r="D266" t="str">
        <f t="shared" si="28"/>
        <v>TOTAL_GHG_CO2_EMISSIONS</v>
      </c>
      <c r="E266" t="str">
        <f t="shared" si="29"/>
        <v>Dynamic</v>
      </c>
      <c r="F266" t="str">
        <f ca="1">IF(AND(ISNUMBER($F$1384),$B$1132=1),$F$1384,HLOOKUP(INDIRECT(ADDRESS(2,COLUMN())),OFFSET($K$2,0,0,ROW()-1,5),ROW()-1,FALSE))</f>
        <v/>
      </c>
      <c r="G266">
        <f ca="1">IF(AND(ISNUMBER($G$1384),$B$1132=1),$G$1384,HLOOKUP(INDIRECT(ADDRESS(2,COLUMN())),OFFSET($K$2,0,0,ROW()-1,5),ROW()-1,FALSE))</f>
        <v>0.313529999</v>
      </c>
      <c r="H266">
        <f ca="1">IF(AND(ISNUMBER($H$1384),$B$1132=1),$H$1384,HLOOKUP(INDIRECT(ADDRESS(2,COLUMN())),OFFSET($K$2,0,0,ROW()-1,5),ROW()-1,FALSE))</f>
        <v>0.35302099599999998</v>
      </c>
      <c r="I266">
        <f ca="1">IF(AND(ISNUMBER($I$1384),$B$1132=1),$I$1384,HLOOKUP(INDIRECT(ADDRESS(2,COLUMN())),OFFSET($K$2,0,0,ROW()-1,5),ROW()-1,FALSE))</f>
        <v>0.35924398800000001</v>
      </c>
      <c r="J266">
        <f ca="1">IF(AND(ISNUMBER($J$1384),$B$1132=1),$J$1384,HLOOKUP(INDIRECT(ADDRESS(2,COLUMN())),OFFSET($K$2,0,0,ROW()-1,5),ROW()-1,FALSE))</f>
        <v>0.38264599599999999</v>
      </c>
      <c r="K266" t="str">
        <f>""</f>
        <v/>
      </c>
      <c r="L266">
        <f>0.313529999</f>
        <v>0.313529999</v>
      </c>
      <c r="M266">
        <f>0.353020996</f>
        <v>0.35302099599999998</v>
      </c>
      <c r="N266">
        <f>0.359243988</f>
        <v>0.35924398800000001</v>
      </c>
      <c r="O266">
        <f>0.382645996</f>
        <v>0.38264599599999999</v>
      </c>
    </row>
    <row r="267" spans="1:15" x14ac:dyDescent="0.25">
      <c r="A267" t="str">
        <f>"                    Fresh Del Monte Produce Inc"</f>
        <v xml:space="preserve">                    Fresh Del Monte Produce Inc</v>
      </c>
      <c r="B267" t="str">
        <f>"FDP US Equity"</f>
        <v>FDP US Equity</v>
      </c>
      <c r="C267" t="str">
        <f t="shared" si="27"/>
        <v>F0946</v>
      </c>
      <c r="D267" t="str">
        <f t="shared" si="28"/>
        <v>TOTAL_GHG_CO2_EMISSIONS</v>
      </c>
      <c r="E267" t="str">
        <f t="shared" si="29"/>
        <v>Dynamic</v>
      </c>
      <c r="F267" t="str">
        <f ca="1">IF(AND(ISNUMBER($F$1385),$B$1132=1),$F$1385,HLOOKUP(INDIRECT(ADDRESS(2,COLUMN())),OFFSET($K$2,0,0,ROW()-1,5),ROW()-1,FALSE))</f>
        <v/>
      </c>
      <c r="G267">
        <f ca="1">IF(AND(ISNUMBER($G$1385),$B$1132=1),$G$1385,HLOOKUP(INDIRECT(ADDRESS(2,COLUMN())),OFFSET($K$2,0,0,ROW()-1,5),ROW()-1,FALSE))</f>
        <v>0.90958801300000003</v>
      </c>
      <c r="H267">
        <f ca="1">IF(AND(ISNUMBER($H$1385),$B$1132=1),$H$1385,HLOOKUP(INDIRECT(ADDRESS(2,COLUMN())),OFFSET($K$2,0,0,ROW()-1,5),ROW()-1,FALSE))</f>
        <v>1.0177100219999999</v>
      </c>
      <c r="I267" t="str">
        <f ca="1">IF(AND(ISNUMBER($I$1385),$B$1132=1),$I$1385,HLOOKUP(INDIRECT(ADDRESS(2,COLUMN())),OFFSET($K$2,0,0,ROW()-1,5),ROW()-1,FALSE))</f>
        <v/>
      </c>
      <c r="J267" t="str">
        <f ca="1">IF(AND(ISNUMBER($J$1385),$B$1132=1),$J$1385,HLOOKUP(INDIRECT(ADDRESS(2,COLUMN())),OFFSET($K$2,0,0,ROW()-1,5),ROW()-1,FALSE))</f>
        <v/>
      </c>
      <c r="K267" t="str">
        <f>""</f>
        <v/>
      </c>
      <c r="L267">
        <f>0.909588013</f>
        <v>0.90958801300000003</v>
      </c>
      <c r="M267">
        <f>1.017710022</f>
        <v>1.0177100219999999</v>
      </c>
      <c r="N267" t="str">
        <f>""</f>
        <v/>
      </c>
      <c r="O267" t="str">
        <f>""</f>
        <v/>
      </c>
    </row>
    <row r="268" spans="1:15" x14ac:dyDescent="0.25">
      <c r="A268" t="str">
        <f>"                    Fuji Oil Holdings Inc"</f>
        <v xml:space="preserve">                    Fuji Oil Holdings Inc</v>
      </c>
      <c r="B268" t="str">
        <f>"2607 JP Equity"</f>
        <v>2607 JP Equity</v>
      </c>
      <c r="C268" t="str">
        <f t="shared" si="27"/>
        <v>F0946</v>
      </c>
      <c r="D268" t="str">
        <f t="shared" si="28"/>
        <v>TOTAL_GHG_CO2_EMISSIONS</v>
      </c>
      <c r="E268" t="str">
        <f t="shared" si="29"/>
        <v>Dynamic</v>
      </c>
      <c r="F268" t="str">
        <f ca="1">IF(AND(ISNUMBER($F$1386),$B$1132=1),$F$1386,HLOOKUP(INDIRECT(ADDRESS(2,COLUMN())),OFFSET($K$2,0,0,ROW()-1,5),ROW()-1,FALSE))</f>
        <v/>
      </c>
      <c r="G268">
        <f ca="1">IF(AND(ISNUMBER($G$1386),$B$1132=1),$G$1386,HLOOKUP(INDIRECT(ADDRESS(2,COLUMN())),OFFSET($K$2,0,0,ROW()-1,5),ROW()-1,FALSE))</f>
        <v>0.40836099199999998</v>
      </c>
      <c r="H268">
        <f ca="1">IF(AND(ISNUMBER($H$1386),$B$1132=1),$H$1386,HLOOKUP(INDIRECT(ADDRESS(2,COLUMN())),OFFSET($K$2,0,0,ROW()-1,5),ROW()-1,FALSE))</f>
        <v>0.418925995</v>
      </c>
      <c r="I268">
        <f ca="1">IF(AND(ISNUMBER($I$1386),$B$1132=1),$I$1386,HLOOKUP(INDIRECT(ADDRESS(2,COLUMN())),OFFSET($K$2,0,0,ROW()-1,5),ROW()-1,FALSE))</f>
        <v>0.42960598799999999</v>
      </c>
      <c r="J268">
        <f ca="1">IF(AND(ISNUMBER($J$1386),$B$1132=1),$J$1386,HLOOKUP(INDIRECT(ADDRESS(2,COLUMN())),OFFSET($K$2,0,0,ROW()-1,5),ROW()-1,FALSE))</f>
        <v>0.43865301499999998</v>
      </c>
      <c r="K268" t="str">
        <f>""</f>
        <v/>
      </c>
      <c r="L268">
        <f>0.408360992</f>
        <v>0.40836099199999998</v>
      </c>
      <c r="M268">
        <f>0.418925995</f>
        <v>0.418925995</v>
      </c>
      <c r="N268">
        <f>0.429605988</f>
        <v>0.42960598799999999</v>
      </c>
      <c r="O268">
        <f>0.438653015</f>
        <v>0.43865301499999998</v>
      </c>
    </row>
    <row r="269" spans="1:15" x14ac:dyDescent="0.25">
      <c r="A269" t="str">
        <f>"                    Fujian Sunner Development Co L"</f>
        <v xml:space="preserve">                    Fujian Sunner Development Co L</v>
      </c>
      <c r="B269" t="str">
        <f>"002299 CH Equity"</f>
        <v>002299 CH Equity</v>
      </c>
      <c r="C269" t="str">
        <f t="shared" si="27"/>
        <v>F0946</v>
      </c>
      <c r="D269" t="str">
        <f t="shared" si="28"/>
        <v>TOTAL_GHG_CO2_EMISSIONS</v>
      </c>
      <c r="E269" t="str">
        <f t="shared" si="29"/>
        <v>Dynamic</v>
      </c>
      <c r="F269" t="str">
        <f ca="1">IF(AND(ISNUMBER($F$1387),$B$1132=1),$F$1387,HLOOKUP(INDIRECT(ADDRESS(2,COLUMN())),OFFSET($K$2,0,0,ROW()-1,5),ROW()-1,FALSE))</f>
        <v/>
      </c>
      <c r="G269" t="str">
        <f ca="1">IF(AND(ISNUMBER($G$1387),$B$1132=1),$G$1387,HLOOKUP(INDIRECT(ADDRESS(2,COLUMN())),OFFSET($K$2,0,0,ROW()-1,5),ROW()-1,FALSE))</f>
        <v/>
      </c>
      <c r="H269" t="str">
        <f ca="1">IF(AND(ISNUMBER($H$1387),$B$1132=1),$H$1387,HLOOKUP(INDIRECT(ADDRESS(2,COLUMN())),OFFSET($K$2,0,0,ROW()-1,5),ROW()-1,FALSE))</f>
        <v/>
      </c>
      <c r="I269" t="str">
        <f ca="1">IF(AND(ISNUMBER($I$1387),$B$1132=1),$I$1387,HLOOKUP(INDIRECT(ADDRESS(2,COLUMN())),OFFSET($K$2,0,0,ROW()-1,5),ROW()-1,FALSE))</f>
        <v/>
      </c>
      <c r="J269" t="str">
        <f ca="1">IF(AND(ISNUMBER($J$1387),$B$1132=1),$J$1387,HLOOKUP(INDIRECT(ADDRESS(2,COLUMN())),OFFSET($K$2,0,0,ROW()-1,5),ROW()-1,FALSE))</f>
        <v/>
      </c>
      <c r="K269" t="str">
        <f>""</f>
        <v/>
      </c>
      <c r="L269" t="str">
        <f>""</f>
        <v/>
      </c>
      <c r="M269" t="str">
        <f>""</f>
        <v/>
      </c>
      <c r="N269" t="str">
        <f>""</f>
        <v/>
      </c>
      <c r="O269" t="str">
        <f>""</f>
        <v/>
      </c>
    </row>
    <row r="270" spans="1:15" x14ac:dyDescent="0.25">
      <c r="A270" t="str">
        <f>"                    Glanbia PLC"</f>
        <v xml:space="preserve">                    Glanbia PLC</v>
      </c>
      <c r="B270" t="str">
        <f>"GLB ID Equity"</f>
        <v>GLB ID Equity</v>
      </c>
      <c r="C270" t="str">
        <f t="shared" si="27"/>
        <v>F0946</v>
      </c>
      <c r="D270" t="str">
        <f t="shared" si="28"/>
        <v>TOTAL_GHG_CO2_EMISSIONS</v>
      </c>
      <c r="E270" t="str">
        <f t="shared" si="29"/>
        <v>Dynamic</v>
      </c>
      <c r="F270">
        <f ca="1">IF(AND(ISNUMBER($F$1388),$B$1132=1),$F$1388,HLOOKUP(INDIRECT(ADDRESS(2,COLUMN())),OFFSET($K$2,0,0,ROW()-1,5),ROW()-1,FALSE))</f>
        <v>0.26498001100000002</v>
      </c>
      <c r="G270">
        <f ca="1">IF(AND(ISNUMBER($G$1388),$B$1132=1),$G$1388,HLOOKUP(INDIRECT(ADDRESS(2,COLUMN())),OFFSET($K$2,0,0,ROW()-1,5),ROW()-1,FALSE))</f>
        <v>0.29007299800000003</v>
      </c>
      <c r="H270">
        <f ca="1">IF(AND(ISNUMBER($H$1388),$B$1132=1),$H$1388,HLOOKUP(INDIRECT(ADDRESS(2,COLUMN())),OFFSET($K$2,0,0,ROW()-1,5),ROW()-1,FALSE))</f>
        <v>0.420355011</v>
      </c>
      <c r="I270">
        <f ca="1">IF(AND(ISNUMBER($I$1388),$B$1132=1),$I$1388,HLOOKUP(INDIRECT(ADDRESS(2,COLUMN())),OFFSET($K$2,0,0,ROW()-1,5),ROW()-1,FALSE))</f>
        <v>0.427484009</v>
      </c>
      <c r="J270">
        <f ca="1">IF(AND(ISNUMBER($J$1388),$B$1132=1),$J$1388,HLOOKUP(INDIRECT(ADDRESS(2,COLUMN())),OFFSET($K$2,0,0,ROW()-1,5),ROW()-1,FALSE))</f>
        <v>0.43310198999999999</v>
      </c>
      <c r="K270">
        <f>0.264980011</f>
        <v>0.26498001100000002</v>
      </c>
      <c r="L270">
        <f>0.290072998</f>
        <v>0.29007299800000003</v>
      </c>
      <c r="M270">
        <f>0.420355011</f>
        <v>0.420355011</v>
      </c>
      <c r="N270">
        <f>0.427484009</f>
        <v>0.427484009</v>
      </c>
      <c r="O270">
        <f>0.43310199</f>
        <v>0.43310198999999999</v>
      </c>
    </row>
    <row r="271" spans="1:15" x14ac:dyDescent="0.25">
      <c r="A271" t="str">
        <f>"                    Gruma SAB de CV"</f>
        <v xml:space="preserve">                    Gruma SAB de CV</v>
      </c>
      <c r="B271" t="str">
        <f>"GRUMAB MM Equity"</f>
        <v>GRUMAB MM Equity</v>
      </c>
      <c r="C271" t="str">
        <f t="shared" ref="C271:C302" si="30">"F0946"</f>
        <v>F0946</v>
      </c>
      <c r="D271" t="str">
        <f t="shared" ref="D271:D302" si="31">"TOTAL_GHG_CO2_EMISSIONS"</f>
        <v>TOTAL_GHG_CO2_EMISSIONS</v>
      </c>
      <c r="E271" t="str">
        <f t="shared" ref="E271:E302" si="32">"Dynamic"</f>
        <v>Dynamic</v>
      </c>
      <c r="F271" t="str">
        <f ca="1">IF(AND(ISNUMBER($F$1389),$B$1132=1),$F$1389,HLOOKUP(INDIRECT(ADDRESS(2,COLUMN())),OFFSET($K$2,0,0,ROW()-1,5),ROW()-1,FALSE))</f>
        <v/>
      </c>
      <c r="G271" t="str">
        <f ca="1">IF(AND(ISNUMBER($G$1389),$B$1132=1),$G$1389,HLOOKUP(INDIRECT(ADDRESS(2,COLUMN())),OFFSET($K$2,0,0,ROW()-1,5),ROW()-1,FALSE))</f>
        <v/>
      </c>
      <c r="H271" t="str">
        <f ca="1">IF(AND(ISNUMBER($H$1389),$B$1132=1),$H$1389,HLOOKUP(INDIRECT(ADDRESS(2,COLUMN())),OFFSET($K$2,0,0,ROW()-1,5),ROW()-1,FALSE))</f>
        <v/>
      </c>
      <c r="I271" t="str">
        <f ca="1">IF(AND(ISNUMBER($I$1389),$B$1132=1),$I$1389,HLOOKUP(INDIRECT(ADDRESS(2,COLUMN())),OFFSET($K$2,0,0,ROW()-1,5),ROW()-1,FALSE))</f>
        <v/>
      </c>
      <c r="J271" t="str">
        <f ca="1">IF(AND(ISNUMBER($J$1389),$B$1132=1),$J$1389,HLOOKUP(INDIRECT(ADDRESS(2,COLUMN())),OFFSET($K$2,0,0,ROW()-1,5),ROW()-1,FALSE))</f>
        <v/>
      </c>
      <c r="K271" t="str">
        <f>""</f>
        <v/>
      </c>
      <c r="L271" t="str">
        <f>""</f>
        <v/>
      </c>
      <c r="M271" t="str">
        <f>""</f>
        <v/>
      </c>
      <c r="N271" t="str">
        <f>""</f>
        <v/>
      </c>
      <c r="O271" t="str">
        <f>""</f>
        <v/>
      </c>
    </row>
    <row r="272" spans="1:15" x14ac:dyDescent="0.25">
      <c r="A272" t="str">
        <f>"                    Grupo Bimbo SAB de CV"</f>
        <v xml:space="preserve">                    Grupo Bimbo SAB de CV</v>
      </c>
      <c r="B272" t="str">
        <f>"BIMBOA MM Equity"</f>
        <v>BIMBOA MM Equity</v>
      </c>
      <c r="C272" t="str">
        <f t="shared" si="30"/>
        <v>F0946</v>
      </c>
      <c r="D272" t="str">
        <f t="shared" si="31"/>
        <v>TOTAL_GHG_CO2_EMISSIONS</v>
      </c>
      <c r="E272" t="str">
        <f t="shared" si="32"/>
        <v>Dynamic</v>
      </c>
      <c r="F272">
        <f ca="1">IF(AND(ISNUMBER($F$1390),$B$1132=1),$F$1390,HLOOKUP(INDIRECT(ADDRESS(2,COLUMN())),OFFSET($K$2,0,0,ROW()-1,5),ROW()-1,FALSE))</f>
        <v>1.1885200199999999</v>
      </c>
      <c r="G272">
        <f ca="1">IF(AND(ISNUMBER($G$1390),$B$1132=1),$G$1390,HLOOKUP(INDIRECT(ADDRESS(2,COLUMN())),OFFSET($K$2,0,0,ROW()-1,5),ROW()-1,FALSE))</f>
        <v>1.5879000240000001</v>
      </c>
      <c r="H272">
        <f ca="1">IF(AND(ISNUMBER($H$1390),$B$1132=1),$H$1390,HLOOKUP(INDIRECT(ADDRESS(2,COLUMN())),OFFSET($K$2,0,0,ROW()-1,5),ROW()-1,FALSE))</f>
        <v>1.2156899409999999</v>
      </c>
      <c r="I272">
        <f ca="1">IF(AND(ISNUMBER($I$1390),$B$1132=1),$I$1390,HLOOKUP(INDIRECT(ADDRESS(2,COLUMN())),OFFSET($K$2,0,0,ROW()-1,5),ROW()-1,FALSE))</f>
        <v>1.357310059</v>
      </c>
      <c r="J272">
        <f ca="1">IF(AND(ISNUMBER($J$1390),$B$1132=1),$J$1390,HLOOKUP(INDIRECT(ADDRESS(2,COLUMN())),OFFSET($K$2,0,0,ROW()-1,5),ROW()-1,FALSE))</f>
        <v>1.867800049</v>
      </c>
      <c r="K272">
        <f>1.18852002</f>
        <v>1.1885200199999999</v>
      </c>
      <c r="L272">
        <f>1.587900024</f>
        <v>1.5879000240000001</v>
      </c>
      <c r="M272">
        <f>1.215689941</f>
        <v>1.2156899409999999</v>
      </c>
      <c r="N272">
        <f>1.357310059</f>
        <v>1.357310059</v>
      </c>
      <c r="O272">
        <f>1.867800049</f>
        <v>1.867800049</v>
      </c>
    </row>
    <row r="273" spans="1:15" x14ac:dyDescent="0.25">
      <c r="A273" t="str">
        <f>"                    Grupo Herdez SAB de CV"</f>
        <v xml:space="preserve">                    Grupo Herdez SAB de CV</v>
      </c>
      <c r="B273" t="str">
        <f>"HERDEZ* MM Equity"</f>
        <v>HERDEZ* MM Equity</v>
      </c>
      <c r="C273" t="str">
        <f t="shared" si="30"/>
        <v>F0946</v>
      </c>
      <c r="D273" t="str">
        <f t="shared" si="31"/>
        <v>TOTAL_GHG_CO2_EMISSIONS</v>
      </c>
      <c r="E273" t="str">
        <f t="shared" si="32"/>
        <v>Dynamic</v>
      </c>
      <c r="F273" t="str">
        <f ca="1">IF(AND(ISNUMBER($F$1391),$B$1132=1),$F$1391,HLOOKUP(INDIRECT(ADDRESS(2,COLUMN())),OFFSET($K$2,0,0,ROW()-1,5),ROW()-1,FALSE))</f>
        <v/>
      </c>
      <c r="G273">
        <f ca="1">IF(AND(ISNUMBER($G$1391),$B$1132=1),$G$1391,HLOOKUP(INDIRECT(ADDRESS(2,COLUMN())),OFFSET($K$2,0,0,ROW()-1,5),ROW()-1,FALSE))</f>
        <v>6.1669997999999997E-2</v>
      </c>
      <c r="H273">
        <f ca="1">IF(AND(ISNUMBER($H$1391),$B$1132=1),$H$1391,HLOOKUP(INDIRECT(ADDRESS(2,COLUMN())),OFFSET($K$2,0,0,ROW()-1,5),ROW()-1,FALSE))</f>
        <v>7.8681999000000002E-2</v>
      </c>
      <c r="I273">
        <f ca="1">IF(AND(ISNUMBER($I$1391),$B$1132=1),$I$1391,HLOOKUP(INDIRECT(ADDRESS(2,COLUMN())),OFFSET($K$2,0,0,ROW()-1,5),ROW()-1,FALSE))</f>
        <v>9.1960999000000002E-2</v>
      </c>
      <c r="J273">
        <f ca="1">IF(AND(ISNUMBER($J$1391),$B$1132=1),$J$1391,HLOOKUP(INDIRECT(ADDRESS(2,COLUMN())),OFFSET($K$2,0,0,ROW()-1,5),ROW()-1,FALSE))</f>
        <v>9.5843001999999997E-2</v>
      </c>
      <c r="K273" t="str">
        <f>""</f>
        <v/>
      </c>
      <c r="L273">
        <f>0.061669998</f>
        <v>6.1669997999999997E-2</v>
      </c>
      <c r="M273">
        <f>0.078681999</f>
        <v>7.8681999000000002E-2</v>
      </c>
      <c r="N273">
        <f>0.091960999</f>
        <v>9.1960999000000002E-2</v>
      </c>
      <c r="O273">
        <f>0.095843002</f>
        <v>9.5843001999999997E-2</v>
      </c>
    </row>
    <row r="274" spans="1:15" x14ac:dyDescent="0.25">
      <c r="A274" t="str">
        <f>"                    Grupo Nutresa SA"</f>
        <v xml:space="preserve">                    Grupo Nutresa SA</v>
      </c>
      <c r="B274" t="str">
        <f>"NUTRESA CB Equity"</f>
        <v>NUTRESA CB Equity</v>
      </c>
      <c r="C274" t="str">
        <f t="shared" si="30"/>
        <v>F0946</v>
      </c>
      <c r="D274" t="str">
        <f t="shared" si="31"/>
        <v>TOTAL_GHG_CO2_EMISSIONS</v>
      </c>
      <c r="E274" t="str">
        <f t="shared" si="32"/>
        <v>Dynamic</v>
      </c>
      <c r="F274" t="str">
        <f ca="1">IF(AND(ISNUMBER($F$1392),$B$1132=1),$F$1392,HLOOKUP(INDIRECT(ADDRESS(2,COLUMN())),OFFSET($K$2,0,0,ROW()-1,5),ROW()-1,FALSE))</f>
        <v/>
      </c>
      <c r="G274">
        <f ca="1">IF(AND(ISNUMBER($G$1392),$B$1132=1),$G$1392,HLOOKUP(INDIRECT(ADDRESS(2,COLUMN())),OFFSET($K$2,0,0,ROW()-1,5),ROW()-1,FALSE))</f>
        <v>0.13706100500000001</v>
      </c>
      <c r="H274">
        <f ca="1">IF(AND(ISNUMBER($H$1392),$B$1132=1),$H$1392,HLOOKUP(INDIRECT(ADDRESS(2,COLUMN())),OFFSET($K$2,0,0,ROW()-1,5),ROW()-1,FALSE))</f>
        <v>0.13325399800000001</v>
      </c>
      <c r="I274">
        <f ca="1">IF(AND(ISNUMBER($I$1392),$B$1132=1),$I$1392,HLOOKUP(INDIRECT(ADDRESS(2,COLUMN())),OFFSET($K$2,0,0,ROW()-1,5),ROW()-1,FALSE))</f>
        <v>0.116013001</v>
      </c>
      <c r="J274">
        <f ca="1">IF(AND(ISNUMBER($J$1392),$B$1132=1),$J$1392,HLOOKUP(INDIRECT(ADDRESS(2,COLUMN())),OFFSET($K$2,0,0,ROW()-1,5),ROW()-1,FALSE))</f>
        <v>0.10855100299999999</v>
      </c>
      <c r="K274" t="str">
        <f>""</f>
        <v/>
      </c>
      <c r="L274">
        <f>0.137061005</f>
        <v>0.13706100500000001</v>
      </c>
      <c r="M274">
        <f>0.133253998</f>
        <v>0.13325399800000001</v>
      </c>
      <c r="N274">
        <f>0.116013001</f>
        <v>0.116013001</v>
      </c>
      <c r="O274">
        <f>0.108551003</f>
        <v>0.10855100299999999</v>
      </c>
    </row>
    <row r="275" spans="1:15" x14ac:dyDescent="0.25">
      <c r="A275" t="str">
        <f>"                    General Mills Inc"</f>
        <v xml:space="preserve">                    General Mills Inc</v>
      </c>
      <c r="B275" t="str">
        <f>"GIS US Equity"</f>
        <v>GIS US Equity</v>
      </c>
      <c r="C275" t="str">
        <f t="shared" si="30"/>
        <v>F0946</v>
      </c>
      <c r="D275" t="str">
        <f t="shared" si="31"/>
        <v>TOTAL_GHG_CO2_EMISSIONS</v>
      </c>
      <c r="E275" t="str">
        <f t="shared" si="32"/>
        <v>Dynamic</v>
      </c>
      <c r="F275" t="str">
        <f ca="1">IF(AND(ISNUMBER($F$1393),$B$1132=1),$F$1393,HLOOKUP(INDIRECT(ADDRESS(2,COLUMN())),OFFSET($K$2,0,0,ROW()-1,5),ROW()-1,FALSE))</f>
        <v/>
      </c>
      <c r="G275" t="str">
        <f ca="1">IF(AND(ISNUMBER($G$1393),$B$1132=1),$G$1393,HLOOKUP(INDIRECT(ADDRESS(2,COLUMN())),OFFSET($K$2,0,0,ROW()-1,5),ROW()-1,FALSE))</f>
        <v/>
      </c>
      <c r="H275">
        <f ca="1">IF(AND(ISNUMBER($H$1393),$B$1132=1),$H$1393,HLOOKUP(INDIRECT(ADDRESS(2,COLUMN())),OFFSET($K$2,0,0,ROW()-1,5),ROW()-1,FALSE))</f>
        <v>0.94352099599999995</v>
      </c>
      <c r="I275">
        <f ca="1">IF(AND(ISNUMBER($I$1393),$B$1132=1),$I$1393,HLOOKUP(INDIRECT(ADDRESS(2,COLUMN())),OFFSET($K$2,0,0,ROW()-1,5),ROW()-1,FALSE))</f>
        <v>0.94492498800000002</v>
      </c>
      <c r="J275">
        <f ca="1">IF(AND(ISNUMBER($J$1393),$B$1132=1),$J$1393,HLOOKUP(INDIRECT(ADDRESS(2,COLUMN())),OFFSET($K$2,0,0,ROW()-1,5),ROW()-1,FALSE))</f>
        <v>0.89238598599999996</v>
      </c>
      <c r="K275" t="str">
        <f>""</f>
        <v/>
      </c>
      <c r="L275" t="str">
        <f>""</f>
        <v/>
      </c>
      <c r="M275">
        <f>0.943520996</f>
        <v>0.94352099599999995</v>
      </c>
      <c r="N275">
        <f>0.944924988</f>
        <v>0.94492498800000002</v>
      </c>
      <c r="O275">
        <f>0.892385986</f>
        <v>0.89238598599999996</v>
      </c>
    </row>
    <row r="276" spans="1:15" x14ac:dyDescent="0.25">
      <c r="A276" t="str">
        <f>"                    Henan Shuanghui Investment &amp; D"</f>
        <v xml:space="preserve">                    Henan Shuanghui Investment &amp; D</v>
      </c>
      <c r="B276" t="str">
        <f>"000895 CH Equity"</f>
        <v>000895 CH Equity</v>
      </c>
      <c r="C276" t="str">
        <f t="shared" si="30"/>
        <v>F0946</v>
      </c>
      <c r="D276" t="str">
        <f t="shared" si="31"/>
        <v>TOTAL_GHG_CO2_EMISSIONS</v>
      </c>
      <c r="E276" t="str">
        <f t="shared" si="32"/>
        <v>Dynamic</v>
      </c>
      <c r="F276" t="str">
        <f ca="1">IF(AND(ISNUMBER($F$1394),$B$1132=1),$F$1394,HLOOKUP(INDIRECT(ADDRESS(2,COLUMN())),OFFSET($K$2,0,0,ROW()-1,5),ROW()-1,FALSE))</f>
        <v/>
      </c>
      <c r="G276">
        <f ca="1">IF(AND(ISNUMBER($G$1394),$B$1132=1),$G$1394,HLOOKUP(INDIRECT(ADDRESS(2,COLUMN())),OFFSET($K$2,0,0,ROW()-1,5),ROW()-1,FALSE))</f>
        <v>1.1480799559999999</v>
      </c>
      <c r="H276">
        <f ca="1">IF(AND(ISNUMBER($H$1394),$B$1132=1),$H$1394,HLOOKUP(INDIRECT(ADDRESS(2,COLUMN())),OFFSET($K$2,0,0,ROW()-1,5),ROW()-1,FALSE))</f>
        <v>1.0375899660000001</v>
      </c>
      <c r="I276">
        <f ca="1">IF(AND(ISNUMBER($I$1394),$B$1132=1),$I$1394,HLOOKUP(INDIRECT(ADDRESS(2,COLUMN())),OFFSET($K$2,0,0,ROW()-1,5),ROW()-1,FALSE))</f>
        <v>1.091390015</v>
      </c>
      <c r="J276">
        <f ca="1">IF(AND(ISNUMBER($J$1394),$B$1132=1),$J$1394,HLOOKUP(INDIRECT(ADDRESS(2,COLUMN())),OFFSET($K$2,0,0,ROW()-1,5),ROW()-1,FALSE))</f>
        <v>1.059819946</v>
      </c>
      <c r="K276" t="str">
        <f>""</f>
        <v/>
      </c>
      <c r="L276">
        <f>1.148079956</f>
        <v>1.1480799559999999</v>
      </c>
      <c r="M276">
        <f>1.037589966</f>
        <v>1.0375899660000001</v>
      </c>
      <c r="N276">
        <f>1.091390015</f>
        <v>1.091390015</v>
      </c>
      <c r="O276">
        <f>1.059819946</f>
        <v>1.059819946</v>
      </c>
    </row>
    <row r="277" spans="1:15" x14ac:dyDescent="0.25">
      <c r="A277" t="str">
        <f>"                    HKScan Oyj"</f>
        <v xml:space="preserve">                    HKScan Oyj</v>
      </c>
      <c r="B277" t="str">
        <f>"HKSAV FH Equity"</f>
        <v>HKSAV FH Equity</v>
      </c>
      <c r="C277" t="str">
        <f t="shared" si="30"/>
        <v>F0946</v>
      </c>
      <c r="D277" t="str">
        <f t="shared" si="31"/>
        <v>TOTAL_GHG_CO2_EMISSIONS</v>
      </c>
      <c r="E277" t="str">
        <f t="shared" si="32"/>
        <v>Dynamic</v>
      </c>
      <c r="F277" t="str">
        <f ca="1">IF(AND(ISNUMBER($F$1395),$B$1132=1),$F$1395,HLOOKUP(INDIRECT(ADDRESS(2,COLUMN())),OFFSET($K$2,0,0,ROW()-1,5),ROW()-1,FALSE))</f>
        <v/>
      </c>
      <c r="G277">
        <f ca="1">IF(AND(ISNUMBER($G$1395),$B$1132=1),$G$1395,HLOOKUP(INDIRECT(ADDRESS(2,COLUMN())),OFFSET($K$2,0,0,ROW()-1,5),ROW()-1,FALSE))</f>
        <v>0.108332001</v>
      </c>
      <c r="H277">
        <f ca="1">IF(AND(ISNUMBER($H$1395),$B$1132=1),$H$1395,HLOOKUP(INDIRECT(ADDRESS(2,COLUMN())),OFFSET($K$2,0,0,ROW()-1,5),ROW()-1,FALSE))</f>
        <v>5.1999999999999998E-2</v>
      </c>
      <c r="I277">
        <f ca="1">IF(AND(ISNUMBER($I$1395),$B$1132=1),$I$1395,HLOOKUP(INDIRECT(ADDRESS(2,COLUMN())),OFFSET($K$2,0,0,ROW()-1,5),ROW()-1,FALSE))</f>
        <v>0.114</v>
      </c>
      <c r="J277">
        <f ca="1">IF(AND(ISNUMBER($J$1395),$B$1132=1),$J$1395,HLOOKUP(INDIRECT(ADDRESS(2,COLUMN())),OFFSET($K$2,0,0,ROW()-1,5),ROW()-1,FALSE))</f>
        <v>0.121</v>
      </c>
      <c r="K277" t="str">
        <f>""</f>
        <v/>
      </c>
      <c r="L277">
        <f>0.108332001</f>
        <v>0.108332001</v>
      </c>
      <c r="M277">
        <f>0.052</f>
        <v>5.1999999999999998E-2</v>
      </c>
      <c r="N277">
        <f>0.114</f>
        <v>0.114</v>
      </c>
      <c r="O277">
        <f>0.121</f>
        <v>0.121</v>
      </c>
    </row>
    <row r="278" spans="1:15" x14ac:dyDescent="0.25">
      <c r="A278" t="str">
        <f>"                    House Foods Group Inc"</f>
        <v xml:space="preserve">                    House Foods Group Inc</v>
      </c>
      <c r="B278" t="str">
        <f>"2810 JP Equity"</f>
        <v>2810 JP Equity</v>
      </c>
      <c r="C278" t="str">
        <f t="shared" si="30"/>
        <v>F0946</v>
      </c>
      <c r="D278" t="str">
        <f t="shared" si="31"/>
        <v>TOTAL_GHG_CO2_EMISSIONS</v>
      </c>
      <c r="E278" t="str">
        <f t="shared" si="32"/>
        <v>Dynamic</v>
      </c>
      <c r="F278" t="str">
        <f ca="1">IF(AND(ISNUMBER($F$1396),$B$1132=1),$F$1396,HLOOKUP(INDIRECT(ADDRESS(2,COLUMN())),OFFSET($K$2,0,0,ROW()-1,5),ROW()-1,FALSE))</f>
        <v/>
      </c>
      <c r="G278">
        <f ca="1">IF(AND(ISNUMBER($G$1396),$B$1132=1),$G$1396,HLOOKUP(INDIRECT(ADDRESS(2,COLUMN())),OFFSET($K$2,0,0,ROW()-1,5),ROW()-1,FALSE))</f>
        <v>0.117065002</v>
      </c>
      <c r="H278">
        <f ca="1">IF(AND(ISNUMBER($H$1396),$B$1132=1),$H$1396,HLOOKUP(INDIRECT(ADDRESS(2,COLUMN())),OFFSET($K$2,0,0,ROW()-1,5),ROW()-1,FALSE))</f>
        <v>0.120204002</v>
      </c>
      <c r="I278">
        <f ca="1">IF(AND(ISNUMBER($I$1396),$B$1132=1),$I$1396,HLOOKUP(INDIRECT(ADDRESS(2,COLUMN())),OFFSET($K$2,0,0,ROW()-1,5),ROW()-1,FALSE))</f>
        <v>6.4606002999999995E-2</v>
      </c>
      <c r="J278">
        <f ca="1">IF(AND(ISNUMBER($J$1396),$B$1132=1),$J$1396,HLOOKUP(INDIRECT(ADDRESS(2,COLUMN())),OFFSET($K$2,0,0,ROW()-1,5),ROW()-1,FALSE))</f>
        <v>6.7271003999999995E-2</v>
      </c>
      <c r="K278" t="str">
        <f>""</f>
        <v/>
      </c>
      <c r="L278">
        <f>0.117065002</f>
        <v>0.117065002</v>
      </c>
      <c r="M278">
        <f>0.120204002</f>
        <v>0.120204002</v>
      </c>
      <c r="N278">
        <f>0.064606003</f>
        <v>6.4606002999999995E-2</v>
      </c>
      <c r="O278">
        <f>0.067271004</f>
        <v>6.7271003999999995E-2</v>
      </c>
    </row>
    <row r="279" spans="1:15" x14ac:dyDescent="0.25">
      <c r="A279" t="str">
        <f>"                    Hershey Co/The"</f>
        <v xml:space="preserve">                    Hershey Co/The</v>
      </c>
      <c r="B279" t="str">
        <f>"HSY US Equity"</f>
        <v>HSY US Equity</v>
      </c>
      <c r="C279" t="str">
        <f t="shared" si="30"/>
        <v>F0946</v>
      </c>
      <c r="D279" t="str">
        <f t="shared" si="31"/>
        <v>TOTAL_GHG_CO2_EMISSIONS</v>
      </c>
      <c r="E279" t="str">
        <f t="shared" si="32"/>
        <v>Dynamic</v>
      </c>
      <c r="F279">
        <f ca="1">IF(AND(ISNUMBER($F$1397),$B$1132=1),$F$1397,HLOOKUP(INDIRECT(ADDRESS(2,COLUMN())),OFFSET($K$2,0,0,ROW()-1,5),ROW()-1,FALSE))</f>
        <v>0.41179000900000001</v>
      </c>
      <c r="G279">
        <f ca="1">IF(AND(ISNUMBER($G$1397),$B$1132=1),$G$1397,HLOOKUP(INDIRECT(ADDRESS(2,COLUMN())),OFFSET($K$2,0,0,ROW()-1,5),ROW()-1,FALSE))</f>
        <v>0.347855988</v>
      </c>
      <c r="H279">
        <f ca="1">IF(AND(ISNUMBER($H$1397),$B$1132=1),$H$1397,HLOOKUP(INDIRECT(ADDRESS(2,COLUMN())),OFFSET($K$2,0,0,ROW()-1,5),ROW()-1,FALSE))</f>
        <v>0.358735992</v>
      </c>
      <c r="I279">
        <f ca="1">IF(AND(ISNUMBER($I$1397),$B$1132=1),$I$1397,HLOOKUP(INDIRECT(ADDRESS(2,COLUMN())),OFFSET($K$2,0,0,ROW()-1,5),ROW()-1,FALSE))</f>
        <v>0.33728100599999999</v>
      </c>
      <c r="J279">
        <f ca="1">IF(AND(ISNUMBER($J$1397),$B$1132=1),$J$1397,HLOOKUP(INDIRECT(ADDRESS(2,COLUMN())),OFFSET($K$2,0,0,ROW()-1,5),ROW()-1,FALSE))</f>
        <v>0.35198300199999999</v>
      </c>
      <c r="K279">
        <f>0.411790009</f>
        <v>0.41179000900000001</v>
      </c>
      <c r="L279">
        <f>0.347855988</f>
        <v>0.347855988</v>
      </c>
      <c r="M279">
        <f>0.358735992</f>
        <v>0.358735992</v>
      </c>
      <c r="N279">
        <f>0.337281006</f>
        <v>0.33728100599999999</v>
      </c>
      <c r="O279">
        <f>0.351983002</f>
        <v>0.35198300199999999</v>
      </c>
    </row>
    <row r="280" spans="1:15" x14ac:dyDescent="0.25">
      <c r="A280" t="str">
        <f>"                    Hormel Foods Corp"</f>
        <v xml:space="preserve">                    Hormel Foods Corp</v>
      </c>
      <c r="B280" t="str">
        <f>"HRL US Equity"</f>
        <v>HRL US Equity</v>
      </c>
      <c r="C280" t="str">
        <f t="shared" si="30"/>
        <v>F0946</v>
      </c>
      <c r="D280" t="str">
        <f t="shared" si="31"/>
        <v>TOTAL_GHG_CO2_EMISSIONS</v>
      </c>
      <c r="E280" t="str">
        <f t="shared" si="32"/>
        <v>Dynamic</v>
      </c>
      <c r="F280" t="str">
        <f ca="1">IF(AND(ISNUMBER($F$1398),$B$1132=1),$F$1398,HLOOKUP(INDIRECT(ADDRESS(2,COLUMN())),OFFSET($K$2,0,0,ROW()-1,5),ROW()-1,FALSE))</f>
        <v/>
      </c>
      <c r="G280">
        <f ca="1">IF(AND(ISNUMBER($G$1398),$B$1132=1),$G$1398,HLOOKUP(INDIRECT(ADDRESS(2,COLUMN())),OFFSET($K$2,0,0,ROW()-1,5),ROW()-1,FALSE))</f>
        <v>0.90004797400000003</v>
      </c>
      <c r="H280">
        <f ca="1">IF(AND(ISNUMBER($H$1398),$B$1132=1),$H$1398,HLOOKUP(INDIRECT(ADDRESS(2,COLUMN())),OFFSET($K$2,0,0,ROW()-1,5),ROW()-1,FALSE))</f>
        <v>1.469040039</v>
      </c>
      <c r="I280">
        <f ca="1">IF(AND(ISNUMBER($I$1398),$B$1132=1),$I$1398,HLOOKUP(INDIRECT(ADDRESS(2,COLUMN())),OFFSET($K$2,0,0,ROW()-1,5),ROW()-1,FALSE))</f>
        <v>0.76300000000000001</v>
      </c>
      <c r="J280">
        <f ca="1">IF(AND(ISNUMBER($J$1398),$B$1132=1),$J$1398,HLOOKUP(INDIRECT(ADDRESS(2,COLUMN())),OFFSET($K$2,0,0,ROW()-1,5),ROW()-1,FALSE))</f>
        <v>0.69399999999999995</v>
      </c>
      <c r="K280" t="str">
        <f>""</f>
        <v/>
      </c>
      <c r="L280">
        <f>0.900047974</f>
        <v>0.90004797400000003</v>
      </c>
      <c r="M280">
        <f>1.469040039</f>
        <v>1.469040039</v>
      </c>
      <c r="N280">
        <f>0.763</f>
        <v>0.76300000000000001</v>
      </c>
      <c r="O280">
        <f>0.694</f>
        <v>0.69399999999999995</v>
      </c>
    </row>
    <row r="281" spans="1:15" x14ac:dyDescent="0.25">
      <c r="A281" t="str">
        <f>"                    Hostess Brands Inc"</f>
        <v xml:space="preserve">                    Hostess Brands Inc</v>
      </c>
      <c r="B281" t="str">
        <f>"TWNK US Equity"</f>
        <v>TWNK US Equity</v>
      </c>
      <c r="C281" t="str">
        <f t="shared" si="30"/>
        <v>F0946</v>
      </c>
      <c r="D281" t="str">
        <f t="shared" si="31"/>
        <v>TOTAL_GHG_CO2_EMISSIONS</v>
      </c>
      <c r="E281" t="str">
        <f t="shared" si="32"/>
        <v>Dynamic</v>
      </c>
      <c r="F281" t="str">
        <f ca="1">IF(AND(ISNUMBER($F$1399),$B$1132=1),$F$1399,HLOOKUP(INDIRECT(ADDRESS(2,COLUMN())),OFFSET($K$2,0,0,ROW()-1,5),ROW()-1,FALSE))</f>
        <v/>
      </c>
      <c r="G281">
        <f ca="1">IF(AND(ISNUMBER($G$1399),$B$1132=1),$G$1399,HLOOKUP(INDIRECT(ADDRESS(2,COLUMN())),OFFSET($K$2,0,0,ROW()-1,5),ROW()-1,FALSE))</f>
        <v>6.3168999000000003E-2</v>
      </c>
      <c r="H281">
        <f ca="1">IF(AND(ISNUMBER($H$1399),$B$1132=1),$H$1399,HLOOKUP(INDIRECT(ADDRESS(2,COLUMN())),OFFSET($K$2,0,0,ROW()-1,5),ROW()-1,FALSE))</f>
        <v>6.1530998000000003E-2</v>
      </c>
      <c r="I281">
        <f ca="1">IF(AND(ISNUMBER($I$1399),$B$1132=1),$I$1399,HLOOKUP(INDIRECT(ADDRESS(2,COLUMN())),OFFSET($K$2,0,0,ROW()-1,5),ROW()-1,FALSE))</f>
        <v>6.3438998999999996E-2</v>
      </c>
      <c r="J281" t="str">
        <f ca="1">IF(AND(ISNUMBER($J$1399),$B$1132=1),$J$1399,HLOOKUP(INDIRECT(ADDRESS(2,COLUMN())),OFFSET($K$2,0,0,ROW()-1,5),ROW()-1,FALSE))</f>
        <v/>
      </c>
      <c r="K281" t="str">
        <f>""</f>
        <v/>
      </c>
      <c r="L281">
        <f>0.063168999</f>
        <v>6.3168999000000003E-2</v>
      </c>
      <c r="M281">
        <f>0.061530998</f>
        <v>6.1530998000000003E-2</v>
      </c>
      <c r="N281">
        <f>0.063438999</f>
        <v>6.3438998999999996E-2</v>
      </c>
      <c r="O281" t="str">
        <f>""</f>
        <v/>
      </c>
    </row>
    <row r="282" spans="1:15" x14ac:dyDescent="0.25">
      <c r="A282" t="str">
        <f>"                    Indofood Sukses Makmur Tbk PT"</f>
        <v xml:space="preserve">                    Indofood Sukses Makmur Tbk PT</v>
      </c>
      <c r="B282" t="str">
        <f>"INDF IJ Equity"</f>
        <v>INDF IJ Equity</v>
      </c>
      <c r="C282" t="str">
        <f t="shared" si="30"/>
        <v>F0946</v>
      </c>
      <c r="D282" t="str">
        <f t="shared" si="31"/>
        <v>TOTAL_GHG_CO2_EMISSIONS</v>
      </c>
      <c r="E282" t="str">
        <f t="shared" si="32"/>
        <v>Dynamic</v>
      </c>
      <c r="F282" t="str">
        <f ca="1">IF(AND(ISNUMBER($F$1400),$B$1132=1),$F$1400,HLOOKUP(INDIRECT(ADDRESS(2,COLUMN())),OFFSET($K$2,0,0,ROW()-1,5),ROW()-1,FALSE))</f>
        <v/>
      </c>
      <c r="G282">
        <f ca="1">IF(AND(ISNUMBER($G$1400),$B$1132=1),$G$1400,HLOOKUP(INDIRECT(ADDRESS(2,COLUMN())),OFFSET($K$2,0,0,ROW()-1,5),ROW()-1,FALSE))</f>
        <v>1.88</v>
      </c>
      <c r="H282" t="str">
        <f ca="1">IF(AND(ISNUMBER($H$1400),$B$1132=1),$H$1400,HLOOKUP(INDIRECT(ADDRESS(2,COLUMN())),OFFSET($K$2,0,0,ROW()-1,5),ROW()-1,FALSE))</f>
        <v/>
      </c>
      <c r="I282" t="str">
        <f ca="1">IF(AND(ISNUMBER($I$1400),$B$1132=1),$I$1400,HLOOKUP(INDIRECT(ADDRESS(2,COLUMN())),OFFSET($K$2,0,0,ROW()-1,5),ROW()-1,FALSE))</f>
        <v/>
      </c>
      <c r="J282" t="str">
        <f ca="1">IF(AND(ISNUMBER($J$1400),$B$1132=1),$J$1400,HLOOKUP(INDIRECT(ADDRESS(2,COLUMN())),OFFSET($K$2,0,0,ROW()-1,5),ROW()-1,FALSE))</f>
        <v/>
      </c>
      <c r="K282" t="str">
        <f>""</f>
        <v/>
      </c>
      <c r="L282">
        <f>1.88</f>
        <v>1.88</v>
      </c>
      <c r="M282" t="str">
        <f>""</f>
        <v/>
      </c>
      <c r="N282" t="str">
        <f>""</f>
        <v/>
      </c>
      <c r="O282" t="str">
        <f>""</f>
        <v/>
      </c>
    </row>
    <row r="283" spans="1:15" x14ac:dyDescent="0.25">
      <c r="A283" t="str">
        <f>"                    Industrias Bachoco SAB de CV"</f>
        <v xml:space="preserve">                    Industrias Bachoco SAB de CV</v>
      </c>
      <c r="B283" t="str">
        <f>"BACHOCOB MM Equity"</f>
        <v>BACHOCOB MM Equity</v>
      </c>
      <c r="C283" t="str">
        <f t="shared" si="30"/>
        <v>F0946</v>
      </c>
      <c r="D283" t="str">
        <f t="shared" si="31"/>
        <v>TOTAL_GHG_CO2_EMISSIONS</v>
      </c>
      <c r="E283" t="str">
        <f t="shared" si="32"/>
        <v>Dynamic</v>
      </c>
      <c r="F283">
        <f ca="1">IF(AND(ISNUMBER($F$1401),$B$1132=1),$F$1401,HLOOKUP(INDIRECT(ADDRESS(2,COLUMN())),OFFSET($K$2,0,0,ROW()-1,5),ROW()-1,FALSE))</f>
        <v>0.53290002400000003</v>
      </c>
      <c r="G283">
        <f ca="1">IF(AND(ISNUMBER($G$1401),$B$1132=1),$G$1401,HLOOKUP(INDIRECT(ADDRESS(2,COLUMN())),OFFSET($K$2,0,0,ROW()-1,5),ROW()-1,FALSE))</f>
        <v>0.44419699099999999</v>
      </c>
      <c r="H283" t="str">
        <f ca="1">IF(AND(ISNUMBER($H$1401),$B$1132=1),$H$1401,HLOOKUP(INDIRECT(ADDRESS(2,COLUMN())),OFFSET($K$2,0,0,ROW()-1,5),ROW()-1,FALSE))</f>
        <v/>
      </c>
      <c r="I283" t="str">
        <f ca="1">IF(AND(ISNUMBER($I$1401),$B$1132=1),$I$1401,HLOOKUP(INDIRECT(ADDRESS(2,COLUMN())),OFFSET($K$2,0,0,ROW()-1,5),ROW()-1,FALSE))</f>
        <v/>
      </c>
      <c r="J283" t="str">
        <f ca="1">IF(AND(ISNUMBER($J$1401),$B$1132=1),$J$1401,HLOOKUP(INDIRECT(ADDRESS(2,COLUMN())),OFFSET($K$2,0,0,ROW()-1,5),ROW()-1,FALSE))</f>
        <v/>
      </c>
      <c r="K283">
        <f>0.532900024</f>
        <v>0.53290002400000003</v>
      </c>
      <c r="L283">
        <f>0.444196991</f>
        <v>0.44419699099999999</v>
      </c>
      <c r="M283" t="str">
        <f>""</f>
        <v/>
      </c>
      <c r="N283" t="str">
        <f>""</f>
        <v/>
      </c>
      <c r="O283" t="str">
        <f>""</f>
        <v/>
      </c>
    </row>
    <row r="284" spans="1:15" x14ac:dyDescent="0.25">
      <c r="A284" t="str">
        <f>"                    Inner Mongolia Yili Industrial"</f>
        <v xml:space="preserve">                    Inner Mongolia Yili Industrial</v>
      </c>
      <c r="B284" t="str">
        <f>"600887 CH Equity"</f>
        <v>600887 CH Equity</v>
      </c>
      <c r="C284" t="str">
        <f t="shared" si="30"/>
        <v>F0946</v>
      </c>
      <c r="D284" t="str">
        <f t="shared" si="31"/>
        <v>TOTAL_GHG_CO2_EMISSIONS</v>
      </c>
      <c r="E284" t="str">
        <f t="shared" si="32"/>
        <v>Dynamic</v>
      </c>
      <c r="F284">
        <f ca="1">IF(AND(ISNUMBER($F$1402),$B$1132=1),$F$1402,HLOOKUP(INDIRECT(ADDRESS(2,COLUMN())),OFFSET($K$2,0,0,ROW()-1,5),ROW()-1,FALSE))</f>
        <v>1.79</v>
      </c>
      <c r="G284">
        <f ca="1">IF(AND(ISNUMBER($G$1402),$B$1132=1),$G$1402,HLOOKUP(INDIRECT(ADDRESS(2,COLUMN())),OFFSET($K$2,0,0,ROW()-1,5),ROW()-1,FALSE))</f>
        <v>1.88</v>
      </c>
      <c r="H284">
        <f ca="1">IF(AND(ISNUMBER($H$1402),$B$1132=1),$H$1402,HLOOKUP(INDIRECT(ADDRESS(2,COLUMN())),OFFSET($K$2,0,0,ROW()-1,5),ROW()-1,FALSE))</f>
        <v>2.0099999999999998</v>
      </c>
      <c r="I284">
        <f ca="1">IF(AND(ISNUMBER($I$1402),$B$1132=1),$I$1402,HLOOKUP(INDIRECT(ADDRESS(2,COLUMN())),OFFSET($K$2,0,0,ROW()-1,5),ROW()-1,FALSE))</f>
        <v>1.9016999510000001</v>
      </c>
      <c r="J284">
        <f ca="1">IF(AND(ISNUMBER($J$1402),$B$1132=1),$J$1402,HLOOKUP(INDIRECT(ADDRESS(2,COLUMN())),OFFSET($K$2,0,0,ROW()-1,5),ROW()-1,FALSE))</f>
        <v>1.997900024</v>
      </c>
      <c r="K284">
        <f>1.79</f>
        <v>1.79</v>
      </c>
      <c r="L284">
        <f>1.88</f>
        <v>1.88</v>
      </c>
      <c r="M284">
        <f>2.01</f>
        <v>2.0099999999999998</v>
      </c>
      <c r="N284">
        <f>1.901699951</f>
        <v>1.9016999510000001</v>
      </c>
      <c r="O284">
        <f>1.997900024</f>
        <v>1.997900024</v>
      </c>
    </row>
    <row r="285" spans="1:15" x14ac:dyDescent="0.25">
      <c r="A285" t="str">
        <f>"                    J &amp; J Snack Foods Corp"</f>
        <v xml:space="preserve">                    J &amp; J Snack Foods Corp</v>
      </c>
      <c r="B285" t="str">
        <f>"JJSF US Equity"</f>
        <v>JJSF US Equity</v>
      </c>
      <c r="C285" t="str">
        <f t="shared" si="30"/>
        <v>F0946</v>
      </c>
      <c r="D285" t="str">
        <f t="shared" si="31"/>
        <v>TOTAL_GHG_CO2_EMISSIONS</v>
      </c>
      <c r="E285" t="str">
        <f t="shared" si="32"/>
        <v>Dynamic</v>
      </c>
      <c r="F285" t="str">
        <f ca="1">IF(AND(ISNUMBER($F$1403),$B$1132=1),$F$1403,HLOOKUP(INDIRECT(ADDRESS(2,COLUMN())),OFFSET($K$2,0,0,ROW()-1,5),ROW()-1,FALSE))</f>
        <v/>
      </c>
      <c r="G285" t="str">
        <f ca="1">IF(AND(ISNUMBER($G$1403),$B$1132=1),$G$1403,HLOOKUP(INDIRECT(ADDRESS(2,COLUMN())),OFFSET($K$2,0,0,ROW()-1,5),ROW()-1,FALSE))</f>
        <v/>
      </c>
      <c r="H285" t="str">
        <f ca="1">IF(AND(ISNUMBER($H$1403),$B$1132=1),$H$1403,HLOOKUP(INDIRECT(ADDRESS(2,COLUMN())),OFFSET($K$2,0,0,ROW()-1,5),ROW()-1,FALSE))</f>
        <v/>
      </c>
      <c r="I285" t="str">
        <f ca="1">IF(AND(ISNUMBER($I$1403),$B$1132=1),$I$1403,HLOOKUP(INDIRECT(ADDRESS(2,COLUMN())),OFFSET($K$2,0,0,ROW()-1,5),ROW()-1,FALSE))</f>
        <v/>
      </c>
      <c r="J285" t="str">
        <f ca="1">IF(AND(ISNUMBER($J$1403),$B$1132=1),$J$1403,HLOOKUP(INDIRECT(ADDRESS(2,COLUMN())),OFFSET($K$2,0,0,ROW()-1,5),ROW()-1,FALSE))</f>
        <v/>
      </c>
      <c r="K285" t="str">
        <f>""</f>
        <v/>
      </c>
      <c r="L285" t="str">
        <f>""</f>
        <v/>
      </c>
      <c r="M285" t="str">
        <f>""</f>
        <v/>
      </c>
      <c r="N285" t="str">
        <f>""</f>
        <v/>
      </c>
      <c r="O285" t="str">
        <f>""</f>
        <v/>
      </c>
    </row>
    <row r="286" spans="1:15" x14ac:dyDescent="0.25">
      <c r="A286" t="str">
        <f>"                    J M Smucker Co/The"</f>
        <v xml:space="preserve">                    J M Smucker Co/The</v>
      </c>
      <c r="B286" t="str">
        <f>"SJM US Equity"</f>
        <v>SJM US Equity</v>
      </c>
      <c r="C286" t="str">
        <f t="shared" si="30"/>
        <v>F0946</v>
      </c>
      <c r="D286" t="str">
        <f t="shared" si="31"/>
        <v>TOTAL_GHG_CO2_EMISSIONS</v>
      </c>
      <c r="E286" t="str">
        <f t="shared" si="32"/>
        <v>Dynamic</v>
      </c>
      <c r="F286" t="str">
        <f ca="1">IF(AND(ISNUMBER($F$1404),$B$1132=1),$F$1404,HLOOKUP(INDIRECT(ADDRESS(2,COLUMN())),OFFSET($K$2,0,0,ROW()-1,5),ROW()-1,FALSE))</f>
        <v/>
      </c>
      <c r="G286" t="str">
        <f ca="1">IF(AND(ISNUMBER($G$1404),$B$1132=1),$G$1404,HLOOKUP(INDIRECT(ADDRESS(2,COLUMN())),OFFSET($K$2,0,0,ROW()-1,5),ROW()-1,FALSE))</f>
        <v/>
      </c>
      <c r="H286">
        <f ca="1">IF(AND(ISNUMBER($H$1404),$B$1132=1),$H$1404,HLOOKUP(INDIRECT(ADDRESS(2,COLUMN())),OFFSET($K$2,0,0,ROW()-1,5),ROW()-1,FALSE))</f>
        <v>0.75060400400000005</v>
      </c>
      <c r="I286">
        <f ca="1">IF(AND(ISNUMBER($I$1404),$B$1132=1),$I$1404,HLOOKUP(INDIRECT(ADDRESS(2,COLUMN())),OFFSET($K$2,0,0,ROW()-1,5),ROW()-1,FALSE))</f>
        <v>0.43945800800000001</v>
      </c>
      <c r="J286">
        <f ca="1">IF(AND(ISNUMBER($J$1404),$B$1132=1),$J$1404,HLOOKUP(INDIRECT(ADDRESS(2,COLUMN())),OFFSET($K$2,0,0,ROW()-1,5),ROW()-1,FALSE))</f>
        <v>0.45977999899999999</v>
      </c>
      <c r="K286" t="str">
        <f>""</f>
        <v/>
      </c>
      <c r="L286" t="str">
        <f>""</f>
        <v/>
      </c>
      <c r="M286">
        <f>0.750604004</f>
        <v>0.75060400400000005</v>
      </c>
      <c r="N286">
        <f>0.439458008</f>
        <v>0.43945800800000001</v>
      </c>
      <c r="O286">
        <f>0.459779999</f>
        <v>0.45977999899999999</v>
      </c>
    </row>
    <row r="287" spans="1:15" x14ac:dyDescent="0.25">
      <c r="A287" t="str">
        <f>"                    Juhayna Food Industries"</f>
        <v xml:space="preserve">                    Juhayna Food Industries</v>
      </c>
      <c r="B287" t="str">
        <f>"JUFO EY Equity"</f>
        <v>JUFO EY Equity</v>
      </c>
      <c r="C287" t="str">
        <f t="shared" si="30"/>
        <v>F0946</v>
      </c>
      <c r="D287" t="str">
        <f t="shared" si="31"/>
        <v>TOTAL_GHG_CO2_EMISSIONS</v>
      </c>
      <c r="E287" t="str">
        <f t="shared" si="32"/>
        <v>Dynamic</v>
      </c>
      <c r="F287" t="str">
        <f ca="1">IF(AND(ISNUMBER($F$1405),$B$1132=1),$F$1405,HLOOKUP(INDIRECT(ADDRESS(2,COLUMN())),OFFSET($K$2,0,0,ROW()-1,5),ROW()-1,FALSE))</f>
        <v/>
      </c>
      <c r="G287">
        <f ca="1">IF(AND(ISNUMBER($G$1405),$B$1132=1),$G$1405,HLOOKUP(INDIRECT(ADDRESS(2,COLUMN())),OFFSET($K$2,0,0,ROW()-1,5),ROW()-1,FALSE))</f>
        <v>8.7306998999999996E-2</v>
      </c>
      <c r="H287" t="str">
        <f ca="1">IF(AND(ISNUMBER($H$1405),$B$1132=1),$H$1405,HLOOKUP(INDIRECT(ADDRESS(2,COLUMN())),OFFSET($K$2,0,0,ROW()-1,5),ROW()-1,FALSE))</f>
        <v/>
      </c>
      <c r="I287">
        <f ca="1">IF(AND(ISNUMBER($I$1405),$B$1132=1),$I$1405,HLOOKUP(INDIRECT(ADDRESS(2,COLUMN())),OFFSET($K$2,0,0,ROW()-1,5),ROW()-1,FALSE))</f>
        <v>9.3973899999999999E-2</v>
      </c>
      <c r="J287" t="str">
        <f ca="1">IF(AND(ISNUMBER($J$1405),$B$1132=1),$J$1405,HLOOKUP(INDIRECT(ADDRESS(2,COLUMN())),OFFSET($K$2,0,0,ROW()-1,5),ROW()-1,FALSE))</f>
        <v/>
      </c>
      <c r="K287" t="str">
        <f>""</f>
        <v/>
      </c>
      <c r="L287">
        <f>0.087306999</f>
        <v>8.7306998999999996E-2</v>
      </c>
      <c r="M287" t="str">
        <f>""</f>
        <v/>
      </c>
      <c r="N287">
        <f>0.0939739</f>
        <v>9.3973899999999999E-2</v>
      </c>
      <c r="O287" t="str">
        <f>""</f>
        <v/>
      </c>
    </row>
    <row r="288" spans="1:15" x14ac:dyDescent="0.25">
      <c r="A288" t="str">
        <f>"                    JBS S/A"</f>
        <v xml:space="preserve">                    JBS S/A</v>
      </c>
      <c r="B288" t="str">
        <f>"JBSS3 BZ Equity"</f>
        <v>JBSS3 BZ Equity</v>
      </c>
      <c r="C288" t="str">
        <f t="shared" si="30"/>
        <v>F0946</v>
      </c>
      <c r="D288" t="str">
        <f t="shared" si="31"/>
        <v>TOTAL_GHG_CO2_EMISSIONS</v>
      </c>
      <c r="E288" t="str">
        <f t="shared" si="32"/>
        <v>Dynamic</v>
      </c>
      <c r="F288" t="str">
        <f ca="1">IF(AND(ISNUMBER($F$1406),$B$1132=1),$F$1406,HLOOKUP(INDIRECT(ADDRESS(2,COLUMN())),OFFSET($K$2,0,0,ROW()-1,5),ROW()-1,FALSE))</f>
        <v/>
      </c>
      <c r="G288">
        <f ca="1">IF(AND(ISNUMBER($G$1406),$B$1132=1),$G$1406,HLOOKUP(INDIRECT(ADDRESS(2,COLUMN())),OFFSET($K$2,0,0,ROW()-1,5),ROW()-1,FALSE))</f>
        <v>6.0748901369999997</v>
      </c>
      <c r="H288">
        <f ca="1">IF(AND(ISNUMBER($H$1406),$B$1132=1),$H$1406,HLOOKUP(INDIRECT(ADDRESS(2,COLUMN())),OFFSET($K$2,0,0,ROW()-1,5),ROW()-1,FALSE))</f>
        <v>6.2042998049999998</v>
      </c>
      <c r="I288">
        <f ca="1">IF(AND(ISNUMBER($I$1406),$B$1132=1),$I$1406,HLOOKUP(INDIRECT(ADDRESS(2,COLUMN())),OFFSET($K$2,0,0,ROW()-1,5),ROW()-1,FALSE))</f>
        <v>6.2091000980000004</v>
      </c>
      <c r="J288">
        <f ca="1">IF(AND(ISNUMBER($J$1406),$B$1132=1),$J$1406,HLOOKUP(INDIRECT(ADDRESS(2,COLUMN())),OFFSET($K$2,0,0,ROW()-1,5),ROW()-1,FALSE))</f>
        <v>5.900069824</v>
      </c>
      <c r="K288" t="str">
        <f>""</f>
        <v/>
      </c>
      <c r="L288">
        <f>6.074890137</f>
        <v>6.0748901369999997</v>
      </c>
      <c r="M288">
        <f>6.204299805</f>
        <v>6.2042998049999998</v>
      </c>
      <c r="N288">
        <f>6.209100098</f>
        <v>6.2091000980000004</v>
      </c>
      <c r="O288">
        <f>5.900069824</f>
        <v>5.900069824</v>
      </c>
    </row>
    <row r="289" spans="1:15" x14ac:dyDescent="0.25">
      <c r="A289" t="str">
        <f>"                    Kewpie Corp"</f>
        <v xml:space="preserve">                    Kewpie Corp</v>
      </c>
      <c r="B289" t="str">
        <f>"2809 JP Equity"</f>
        <v>2809 JP Equity</v>
      </c>
      <c r="C289" t="str">
        <f t="shared" si="30"/>
        <v>F0946</v>
      </c>
      <c r="D289" t="str">
        <f t="shared" si="31"/>
        <v>TOTAL_GHG_CO2_EMISSIONS</v>
      </c>
      <c r="E289" t="str">
        <f t="shared" si="32"/>
        <v>Dynamic</v>
      </c>
      <c r="F289" t="str">
        <f ca="1">IF(AND(ISNUMBER($F$1407),$B$1132=1),$F$1407,HLOOKUP(INDIRECT(ADDRESS(2,COLUMN())),OFFSET($K$2,0,0,ROW()-1,5),ROW()-1,FALSE))</f>
        <v/>
      </c>
      <c r="G289">
        <f ca="1">IF(AND(ISNUMBER($G$1407),$B$1132=1),$G$1407,HLOOKUP(INDIRECT(ADDRESS(2,COLUMN())),OFFSET($K$2,0,0,ROW()-1,5),ROW()-1,FALSE))</f>
        <v>0.19289999399999999</v>
      </c>
      <c r="H289">
        <f ca="1">IF(AND(ISNUMBER($H$1407),$B$1132=1),$H$1407,HLOOKUP(INDIRECT(ADDRESS(2,COLUMN())),OFFSET($K$2,0,0,ROW()-1,5),ROW()-1,FALSE))</f>
        <v>0.22910000599999999</v>
      </c>
      <c r="I289">
        <f ca="1">IF(AND(ISNUMBER($I$1407),$B$1132=1),$I$1407,HLOOKUP(INDIRECT(ADDRESS(2,COLUMN())),OFFSET($K$2,0,0,ROW()-1,5),ROW()-1,FALSE))</f>
        <v>0.22419999700000001</v>
      </c>
      <c r="J289">
        <f ca="1">IF(AND(ISNUMBER($J$1407),$B$1132=1),$J$1407,HLOOKUP(INDIRECT(ADDRESS(2,COLUMN())),OFFSET($K$2,0,0,ROW()-1,5),ROW()-1,FALSE))</f>
        <v>0.24530000299999999</v>
      </c>
      <c r="K289" t="str">
        <f>""</f>
        <v/>
      </c>
      <c r="L289">
        <f>0.192899994</f>
        <v>0.19289999399999999</v>
      </c>
      <c r="M289">
        <f>0.229100006</f>
        <v>0.22910000599999999</v>
      </c>
      <c r="N289">
        <f>0.224199997</f>
        <v>0.22419999700000001</v>
      </c>
      <c r="O289">
        <f>0.245300003</f>
        <v>0.24530000299999999</v>
      </c>
    </row>
    <row r="290" spans="1:15" x14ac:dyDescent="0.25">
      <c r="A290" t="str">
        <f>"                    Kikkoman Corp"</f>
        <v xml:space="preserve">                    Kikkoman Corp</v>
      </c>
      <c r="B290" t="str">
        <f>"2801 JP Equity"</f>
        <v>2801 JP Equity</v>
      </c>
      <c r="C290" t="str">
        <f t="shared" si="30"/>
        <v>F0946</v>
      </c>
      <c r="D290" t="str">
        <f t="shared" si="31"/>
        <v>TOTAL_GHG_CO2_EMISSIONS</v>
      </c>
      <c r="E290" t="str">
        <f t="shared" si="32"/>
        <v>Dynamic</v>
      </c>
      <c r="F290" t="str">
        <f ca="1">IF(AND(ISNUMBER($F$1408),$B$1132=1),$F$1408,HLOOKUP(INDIRECT(ADDRESS(2,COLUMN())),OFFSET($K$2,0,0,ROW()-1,5),ROW()-1,FALSE))</f>
        <v/>
      </c>
      <c r="G290">
        <f ca="1">IF(AND(ISNUMBER($G$1408),$B$1132=1),$G$1408,HLOOKUP(INDIRECT(ADDRESS(2,COLUMN())),OFFSET($K$2,0,0,ROW()-1,5),ROW()-1,FALSE))</f>
        <v>0.21110699499999999</v>
      </c>
      <c r="H290">
        <f ca="1">IF(AND(ISNUMBER($H$1408),$B$1132=1),$H$1408,HLOOKUP(INDIRECT(ADDRESS(2,COLUMN())),OFFSET($K$2,0,0,ROW()-1,5),ROW()-1,FALSE))</f>
        <v>0.203955994</v>
      </c>
      <c r="I290">
        <f ca="1">IF(AND(ISNUMBER($I$1408),$B$1132=1),$I$1408,HLOOKUP(INDIRECT(ADDRESS(2,COLUMN())),OFFSET($K$2,0,0,ROW()-1,5),ROW()-1,FALSE))</f>
        <v>0.17699999999999999</v>
      </c>
      <c r="J290">
        <f ca="1">IF(AND(ISNUMBER($J$1408),$B$1132=1),$J$1408,HLOOKUP(INDIRECT(ADDRESS(2,COLUMN())),OFFSET($K$2,0,0,ROW()-1,5),ROW()-1,FALSE))</f>
        <v>0.17399999999999999</v>
      </c>
      <c r="K290" t="str">
        <f>""</f>
        <v/>
      </c>
      <c r="L290">
        <f>0.211106995</f>
        <v>0.21110699499999999</v>
      </c>
      <c r="M290">
        <f>0.203955994</f>
        <v>0.203955994</v>
      </c>
      <c r="N290">
        <f>0.177</f>
        <v>0.17699999999999999</v>
      </c>
      <c r="O290">
        <f>0.174</f>
        <v>0.17399999999999999</v>
      </c>
    </row>
    <row r="291" spans="1:15" x14ac:dyDescent="0.25">
      <c r="A291" t="str">
        <f>"                    Kraft Heinz Co/The"</f>
        <v xml:space="preserve">                    Kraft Heinz Co/The</v>
      </c>
      <c r="B291" t="str">
        <f>"KHC US Equity"</f>
        <v>KHC US Equity</v>
      </c>
      <c r="C291" t="str">
        <f t="shared" si="30"/>
        <v>F0946</v>
      </c>
      <c r="D291" t="str">
        <f t="shared" si="31"/>
        <v>TOTAL_GHG_CO2_EMISSIONS</v>
      </c>
      <c r="E291" t="str">
        <f t="shared" si="32"/>
        <v>Dynamic</v>
      </c>
      <c r="F291" t="str">
        <f ca="1">IF(AND(ISNUMBER($F$1409),$B$1132=1),$F$1409,HLOOKUP(INDIRECT(ADDRESS(2,COLUMN())),OFFSET($K$2,0,0,ROW()-1,5),ROW()-1,FALSE))</f>
        <v/>
      </c>
      <c r="G291">
        <f ca="1">IF(AND(ISNUMBER($G$1409),$B$1132=1),$G$1409,HLOOKUP(INDIRECT(ADDRESS(2,COLUMN())),OFFSET($K$2,0,0,ROW()-1,5),ROW()-1,FALSE))</f>
        <v>1.231699951</v>
      </c>
      <c r="H291">
        <f ca="1">IF(AND(ISNUMBER($H$1409),$B$1132=1),$H$1409,HLOOKUP(INDIRECT(ADDRESS(2,COLUMN())),OFFSET($K$2,0,0,ROW()-1,5),ROW()-1,FALSE))</f>
        <v>1.290030029</v>
      </c>
      <c r="I291">
        <f ca="1">IF(AND(ISNUMBER($I$1409),$B$1132=1),$I$1409,HLOOKUP(INDIRECT(ADDRESS(2,COLUMN())),OFFSET($K$2,0,0,ROW()-1,5),ROW()-1,FALSE))</f>
        <v>1.422319946</v>
      </c>
      <c r="J291" t="str">
        <f ca="1">IF(AND(ISNUMBER($J$1409),$B$1132=1),$J$1409,HLOOKUP(INDIRECT(ADDRESS(2,COLUMN())),OFFSET($K$2,0,0,ROW()-1,5),ROW()-1,FALSE))</f>
        <v/>
      </c>
      <c r="K291" t="str">
        <f>""</f>
        <v/>
      </c>
      <c r="L291">
        <f>1.231699951</f>
        <v>1.231699951</v>
      </c>
      <c r="M291">
        <f>1.290030029</f>
        <v>1.290030029</v>
      </c>
      <c r="N291">
        <f>1.422319946</f>
        <v>1.422319946</v>
      </c>
      <c r="O291" t="str">
        <f>""</f>
        <v/>
      </c>
    </row>
    <row r="292" spans="1:15" x14ac:dyDescent="0.25">
      <c r="A292" t="str">
        <f>"                    Kellogg Co"</f>
        <v xml:space="preserve">                    Kellogg Co</v>
      </c>
      <c r="B292" t="str">
        <f>"K US Equity"</f>
        <v>K US Equity</v>
      </c>
      <c r="C292" t="str">
        <f t="shared" si="30"/>
        <v>F0946</v>
      </c>
      <c r="D292" t="str">
        <f t="shared" si="31"/>
        <v>TOTAL_GHG_CO2_EMISSIONS</v>
      </c>
      <c r="E292" t="str">
        <f t="shared" si="32"/>
        <v>Dynamic</v>
      </c>
      <c r="F292">
        <f ca="1">IF(AND(ISNUMBER($F$1410),$B$1132=1),$F$1410,HLOOKUP(INDIRECT(ADDRESS(2,COLUMN())),OFFSET($K$2,0,0,ROW()-1,5),ROW()-1,FALSE))</f>
        <v>1.0669999999999999</v>
      </c>
      <c r="G292">
        <f ca="1">IF(AND(ISNUMBER($G$1410),$B$1132=1),$G$1410,HLOOKUP(INDIRECT(ADDRESS(2,COLUMN())),OFFSET($K$2,0,0,ROW()-1,5),ROW()-1,FALSE))</f>
        <v>1.072599976</v>
      </c>
      <c r="H292">
        <f ca="1">IF(AND(ISNUMBER($H$1410),$B$1132=1),$H$1410,HLOOKUP(INDIRECT(ADDRESS(2,COLUMN())),OFFSET($K$2,0,0,ROW()-1,5),ROW()-1,FALSE))</f>
        <v>1.0530400390000001</v>
      </c>
      <c r="I292">
        <f ca="1">IF(AND(ISNUMBER($I$1410),$B$1132=1),$I$1410,HLOOKUP(INDIRECT(ADDRESS(2,COLUMN())),OFFSET($K$2,0,0,ROW()-1,5),ROW()-1,FALSE))</f>
        <v>1.004</v>
      </c>
      <c r="J292">
        <f ca="1">IF(AND(ISNUMBER($J$1410),$B$1132=1),$J$1410,HLOOKUP(INDIRECT(ADDRESS(2,COLUMN())),OFFSET($K$2,0,0,ROW()-1,5),ROW()-1,FALSE))</f>
        <v>1.008</v>
      </c>
      <c r="K292">
        <f>1.067</f>
        <v>1.0669999999999999</v>
      </c>
      <c r="L292">
        <f>1.072599976</f>
        <v>1.072599976</v>
      </c>
      <c r="M292">
        <f>1.053040039</f>
        <v>1.0530400390000001</v>
      </c>
      <c r="N292">
        <f>1.004</f>
        <v>1.004</v>
      </c>
      <c r="O292">
        <f>1.008</f>
        <v>1.008</v>
      </c>
    </row>
    <row r="293" spans="1:15" x14ac:dyDescent="0.25">
      <c r="A293" t="str">
        <f>"                    Societe LDC SA"</f>
        <v xml:space="preserve">                    Societe LDC SA</v>
      </c>
      <c r="B293" t="str">
        <f>"LOUP FP Equity"</f>
        <v>LOUP FP Equity</v>
      </c>
      <c r="C293" t="str">
        <f t="shared" si="30"/>
        <v>F0946</v>
      </c>
      <c r="D293" t="str">
        <f t="shared" si="31"/>
        <v>TOTAL_GHG_CO2_EMISSIONS</v>
      </c>
      <c r="E293" t="str">
        <f t="shared" si="32"/>
        <v>Dynamic</v>
      </c>
      <c r="F293" t="str">
        <f ca="1">IF(AND(ISNUMBER($F$1411),$B$1132=1),$F$1411,HLOOKUP(INDIRECT(ADDRESS(2,COLUMN())),OFFSET($K$2,0,0,ROW()-1,5),ROW()-1,FALSE))</f>
        <v/>
      </c>
      <c r="G293" t="str">
        <f ca="1">IF(AND(ISNUMBER($G$1411),$B$1132=1),$G$1411,HLOOKUP(INDIRECT(ADDRESS(2,COLUMN())),OFFSET($K$2,0,0,ROW()-1,5),ROW()-1,FALSE))</f>
        <v/>
      </c>
      <c r="H293">
        <f ca="1">IF(AND(ISNUMBER($H$1411),$B$1132=1),$H$1411,HLOOKUP(INDIRECT(ADDRESS(2,COLUMN())),OFFSET($K$2,0,0,ROW()-1,5),ROW()-1,FALSE))</f>
        <v>0.18</v>
      </c>
      <c r="I293" t="str">
        <f ca="1">IF(AND(ISNUMBER($I$1411),$B$1132=1),$I$1411,HLOOKUP(INDIRECT(ADDRESS(2,COLUMN())),OFFSET($K$2,0,0,ROW()-1,5),ROW()-1,FALSE))</f>
        <v/>
      </c>
      <c r="J293" t="str">
        <f ca="1">IF(AND(ISNUMBER($J$1411),$B$1132=1),$J$1411,HLOOKUP(INDIRECT(ADDRESS(2,COLUMN())),OFFSET($K$2,0,0,ROW()-1,5),ROW()-1,FALSE))</f>
        <v/>
      </c>
      <c r="K293" t="str">
        <f>""</f>
        <v/>
      </c>
      <c r="L293" t="str">
        <f>""</f>
        <v/>
      </c>
      <c r="M293">
        <f>0.18</f>
        <v>0.18</v>
      </c>
      <c r="N293" t="str">
        <f>""</f>
        <v/>
      </c>
      <c r="O293" t="str">
        <f>""</f>
        <v/>
      </c>
    </row>
    <row r="294" spans="1:15" x14ac:dyDescent="0.25">
      <c r="A294" t="str">
        <f>"                    Lotte Corp"</f>
        <v xml:space="preserve">                    Lotte Corp</v>
      </c>
      <c r="B294" t="str">
        <f>"004990 KS Equity"</f>
        <v>004990 KS Equity</v>
      </c>
      <c r="C294" t="str">
        <f t="shared" si="30"/>
        <v>F0946</v>
      </c>
      <c r="D294" t="str">
        <f t="shared" si="31"/>
        <v>TOTAL_GHG_CO2_EMISSIONS</v>
      </c>
      <c r="E294" t="str">
        <f t="shared" si="32"/>
        <v>Dynamic</v>
      </c>
      <c r="F294" t="str">
        <f ca="1">IF(AND(ISNUMBER($F$1412),$B$1132=1),$F$1412,HLOOKUP(INDIRECT(ADDRESS(2,COLUMN())),OFFSET($K$2,0,0,ROW()-1,5),ROW()-1,FALSE))</f>
        <v/>
      </c>
      <c r="G294" t="str">
        <f ca="1">IF(AND(ISNUMBER($G$1412),$B$1132=1),$G$1412,HLOOKUP(INDIRECT(ADDRESS(2,COLUMN())),OFFSET($K$2,0,0,ROW()-1,5),ROW()-1,FALSE))</f>
        <v/>
      </c>
      <c r="H294" t="str">
        <f ca="1">IF(AND(ISNUMBER($H$1412),$B$1132=1),$H$1412,HLOOKUP(INDIRECT(ADDRESS(2,COLUMN())),OFFSET($K$2,0,0,ROW()-1,5),ROW()-1,FALSE))</f>
        <v/>
      </c>
      <c r="I294" t="str">
        <f ca="1">IF(AND(ISNUMBER($I$1412),$B$1132=1),$I$1412,HLOOKUP(INDIRECT(ADDRESS(2,COLUMN())),OFFSET($K$2,0,0,ROW()-1,5),ROW()-1,FALSE))</f>
        <v/>
      </c>
      <c r="J294" t="str">
        <f ca="1">IF(AND(ISNUMBER($J$1412),$B$1132=1),$J$1412,HLOOKUP(INDIRECT(ADDRESS(2,COLUMN())),OFFSET($K$2,0,0,ROW()-1,5),ROW()-1,FALSE))</f>
        <v/>
      </c>
      <c r="K294" t="str">
        <f>""</f>
        <v/>
      </c>
      <c r="L294" t="str">
        <f>""</f>
        <v/>
      </c>
      <c r="M294" t="str">
        <f>""</f>
        <v/>
      </c>
      <c r="N294" t="str">
        <f>""</f>
        <v/>
      </c>
      <c r="O294" t="str">
        <f>""</f>
        <v/>
      </c>
    </row>
    <row r="295" spans="1:15" x14ac:dyDescent="0.25">
      <c r="A295" t="str">
        <f>"                    Lancaster Colony Corp"</f>
        <v xml:space="preserve">                    Lancaster Colony Corp</v>
      </c>
      <c r="B295" t="str">
        <f>"LANC US Equity"</f>
        <v>LANC US Equity</v>
      </c>
      <c r="C295" t="str">
        <f t="shared" si="30"/>
        <v>F0946</v>
      </c>
      <c r="D295" t="str">
        <f t="shared" si="31"/>
        <v>TOTAL_GHG_CO2_EMISSIONS</v>
      </c>
      <c r="E295" t="str">
        <f t="shared" si="32"/>
        <v>Dynamic</v>
      </c>
      <c r="F295" t="str">
        <f ca="1">IF(AND(ISNUMBER($F$1413),$B$1132=1),$F$1413,HLOOKUP(INDIRECT(ADDRESS(2,COLUMN())),OFFSET($K$2,0,0,ROW()-1,5),ROW()-1,FALSE))</f>
        <v/>
      </c>
      <c r="G295" t="str">
        <f ca="1">IF(AND(ISNUMBER($G$1413),$B$1132=1),$G$1413,HLOOKUP(INDIRECT(ADDRESS(2,COLUMN())),OFFSET($K$2,0,0,ROW()-1,5),ROW()-1,FALSE))</f>
        <v/>
      </c>
      <c r="H295" t="str">
        <f ca="1">IF(AND(ISNUMBER($H$1413),$B$1132=1),$H$1413,HLOOKUP(INDIRECT(ADDRESS(2,COLUMN())),OFFSET($K$2,0,0,ROW()-1,5),ROW()-1,FALSE))</f>
        <v/>
      </c>
      <c r="I295">
        <f ca="1">IF(AND(ISNUMBER($I$1413),$B$1132=1),$I$1413,HLOOKUP(INDIRECT(ADDRESS(2,COLUMN())),OFFSET($K$2,0,0,ROW()-1,5),ROW()-1,FALSE))</f>
        <v>8.2684997999999996E-2</v>
      </c>
      <c r="J295" t="str">
        <f ca="1">IF(AND(ISNUMBER($J$1413),$B$1132=1),$J$1413,HLOOKUP(INDIRECT(ADDRESS(2,COLUMN())),OFFSET($K$2,0,0,ROW()-1,5),ROW()-1,FALSE))</f>
        <v/>
      </c>
      <c r="K295" t="str">
        <f>""</f>
        <v/>
      </c>
      <c r="L295" t="str">
        <f>""</f>
        <v/>
      </c>
      <c r="M295" t="str">
        <f>""</f>
        <v/>
      </c>
      <c r="N295">
        <f>0.082684998</f>
        <v>8.2684997999999996E-2</v>
      </c>
      <c r="O295" t="str">
        <f>""</f>
        <v/>
      </c>
    </row>
    <row r="296" spans="1:15" x14ac:dyDescent="0.25">
      <c r="A296" t="str">
        <f>"                    Chocoladefabriken Lindt &amp; Spru"</f>
        <v xml:space="preserve">                    Chocoladefabriken Lindt &amp; Spru</v>
      </c>
      <c r="B296" t="str">
        <f>"LISN SW Equity"</f>
        <v>LISN SW Equity</v>
      </c>
      <c r="C296" t="str">
        <f t="shared" si="30"/>
        <v>F0946</v>
      </c>
      <c r="D296" t="str">
        <f t="shared" si="31"/>
        <v>TOTAL_GHG_CO2_EMISSIONS</v>
      </c>
      <c r="E296" t="str">
        <f t="shared" si="32"/>
        <v>Dynamic</v>
      </c>
      <c r="F296">
        <f ca="1">IF(AND(ISNUMBER($F$1414),$B$1132=1),$F$1414,HLOOKUP(INDIRECT(ADDRESS(2,COLUMN())),OFFSET($K$2,0,0,ROW()-1,5),ROW()-1,FALSE))</f>
        <v>7.9000000000000001E-2</v>
      </c>
      <c r="G296">
        <f ca="1">IF(AND(ISNUMBER($G$1414),$B$1132=1),$G$1414,HLOOKUP(INDIRECT(ADDRESS(2,COLUMN())),OFFSET($K$2,0,0,ROW()-1,5),ROW()-1,FALSE))</f>
        <v>0.08</v>
      </c>
      <c r="H296">
        <f ca="1">IF(AND(ISNUMBER($H$1414),$B$1132=1),$H$1414,HLOOKUP(INDIRECT(ADDRESS(2,COLUMN())),OFFSET($K$2,0,0,ROW()-1,5),ROW()-1,FALSE))</f>
        <v>0.10100000000000001</v>
      </c>
      <c r="I296">
        <f ca="1">IF(AND(ISNUMBER($I$1414),$B$1132=1),$I$1414,HLOOKUP(INDIRECT(ADDRESS(2,COLUMN())),OFFSET($K$2,0,0,ROW()-1,5),ROW()-1,FALSE))</f>
        <v>0.113</v>
      </c>
      <c r="J296">
        <f ca="1">IF(AND(ISNUMBER($J$1414),$B$1132=1),$J$1414,HLOOKUP(INDIRECT(ADDRESS(2,COLUMN())),OFFSET($K$2,0,0,ROW()-1,5),ROW()-1,FALSE))</f>
        <v>0.11799999999999999</v>
      </c>
      <c r="K296">
        <f>0.079</f>
        <v>7.9000000000000001E-2</v>
      </c>
      <c r="L296">
        <f>0.08</f>
        <v>0.08</v>
      </c>
      <c r="M296">
        <f>0.101</f>
        <v>0.10100000000000001</v>
      </c>
      <c r="N296">
        <f>0.113</f>
        <v>0.113</v>
      </c>
      <c r="O296">
        <f>0.118</f>
        <v>0.11799999999999999</v>
      </c>
    </row>
    <row r="297" spans="1:15" x14ac:dyDescent="0.25">
      <c r="A297" t="str">
        <f>"                    M Dias Branco SA"</f>
        <v xml:space="preserve">                    M Dias Branco SA</v>
      </c>
      <c r="B297" t="str">
        <f>"MDIA3 BZ Equity"</f>
        <v>MDIA3 BZ Equity</v>
      </c>
      <c r="C297" t="str">
        <f t="shared" si="30"/>
        <v>F0946</v>
      </c>
      <c r="D297" t="str">
        <f t="shared" si="31"/>
        <v>TOTAL_GHG_CO2_EMISSIONS</v>
      </c>
      <c r="E297" t="str">
        <f t="shared" si="32"/>
        <v>Dynamic</v>
      </c>
      <c r="F297">
        <f ca="1">IF(AND(ISNUMBER($F$1415),$B$1132=1),$F$1415,HLOOKUP(INDIRECT(ADDRESS(2,COLUMN())),OFFSET($K$2,0,0,ROW()-1,5),ROW()-1,FALSE))</f>
        <v>0.16405499300000001</v>
      </c>
      <c r="G297">
        <f ca="1">IF(AND(ISNUMBER($G$1415),$B$1132=1),$G$1415,HLOOKUP(INDIRECT(ADDRESS(2,COLUMN())),OFFSET($K$2,0,0,ROW()-1,5),ROW()-1,FALSE))</f>
        <v>0.181223999</v>
      </c>
      <c r="H297" t="str">
        <f ca="1">IF(AND(ISNUMBER($H$1415),$B$1132=1),$H$1415,HLOOKUP(INDIRECT(ADDRESS(2,COLUMN())),OFFSET($K$2,0,0,ROW()-1,5),ROW()-1,FALSE))</f>
        <v/>
      </c>
      <c r="I297" t="str">
        <f ca="1">IF(AND(ISNUMBER($I$1415),$B$1132=1),$I$1415,HLOOKUP(INDIRECT(ADDRESS(2,COLUMN())),OFFSET($K$2,0,0,ROW()-1,5),ROW()-1,FALSE))</f>
        <v/>
      </c>
      <c r="J297">
        <f ca="1">IF(AND(ISNUMBER($J$1415),$B$1132=1),$J$1415,HLOOKUP(INDIRECT(ADDRESS(2,COLUMN())),OFFSET($K$2,0,0,ROW()-1,5),ROW()-1,FALSE))</f>
        <v>0.17532899499999999</v>
      </c>
      <c r="K297">
        <f>0.164054993</f>
        <v>0.16405499300000001</v>
      </c>
      <c r="L297">
        <f>0.181223999</f>
        <v>0.181223999</v>
      </c>
      <c r="M297" t="str">
        <f>""</f>
        <v/>
      </c>
      <c r="N297" t="str">
        <f>""</f>
        <v/>
      </c>
      <c r="O297">
        <f>0.175328995</f>
        <v>0.17532899499999999</v>
      </c>
    </row>
    <row r="298" spans="1:15" x14ac:dyDescent="0.25">
      <c r="A298" t="str">
        <f>"                    Marfrig Global Foods SA"</f>
        <v xml:space="preserve">                    Marfrig Global Foods SA</v>
      </c>
      <c r="B298" t="str">
        <f>"MRFG3 BZ Equity"</f>
        <v>MRFG3 BZ Equity</v>
      </c>
      <c r="C298" t="str">
        <f t="shared" si="30"/>
        <v>F0946</v>
      </c>
      <c r="D298" t="str">
        <f t="shared" si="31"/>
        <v>TOTAL_GHG_CO2_EMISSIONS</v>
      </c>
      <c r="E298" t="str">
        <f t="shared" si="32"/>
        <v>Dynamic</v>
      </c>
      <c r="F298">
        <f ca="1">IF(AND(ISNUMBER($F$1416),$B$1132=1),$F$1416,HLOOKUP(INDIRECT(ADDRESS(2,COLUMN())),OFFSET($K$2,0,0,ROW()-1,5),ROW()-1,FALSE))</f>
        <v>0.47549999999999998</v>
      </c>
      <c r="G298">
        <f ca="1">IF(AND(ISNUMBER($G$1416),$B$1132=1),$G$1416,HLOOKUP(INDIRECT(ADDRESS(2,COLUMN())),OFFSET($K$2,0,0,ROW()-1,5),ROW()-1,FALSE))</f>
        <v>0.59643902599999998</v>
      </c>
      <c r="H298">
        <f ca="1">IF(AND(ISNUMBER($H$1416),$B$1132=1),$H$1416,HLOOKUP(INDIRECT(ADDRESS(2,COLUMN())),OFFSET($K$2,0,0,ROW()-1,5),ROW()-1,FALSE))</f>
        <v>0.73517297400000003</v>
      </c>
      <c r="I298">
        <f ca="1">IF(AND(ISNUMBER($I$1416),$B$1132=1),$I$1416,HLOOKUP(INDIRECT(ADDRESS(2,COLUMN())),OFFSET($K$2,0,0,ROW()-1,5),ROW()-1,FALSE))</f>
        <v>0.63339001500000003</v>
      </c>
      <c r="J298">
        <f ca="1">IF(AND(ISNUMBER($J$1416),$B$1132=1),$J$1416,HLOOKUP(INDIRECT(ADDRESS(2,COLUMN())),OFFSET($K$2,0,0,ROW()-1,5),ROW()-1,FALSE))</f>
        <v>0.57079602100000004</v>
      </c>
      <c r="K298">
        <f>0.4755</f>
        <v>0.47549999999999998</v>
      </c>
      <c r="L298">
        <f>0.596439026</f>
        <v>0.59643902599999998</v>
      </c>
      <c r="M298">
        <f>0.735172974</f>
        <v>0.73517297400000003</v>
      </c>
      <c r="N298">
        <f>0.633390015</f>
        <v>0.63339001500000003</v>
      </c>
      <c r="O298">
        <f>0.570796021</f>
        <v>0.57079602100000004</v>
      </c>
    </row>
    <row r="299" spans="1:15" x14ac:dyDescent="0.25">
      <c r="A299" t="str">
        <f>"                    Megmilk Snow Brand Co Ltd"</f>
        <v xml:space="preserve">                    Megmilk Snow Brand Co Ltd</v>
      </c>
      <c r="B299" t="str">
        <f>"2270 JP Equity"</f>
        <v>2270 JP Equity</v>
      </c>
      <c r="C299" t="str">
        <f t="shared" si="30"/>
        <v>F0946</v>
      </c>
      <c r="D299" t="str">
        <f t="shared" si="31"/>
        <v>TOTAL_GHG_CO2_EMISSIONS</v>
      </c>
      <c r="E299" t="str">
        <f t="shared" si="32"/>
        <v>Dynamic</v>
      </c>
      <c r="F299" t="str">
        <f ca="1">IF(AND(ISNUMBER($F$1417),$B$1132=1),$F$1417,HLOOKUP(INDIRECT(ADDRESS(2,COLUMN())),OFFSET($K$2,0,0,ROW()-1,5),ROW()-1,FALSE))</f>
        <v/>
      </c>
      <c r="G299">
        <f ca="1">IF(AND(ISNUMBER($G$1417),$B$1132=1),$G$1417,HLOOKUP(INDIRECT(ADDRESS(2,COLUMN())),OFFSET($K$2,0,0,ROW()-1,5),ROW()-1,FALSE))</f>
        <v>0.22800000000000001</v>
      </c>
      <c r="H299">
        <f ca="1">IF(AND(ISNUMBER($H$1417),$B$1132=1),$H$1417,HLOOKUP(INDIRECT(ADDRESS(2,COLUMN())),OFFSET($K$2,0,0,ROW()-1,5),ROW()-1,FALSE))</f>
        <v>0.224</v>
      </c>
      <c r="I299">
        <f ca="1">IF(AND(ISNUMBER($I$1417),$B$1132=1),$I$1417,HLOOKUP(INDIRECT(ADDRESS(2,COLUMN())),OFFSET($K$2,0,0,ROW()-1,5),ROW()-1,FALSE))</f>
        <v>0.33505600000000002</v>
      </c>
      <c r="J299">
        <f ca="1">IF(AND(ISNUMBER($J$1417),$B$1132=1),$J$1417,HLOOKUP(INDIRECT(ADDRESS(2,COLUMN())),OFFSET($K$2,0,0,ROW()-1,5),ROW()-1,FALSE))</f>
        <v>0.34039999399999998</v>
      </c>
      <c r="K299" t="str">
        <f>""</f>
        <v/>
      </c>
      <c r="L299">
        <f>0.228</f>
        <v>0.22800000000000001</v>
      </c>
      <c r="M299">
        <f>0.224</f>
        <v>0.224</v>
      </c>
      <c r="N299">
        <f>0.335056</f>
        <v>0.33505600000000002</v>
      </c>
      <c r="O299">
        <f>0.340399994</f>
        <v>0.34039999399999998</v>
      </c>
    </row>
    <row r="300" spans="1:15" x14ac:dyDescent="0.25">
      <c r="A300" t="str">
        <f>"                    MEIJI Holdings Co Ltd"</f>
        <v xml:space="preserve">                    MEIJI Holdings Co Ltd</v>
      </c>
      <c r="B300" t="str">
        <f>"2269 JP Equity"</f>
        <v>2269 JP Equity</v>
      </c>
      <c r="C300" t="str">
        <f t="shared" si="30"/>
        <v>F0946</v>
      </c>
      <c r="D300" t="str">
        <f t="shared" si="31"/>
        <v>TOTAL_GHG_CO2_EMISSIONS</v>
      </c>
      <c r="E300" t="str">
        <f t="shared" si="32"/>
        <v>Dynamic</v>
      </c>
      <c r="F300" t="str">
        <f ca="1">IF(AND(ISNUMBER($F$1418),$B$1132=1),$F$1418,HLOOKUP(INDIRECT(ADDRESS(2,COLUMN())),OFFSET($K$2,0,0,ROW()-1,5),ROW()-1,FALSE))</f>
        <v/>
      </c>
      <c r="G300">
        <f ca="1">IF(AND(ISNUMBER($G$1418),$B$1132=1),$G$1418,HLOOKUP(INDIRECT(ADDRESS(2,COLUMN())),OFFSET($K$2,0,0,ROW()-1,5),ROW()-1,FALSE))</f>
        <v>0.55771698000000003</v>
      </c>
      <c r="H300">
        <f ca="1">IF(AND(ISNUMBER($H$1418),$B$1132=1),$H$1418,HLOOKUP(INDIRECT(ADDRESS(2,COLUMN())),OFFSET($K$2,0,0,ROW()-1,5),ROW()-1,FALSE))</f>
        <v>0.56299999999999994</v>
      </c>
      <c r="I300">
        <f ca="1">IF(AND(ISNUMBER($I$1418),$B$1132=1),$I$1418,HLOOKUP(INDIRECT(ADDRESS(2,COLUMN())),OFFSET($K$2,0,0,ROW()-1,5),ROW()-1,FALSE))</f>
        <v>0.60399999999999998</v>
      </c>
      <c r="J300">
        <f ca="1">IF(AND(ISNUMBER($J$1418),$B$1132=1),$J$1418,HLOOKUP(INDIRECT(ADDRESS(2,COLUMN())),OFFSET($K$2,0,0,ROW()-1,5),ROW()-1,FALSE))</f>
        <v>0.63100000000000001</v>
      </c>
      <c r="K300" t="str">
        <f>""</f>
        <v/>
      </c>
      <c r="L300">
        <f>0.55771698</f>
        <v>0.55771698000000003</v>
      </c>
      <c r="M300">
        <f>0.563</f>
        <v>0.56299999999999994</v>
      </c>
      <c r="N300">
        <f>0.604</f>
        <v>0.60399999999999998</v>
      </c>
      <c r="O300">
        <f>0.631</f>
        <v>0.63100000000000001</v>
      </c>
    </row>
    <row r="301" spans="1:15" x14ac:dyDescent="0.25">
      <c r="A301" t="str">
        <f>"                    Minerva SA/Brazil"</f>
        <v xml:space="preserve">                    Minerva SA/Brazil</v>
      </c>
      <c r="B301" t="str">
        <f>"BEEF3 BZ Equity"</f>
        <v>BEEF3 BZ Equity</v>
      </c>
      <c r="C301" t="str">
        <f t="shared" si="30"/>
        <v>F0946</v>
      </c>
      <c r="D301" t="str">
        <f t="shared" si="31"/>
        <v>TOTAL_GHG_CO2_EMISSIONS</v>
      </c>
      <c r="E301" t="str">
        <f t="shared" si="32"/>
        <v>Dynamic</v>
      </c>
      <c r="F301">
        <f ca="1">IF(AND(ISNUMBER($F$1419),$B$1132=1),$F$1419,HLOOKUP(INDIRECT(ADDRESS(2,COLUMN())),OFFSET($K$2,0,0,ROW()-1,5),ROW()-1,FALSE))</f>
        <v>0.38007000699999999</v>
      </c>
      <c r="G301">
        <f ca="1">IF(AND(ISNUMBER($G$1419),$B$1132=1),$G$1419,HLOOKUP(INDIRECT(ADDRESS(2,COLUMN())),OFFSET($K$2,0,0,ROW()-1,5),ROW()-1,FALSE))</f>
        <v>0.33623800700000001</v>
      </c>
      <c r="H301">
        <f ca="1">IF(AND(ISNUMBER($H$1419),$B$1132=1),$H$1419,HLOOKUP(INDIRECT(ADDRESS(2,COLUMN())),OFFSET($K$2,0,0,ROW()-1,5),ROW()-1,FALSE))</f>
        <v>0.24542599500000001</v>
      </c>
      <c r="I301">
        <f ca="1">IF(AND(ISNUMBER($I$1419),$B$1132=1),$I$1419,HLOOKUP(INDIRECT(ADDRESS(2,COLUMN())),OFFSET($K$2,0,0,ROW()-1,5),ROW()-1,FALSE))</f>
        <v>0.21018899499999999</v>
      </c>
      <c r="J301">
        <f ca="1">IF(AND(ISNUMBER($J$1419),$B$1132=1),$J$1419,HLOOKUP(INDIRECT(ADDRESS(2,COLUMN())),OFFSET($K$2,0,0,ROW()-1,5),ROW()-1,FALSE))</f>
        <v>0.30416598500000003</v>
      </c>
      <c r="K301">
        <f>0.380070007</f>
        <v>0.38007000699999999</v>
      </c>
      <c r="L301">
        <f>0.336238007</f>
        <v>0.33623800700000001</v>
      </c>
      <c r="M301">
        <f>0.245425995</f>
        <v>0.24542599500000001</v>
      </c>
      <c r="N301">
        <f>0.210188995</f>
        <v>0.21018899499999999</v>
      </c>
      <c r="O301">
        <f>0.304165985</f>
        <v>0.30416598500000003</v>
      </c>
    </row>
    <row r="302" spans="1:15" x14ac:dyDescent="0.25">
      <c r="A302" t="str">
        <f>"                    Molinos Rio de la Plata SA"</f>
        <v xml:space="preserve">                    Molinos Rio de la Plata SA</v>
      </c>
      <c r="B302" t="str">
        <f>"MOLI AR Equity"</f>
        <v>MOLI AR Equity</v>
      </c>
      <c r="C302" t="str">
        <f t="shared" si="30"/>
        <v>F0946</v>
      </c>
      <c r="D302" t="str">
        <f t="shared" si="31"/>
        <v>TOTAL_GHG_CO2_EMISSIONS</v>
      </c>
      <c r="E302" t="str">
        <f t="shared" si="32"/>
        <v>Dynamic</v>
      </c>
      <c r="F302" t="str">
        <f ca="1">IF(AND(ISNUMBER($F$1420),$B$1132=1),$F$1420,HLOOKUP(INDIRECT(ADDRESS(2,COLUMN())),OFFSET($K$2,0,0,ROW()-1,5),ROW()-1,FALSE))</f>
        <v/>
      </c>
      <c r="G302" t="str">
        <f ca="1">IF(AND(ISNUMBER($G$1420),$B$1132=1),$G$1420,HLOOKUP(INDIRECT(ADDRESS(2,COLUMN())),OFFSET($K$2,0,0,ROW()-1,5),ROW()-1,FALSE))</f>
        <v/>
      </c>
      <c r="H302" t="str">
        <f ca="1">IF(AND(ISNUMBER($H$1420),$B$1132=1),$H$1420,HLOOKUP(INDIRECT(ADDRESS(2,COLUMN())),OFFSET($K$2,0,0,ROW()-1,5),ROW()-1,FALSE))</f>
        <v/>
      </c>
      <c r="I302" t="str">
        <f ca="1">IF(AND(ISNUMBER($I$1420),$B$1132=1),$I$1420,HLOOKUP(INDIRECT(ADDRESS(2,COLUMN())),OFFSET($K$2,0,0,ROW()-1,5),ROW()-1,FALSE))</f>
        <v/>
      </c>
      <c r="J302" t="str">
        <f ca="1">IF(AND(ISNUMBER($J$1420),$B$1132=1),$J$1420,HLOOKUP(INDIRECT(ADDRESS(2,COLUMN())),OFFSET($K$2,0,0,ROW()-1,5),ROW()-1,FALSE))</f>
        <v/>
      </c>
      <c r="K302" t="str">
        <f>""</f>
        <v/>
      </c>
      <c r="L302" t="str">
        <f>""</f>
        <v/>
      </c>
      <c r="M302" t="str">
        <f>""</f>
        <v/>
      </c>
      <c r="N302" t="str">
        <f>""</f>
        <v/>
      </c>
      <c r="O302" t="str">
        <f>""</f>
        <v/>
      </c>
    </row>
    <row r="303" spans="1:15" x14ac:dyDescent="0.25">
      <c r="A303" t="str">
        <f>"                    Mondelez International Inc"</f>
        <v xml:space="preserve">                    Mondelez International Inc</v>
      </c>
      <c r="B303" t="str">
        <f>"MDLZ US Equity"</f>
        <v>MDLZ US Equity</v>
      </c>
      <c r="C303" t="str">
        <f t="shared" ref="C303:C339" si="33">"F0946"</f>
        <v>F0946</v>
      </c>
      <c r="D303" t="str">
        <f t="shared" ref="D303:D339" si="34">"TOTAL_GHG_CO2_EMISSIONS"</f>
        <v>TOTAL_GHG_CO2_EMISSIONS</v>
      </c>
      <c r="E303" t="str">
        <f t="shared" ref="E303:E339" si="35">"Dynamic"</f>
        <v>Dynamic</v>
      </c>
      <c r="F303" t="str">
        <f ca="1">IF(AND(ISNUMBER($F$1421),$B$1132=1),$F$1421,HLOOKUP(INDIRECT(ADDRESS(2,COLUMN())),OFFSET($K$2,0,0,ROW()-1,5),ROW()-1,FALSE))</f>
        <v/>
      </c>
      <c r="G303">
        <f ca="1">IF(AND(ISNUMBER($G$1421),$B$1132=1),$G$1421,HLOOKUP(INDIRECT(ADDRESS(2,COLUMN())),OFFSET($K$2,0,0,ROW()-1,5),ROW()-1,FALSE))</f>
        <v>1.465140015</v>
      </c>
      <c r="H303">
        <f ca="1">IF(AND(ISNUMBER($H$1421),$B$1132=1),$H$1421,HLOOKUP(INDIRECT(ADDRESS(2,COLUMN())),OFFSET($K$2,0,0,ROW()-1,5),ROW()-1,FALSE))</f>
        <v>1.6134899899999999</v>
      </c>
      <c r="I303">
        <f ca="1">IF(AND(ISNUMBER($I$1421),$B$1132=1),$I$1421,HLOOKUP(INDIRECT(ADDRESS(2,COLUMN())),OFFSET($K$2,0,0,ROW()-1,5),ROW()-1,FALSE))</f>
        <v>1.7951899410000001</v>
      </c>
      <c r="J303">
        <f ca="1">IF(AND(ISNUMBER($J$1421),$B$1132=1),$J$1421,HLOOKUP(INDIRECT(ADDRESS(2,COLUMN())),OFFSET($K$2,0,0,ROW()-1,5),ROW()-1,FALSE))</f>
        <v>1.7812199710000001</v>
      </c>
      <c r="K303" t="str">
        <f>""</f>
        <v/>
      </c>
      <c r="L303">
        <f>1.465140015</f>
        <v>1.465140015</v>
      </c>
      <c r="M303">
        <f>1.61348999</f>
        <v>1.6134899899999999</v>
      </c>
      <c r="N303">
        <f>1.795189941</f>
        <v>1.7951899410000001</v>
      </c>
      <c r="O303">
        <f>1.781219971</f>
        <v>1.7812199710000001</v>
      </c>
    </row>
    <row r="304" spans="1:15" x14ac:dyDescent="0.25">
      <c r="A304" t="str">
        <f>"                    Maple Leaf Foods Inc"</f>
        <v xml:space="preserve">                    Maple Leaf Foods Inc</v>
      </c>
      <c r="B304" t="str">
        <f>"MFI CN Equity"</f>
        <v>MFI CN Equity</v>
      </c>
      <c r="C304" t="str">
        <f t="shared" si="33"/>
        <v>F0946</v>
      </c>
      <c r="D304" t="str">
        <f t="shared" si="34"/>
        <v>TOTAL_GHG_CO2_EMISSIONS</v>
      </c>
      <c r="E304" t="str">
        <f t="shared" si="35"/>
        <v>Dynamic</v>
      </c>
      <c r="F304" t="str">
        <f ca="1">IF(AND(ISNUMBER($F$1422),$B$1132=1),$F$1422,HLOOKUP(INDIRECT(ADDRESS(2,COLUMN())),OFFSET($K$2,0,0,ROW()-1,5),ROW()-1,FALSE))</f>
        <v/>
      </c>
      <c r="G304">
        <f ca="1">IF(AND(ISNUMBER($G$1422),$B$1132=1),$G$1422,HLOOKUP(INDIRECT(ADDRESS(2,COLUMN())),OFFSET($K$2,0,0,ROW()-1,5),ROW()-1,FALSE))</f>
        <v>0.32222000099999998</v>
      </c>
      <c r="H304">
        <f ca="1">IF(AND(ISNUMBER($H$1422),$B$1132=1),$H$1422,HLOOKUP(INDIRECT(ADDRESS(2,COLUMN())),OFFSET($K$2,0,0,ROW()-1,5),ROW()-1,FALSE))</f>
        <v>0.33308700600000002</v>
      </c>
      <c r="I304">
        <f ca="1">IF(AND(ISNUMBER($I$1422),$B$1132=1),$I$1422,HLOOKUP(INDIRECT(ADDRESS(2,COLUMN())),OFFSET($K$2,0,0,ROW()-1,5),ROW()-1,FALSE))</f>
        <v>0.36612600699999998</v>
      </c>
      <c r="J304">
        <f ca="1">IF(AND(ISNUMBER($J$1422),$B$1132=1),$J$1422,HLOOKUP(INDIRECT(ADDRESS(2,COLUMN())),OFFSET($K$2,0,0,ROW()-1,5),ROW()-1,FALSE))</f>
        <v>0.15147300699999999</v>
      </c>
      <c r="K304" t="str">
        <f>""</f>
        <v/>
      </c>
      <c r="L304">
        <f>0.322220001</f>
        <v>0.32222000099999998</v>
      </c>
      <c r="M304">
        <f>0.333087006</f>
        <v>0.33308700600000002</v>
      </c>
      <c r="N304">
        <f>0.366126007</f>
        <v>0.36612600699999998</v>
      </c>
      <c r="O304">
        <f>0.151473007</f>
        <v>0.15147300699999999</v>
      </c>
    </row>
    <row r="305" spans="1:15" x14ac:dyDescent="0.25">
      <c r="A305" t="str">
        <f>"                    Mayora Indah Tbk PT"</f>
        <v xml:space="preserve">                    Mayora Indah Tbk PT</v>
      </c>
      <c r="B305" t="str">
        <f>"MYOR IJ Equity"</f>
        <v>MYOR IJ Equity</v>
      </c>
      <c r="C305" t="str">
        <f t="shared" si="33"/>
        <v>F0946</v>
      </c>
      <c r="D305" t="str">
        <f t="shared" si="34"/>
        <v>TOTAL_GHG_CO2_EMISSIONS</v>
      </c>
      <c r="E305" t="str">
        <f t="shared" si="35"/>
        <v>Dynamic</v>
      </c>
      <c r="F305">
        <f ca="1">IF(AND(ISNUMBER($F$1423),$B$1132=1),$F$1423,HLOOKUP(INDIRECT(ADDRESS(2,COLUMN())),OFFSET($K$2,0,0,ROW()-1,5),ROW()-1,FALSE))</f>
        <v>2.8575000999999999E-2</v>
      </c>
      <c r="G305" t="str">
        <f ca="1">IF(AND(ISNUMBER($G$1423),$B$1132=1),$G$1423,HLOOKUP(INDIRECT(ADDRESS(2,COLUMN())),OFFSET($K$2,0,0,ROW()-1,5),ROW()-1,FALSE))</f>
        <v/>
      </c>
      <c r="H305" t="str">
        <f ca="1">IF(AND(ISNUMBER($H$1423),$B$1132=1),$H$1423,HLOOKUP(INDIRECT(ADDRESS(2,COLUMN())),OFFSET($K$2,0,0,ROW()-1,5),ROW()-1,FALSE))</f>
        <v/>
      </c>
      <c r="I305" t="str">
        <f ca="1">IF(AND(ISNUMBER($I$1423),$B$1132=1),$I$1423,HLOOKUP(INDIRECT(ADDRESS(2,COLUMN())),OFFSET($K$2,0,0,ROW()-1,5),ROW()-1,FALSE))</f>
        <v/>
      </c>
      <c r="J305" t="str">
        <f ca="1">IF(AND(ISNUMBER($J$1423),$B$1132=1),$J$1423,HLOOKUP(INDIRECT(ADDRESS(2,COLUMN())),OFFSET($K$2,0,0,ROW()-1,5),ROW()-1,FALSE))</f>
        <v/>
      </c>
      <c r="K305">
        <f>0.028575001</f>
        <v>2.8575000999999999E-2</v>
      </c>
      <c r="L305" t="str">
        <f>""</f>
        <v/>
      </c>
      <c r="M305" t="str">
        <f>""</f>
        <v/>
      </c>
      <c r="N305" t="str">
        <f>""</f>
        <v/>
      </c>
      <c r="O305" t="str">
        <f>""</f>
        <v/>
      </c>
    </row>
    <row r="306" spans="1:15" x14ac:dyDescent="0.25">
      <c r="A306" t="str">
        <f>"                    McCormick &amp; Co Inc/MD"</f>
        <v xml:space="preserve">                    McCormick &amp; Co Inc/MD</v>
      </c>
      <c r="B306" t="str">
        <f>"MKC US Equity"</f>
        <v>MKC US Equity</v>
      </c>
      <c r="C306" t="str">
        <f t="shared" si="33"/>
        <v>F0946</v>
      </c>
      <c r="D306" t="str">
        <f t="shared" si="34"/>
        <v>TOTAL_GHG_CO2_EMISSIONS</v>
      </c>
      <c r="E306" t="str">
        <f t="shared" si="35"/>
        <v>Dynamic</v>
      </c>
      <c r="F306" t="str">
        <f ca="1">IF(AND(ISNUMBER($F$1424),$B$1132=1),$F$1424,HLOOKUP(INDIRECT(ADDRESS(2,COLUMN())),OFFSET($K$2,0,0,ROW()-1,5),ROW()-1,FALSE))</f>
        <v/>
      </c>
      <c r="G306">
        <f ca="1">IF(AND(ISNUMBER($G$1424),$B$1132=1),$G$1424,HLOOKUP(INDIRECT(ADDRESS(2,COLUMN())),OFFSET($K$2,0,0,ROW()-1,5),ROW()-1,FALSE))</f>
        <v>8.8747002000000005E-2</v>
      </c>
      <c r="H306">
        <f ca="1">IF(AND(ISNUMBER($H$1424),$B$1132=1),$H$1424,HLOOKUP(INDIRECT(ADDRESS(2,COLUMN())),OFFSET($K$2,0,0,ROW()-1,5),ROW()-1,FALSE))</f>
        <v>0.112023003</v>
      </c>
      <c r="I306">
        <f ca="1">IF(AND(ISNUMBER($I$1424),$B$1132=1),$I$1424,HLOOKUP(INDIRECT(ADDRESS(2,COLUMN())),OFFSET($K$2,0,0,ROW()-1,5),ROW()-1,FALSE))</f>
        <v>0.116646004</v>
      </c>
      <c r="J306">
        <f ca="1">IF(AND(ISNUMBER($J$1424),$B$1132=1),$J$1424,HLOOKUP(INDIRECT(ADDRESS(2,COLUMN())),OFFSET($K$2,0,0,ROW()-1,5),ROW()-1,FALSE))</f>
        <v>0.117230003</v>
      </c>
      <c r="K306" t="str">
        <f>""</f>
        <v/>
      </c>
      <c r="L306">
        <f>0.088747002</f>
        <v>8.8747002000000005E-2</v>
      </c>
      <c r="M306">
        <f>0.112023003</f>
        <v>0.112023003</v>
      </c>
      <c r="N306">
        <f>0.116646004</f>
        <v>0.116646004</v>
      </c>
      <c r="O306">
        <f>0.117230003</f>
        <v>0.117230003</v>
      </c>
    </row>
    <row r="307" spans="1:15" x14ac:dyDescent="0.25">
      <c r="A307" t="str">
        <f>"                    Morinaga Milk Industry Co Ltd"</f>
        <v xml:space="preserve">                    Morinaga Milk Industry Co Ltd</v>
      </c>
      <c r="B307" t="str">
        <f>"2264 JP Equity"</f>
        <v>2264 JP Equity</v>
      </c>
      <c r="C307" t="str">
        <f t="shared" si="33"/>
        <v>F0946</v>
      </c>
      <c r="D307" t="str">
        <f t="shared" si="34"/>
        <v>TOTAL_GHG_CO2_EMISSIONS</v>
      </c>
      <c r="E307" t="str">
        <f t="shared" si="35"/>
        <v>Dynamic</v>
      </c>
      <c r="F307" t="str">
        <f ca="1">IF(AND(ISNUMBER($F$1425),$B$1132=1),$F$1425,HLOOKUP(INDIRECT(ADDRESS(2,COLUMN())),OFFSET($K$2,0,0,ROW()-1,5),ROW()-1,FALSE))</f>
        <v/>
      </c>
      <c r="G307">
        <f ca="1">IF(AND(ISNUMBER($G$1425),$B$1132=1),$G$1425,HLOOKUP(INDIRECT(ADDRESS(2,COLUMN())),OFFSET($K$2,0,0,ROW()-1,5),ROW()-1,FALSE))</f>
        <v>0.30399999999999999</v>
      </c>
      <c r="H307">
        <f ca="1">IF(AND(ISNUMBER($H$1425),$B$1132=1),$H$1425,HLOOKUP(INDIRECT(ADDRESS(2,COLUMN())),OFFSET($K$2,0,0,ROW()-1,5),ROW()-1,FALSE))</f>
        <v>0.32</v>
      </c>
      <c r="I307">
        <f ca="1">IF(AND(ISNUMBER($I$1425),$B$1132=1),$I$1425,HLOOKUP(INDIRECT(ADDRESS(2,COLUMN())),OFFSET($K$2,0,0,ROW()-1,5),ROW()-1,FALSE))</f>
        <v>0.35899999999999999</v>
      </c>
      <c r="J307">
        <f ca="1">IF(AND(ISNUMBER($J$1425),$B$1132=1),$J$1425,HLOOKUP(INDIRECT(ADDRESS(2,COLUMN())),OFFSET($K$2,0,0,ROW()-1,5),ROW()-1,FALSE))</f>
        <v>0.34</v>
      </c>
      <c r="K307" t="str">
        <f>""</f>
        <v/>
      </c>
      <c r="L307">
        <f>0.304</f>
        <v>0.30399999999999999</v>
      </c>
      <c r="M307">
        <f>0.32</f>
        <v>0.32</v>
      </c>
      <c r="N307">
        <f>0.359</f>
        <v>0.35899999999999999</v>
      </c>
      <c r="O307">
        <f>0.34</f>
        <v>0.34</v>
      </c>
    </row>
    <row r="308" spans="1:15" x14ac:dyDescent="0.25">
      <c r="A308" t="str">
        <f>"                    NH Foods Ltd"</f>
        <v xml:space="preserve">                    NH Foods Ltd</v>
      </c>
      <c r="B308" t="str">
        <f>"2282 JP Equity"</f>
        <v>2282 JP Equity</v>
      </c>
      <c r="C308" t="str">
        <f t="shared" si="33"/>
        <v>F0946</v>
      </c>
      <c r="D308" t="str">
        <f t="shared" si="34"/>
        <v>TOTAL_GHG_CO2_EMISSIONS</v>
      </c>
      <c r="E308" t="str">
        <f t="shared" si="35"/>
        <v>Dynamic</v>
      </c>
      <c r="F308" t="str">
        <f ca="1">IF(AND(ISNUMBER($F$1426),$B$1132=1),$F$1426,HLOOKUP(INDIRECT(ADDRESS(2,COLUMN())),OFFSET($K$2,0,0,ROW()-1,5),ROW()-1,FALSE))</f>
        <v/>
      </c>
      <c r="G308">
        <f ca="1">IF(AND(ISNUMBER($G$1426),$B$1132=1),$G$1426,HLOOKUP(INDIRECT(ADDRESS(2,COLUMN())),OFFSET($K$2,0,0,ROW()-1,5),ROW()-1,FALSE))</f>
        <v>0.61499999999999999</v>
      </c>
      <c r="H308">
        <f ca="1">IF(AND(ISNUMBER($H$1426),$B$1132=1),$H$1426,HLOOKUP(INDIRECT(ADDRESS(2,COLUMN())),OFFSET($K$2,0,0,ROW()-1,5),ROW()-1,FALSE))</f>
        <v>0.625</v>
      </c>
      <c r="I308">
        <f ca="1">IF(AND(ISNUMBER($I$1426),$B$1132=1),$I$1426,HLOOKUP(INDIRECT(ADDRESS(2,COLUMN())),OFFSET($K$2,0,0,ROW()-1,5),ROW()-1,FALSE))</f>
        <v>0.505</v>
      </c>
      <c r="J308">
        <f ca="1">IF(AND(ISNUMBER($J$1426),$B$1132=1),$J$1426,HLOOKUP(INDIRECT(ADDRESS(2,COLUMN())),OFFSET($K$2,0,0,ROW()-1,5),ROW()-1,FALSE))</f>
        <v>0.51900000000000002</v>
      </c>
      <c r="K308" t="str">
        <f>""</f>
        <v/>
      </c>
      <c r="L308">
        <f>0.615</f>
        <v>0.61499999999999999</v>
      </c>
      <c r="M308">
        <f>0.625</f>
        <v>0.625</v>
      </c>
      <c r="N308">
        <f>0.505</f>
        <v>0.505</v>
      </c>
      <c r="O308">
        <f>0.519</f>
        <v>0.51900000000000002</v>
      </c>
    </row>
    <row r="309" spans="1:15" x14ac:dyDescent="0.25">
      <c r="A309" t="str">
        <f>"                    Nissin Foods Holdings Co Ltd"</f>
        <v xml:space="preserve">                    Nissin Foods Holdings Co Ltd</v>
      </c>
      <c r="B309" t="str">
        <f>"2897 JP Equity"</f>
        <v>2897 JP Equity</v>
      </c>
      <c r="C309" t="str">
        <f t="shared" si="33"/>
        <v>F0946</v>
      </c>
      <c r="D309" t="str">
        <f t="shared" si="34"/>
        <v>TOTAL_GHG_CO2_EMISSIONS</v>
      </c>
      <c r="E309" t="str">
        <f t="shared" si="35"/>
        <v>Dynamic</v>
      </c>
      <c r="F309" t="str">
        <f ca="1">IF(AND(ISNUMBER($F$1427),$B$1132=1),$F$1427,HLOOKUP(INDIRECT(ADDRESS(2,COLUMN())),OFFSET($K$2,0,0,ROW()-1,5),ROW()-1,FALSE))</f>
        <v/>
      </c>
      <c r="G309">
        <f ca="1">IF(AND(ISNUMBER($G$1427),$B$1132=1),$G$1427,HLOOKUP(INDIRECT(ADDRESS(2,COLUMN())),OFFSET($K$2,0,0,ROW()-1,5),ROW()-1,FALSE))</f>
        <v>0.45668600500000001</v>
      </c>
      <c r="H309">
        <f ca="1">IF(AND(ISNUMBER($H$1427),$B$1132=1),$H$1427,HLOOKUP(INDIRECT(ADDRESS(2,COLUMN())),OFFSET($K$2,0,0,ROW()-1,5),ROW()-1,FALSE))</f>
        <v>0.45127099599999998</v>
      </c>
      <c r="I309">
        <f ca="1">IF(AND(ISNUMBER($I$1427),$B$1132=1),$I$1427,HLOOKUP(INDIRECT(ADDRESS(2,COLUMN())),OFFSET($K$2,0,0,ROW()-1,5),ROW()-1,FALSE))</f>
        <v>0.42099999999999999</v>
      </c>
      <c r="J309">
        <f ca="1">IF(AND(ISNUMBER($J$1427),$B$1132=1),$J$1427,HLOOKUP(INDIRECT(ADDRESS(2,COLUMN())),OFFSET($K$2,0,0,ROW()-1,5),ROW()-1,FALSE))</f>
        <v>0.39700000000000002</v>
      </c>
      <c r="K309" t="str">
        <f>""</f>
        <v/>
      </c>
      <c r="L309">
        <f>0.456686005</f>
        <v>0.45668600500000001</v>
      </c>
      <c r="M309">
        <f>0.451270996</f>
        <v>0.45127099599999998</v>
      </c>
      <c r="N309">
        <f>0.421</f>
        <v>0.42099999999999999</v>
      </c>
      <c r="O309">
        <f>0.397</f>
        <v>0.39700000000000002</v>
      </c>
    </row>
    <row r="310" spans="1:15" x14ac:dyDescent="0.25">
      <c r="A310" t="str">
        <f>"                    NongShim Co Ltd"</f>
        <v xml:space="preserve">                    NongShim Co Ltd</v>
      </c>
      <c r="B310" t="str">
        <f>"004370 KS Equity"</f>
        <v>004370 KS Equity</v>
      </c>
      <c r="C310" t="str">
        <f t="shared" si="33"/>
        <v>F0946</v>
      </c>
      <c r="D310" t="str">
        <f t="shared" si="34"/>
        <v>TOTAL_GHG_CO2_EMISSIONS</v>
      </c>
      <c r="E310" t="str">
        <f t="shared" si="35"/>
        <v>Dynamic</v>
      </c>
      <c r="F310" t="str">
        <f ca="1">IF(AND(ISNUMBER($F$1428),$B$1132=1),$F$1428,HLOOKUP(INDIRECT(ADDRESS(2,COLUMN())),OFFSET($K$2,0,0,ROW()-1,5),ROW()-1,FALSE))</f>
        <v/>
      </c>
      <c r="G310">
        <f ca="1">IF(AND(ISNUMBER($G$1428),$B$1132=1),$G$1428,HLOOKUP(INDIRECT(ADDRESS(2,COLUMN())),OFFSET($K$2,0,0,ROW()-1,5),ROW()-1,FALSE))</f>
        <v>0.176067001</v>
      </c>
      <c r="H310">
        <f ca="1">IF(AND(ISNUMBER($H$1428),$B$1132=1),$H$1428,HLOOKUP(INDIRECT(ADDRESS(2,COLUMN())),OFFSET($K$2,0,0,ROW()-1,5),ROW()-1,FALSE))</f>
        <v>0.18514999400000001</v>
      </c>
      <c r="I310">
        <f ca="1">IF(AND(ISNUMBER($I$1428),$B$1132=1),$I$1428,HLOOKUP(INDIRECT(ADDRESS(2,COLUMN())),OFFSET($K$2,0,0,ROW()-1,5),ROW()-1,FALSE))</f>
        <v>0.17213600200000001</v>
      </c>
      <c r="J310">
        <f ca="1">IF(AND(ISNUMBER($J$1428),$B$1132=1),$J$1428,HLOOKUP(INDIRECT(ADDRESS(2,COLUMN())),OFFSET($K$2,0,0,ROW()-1,5),ROW()-1,FALSE))</f>
        <v>0.17073100299999999</v>
      </c>
      <c r="K310" t="str">
        <f>""</f>
        <v/>
      </c>
      <c r="L310">
        <f>0.176067001</f>
        <v>0.176067001</v>
      </c>
      <c r="M310">
        <f>0.185149994</f>
        <v>0.18514999400000001</v>
      </c>
      <c r="N310">
        <f>0.172136002</f>
        <v>0.17213600200000001</v>
      </c>
      <c r="O310">
        <f>0.170731003</f>
        <v>0.17073100299999999</v>
      </c>
    </row>
    <row r="311" spans="1:15" x14ac:dyDescent="0.25">
      <c r="A311" t="str">
        <f>"                    Nestle SA"</f>
        <v xml:space="preserve">                    Nestle SA</v>
      </c>
      <c r="B311" t="str">
        <f>"NESN SW Equity"</f>
        <v>NESN SW Equity</v>
      </c>
      <c r="C311" t="str">
        <f t="shared" si="33"/>
        <v>F0946</v>
      </c>
      <c r="D311" t="str">
        <f t="shared" si="34"/>
        <v>TOTAL_GHG_CO2_EMISSIONS</v>
      </c>
      <c r="E311" t="str">
        <f t="shared" si="35"/>
        <v>Dynamic</v>
      </c>
      <c r="F311" t="str">
        <f ca="1">IF(AND(ISNUMBER($F$1429),$B$1132=1),$F$1429,HLOOKUP(INDIRECT(ADDRESS(2,COLUMN())),OFFSET($K$2,0,0,ROW()-1,5),ROW()-1,FALSE))</f>
        <v/>
      </c>
      <c r="G311">
        <f ca="1">IF(AND(ISNUMBER($G$1429),$B$1132=1),$G$1429,HLOOKUP(INDIRECT(ADDRESS(2,COLUMN())),OFFSET($K$2,0,0,ROW()-1,5),ROW()-1,FALSE))</f>
        <v>5.97</v>
      </c>
      <c r="H311">
        <f ca="1">IF(AND(ISNUMBER($H$1429),$B$1132=1),$H$1429,HLOOKUP(INDIRECT(ADDRESS(2,COLUMN())),OFFSET($K$2,0,0,ROW()-1,5),ROW()-1,FALSE))</f>
        <v>5.3</v>
      </c>
      <c r="I311">
        <f ca="1">IF(AND(ISNUMBER($I$1429),$B$1132=1),$I$1429,HLOOKUP(INDIRECT(ADDRESS(2,COLUMN())),OFFSET($K$2,0,0,ROW()-1,5),ROW()-1,FALSE))</f>
        <v>6.4977998049999997</v>
      </c>
      <c r="J311">
        <f ca="1">IF(AND(ISNUMBER($J$1429),$B$1132=1),$J$1429,HLOOKUP(INDIRECT(ADDRESS(2,COLUMN())),OFFSET($K$2,0,0,ROW()-1,5),ROW()-1,FALSE))</f>
        <v>6.5997900390000002</v>
      </c>
      <c r="K311" t="str">
        <f>""</f>
        <v/>
      </c>
      <c r="L311">
        <f>5.97</f>
        <v>5.97</v>
      </c>
      <c r="M311">
        <f>5.3</f>
        <v>5.3</v>
      </c>
      <c r="N311">
        <f>6.497799805</f>
        <v>6.4977998049999997</v>
      </c>
      <c r="O311">
        <f>6.599790039</f>
        <v>6.5997900390000002</v>
      </c>
    </row>
    <row r="312" spans="1:15" x14ac:dyDescent="0.25">
      <c r="A312" t="str">
        <f>"                    Nichirei Corp"</f>
        <v xml:space="preserve">                    Nichirei Corp</v>
      </c>
      <c r="B312" t="str">
        <f>"2871 JP Equity"</f>
        <v>2871 JP Equity</v>
      </c>
      <c r="C312" t="str">
        <f t="shared" si="33"/>
        <v>F0946</v>
      </c>
      <c r="D312" t="str">
        <f t="shared" si="34"/>
        <v>TOTAL_GHG_CO2_EMISSIONS</v>
      </c>
      <c r="E312" t="str">
        <f t="shared" si="35"/>
        <v>Dynamic</v>
      </c>
      <c r="F312" t="str">
        <f ca="1">IF(AND(ISNUMBER($F$1430),$B$1132=1),$F$1430,HLOOKUP(INDIRECT(ADDRESS(2,COLUMN())),OFFSET($K$2,0,0,ROW()-1,5),ROW()-1,FALSE))</f>
        <v/>
      </c>
      <c r="G312">
        <f ca="1">IF(AND(ISNUMBER($G$1430),$B$1132=1),$G$1430,HLOOKUP(INDIRECT(ADDRESS(2,COLUMN())),OFFSET($K$2,0,0,ROW()-1,5),ROW()-1,FALSE))</f>
        <v>0.36919100999999999</v>
      </c>
      <c r="H312">
        <f ca="1">IF(AND(ISNUMBER($H$1430),$B$1132=1),$H$1430,HLOOKUP(INDIRECT(ADDRESS(2,COLUMN())),OFFSET($K$2,0,0,ROW()-1,5),ROW()-1,FALSE))</f>
        <v>0.36335299700000001</v>
      </c>
      <c r="I312">
        <f ca="1">IF(AND(ISNUMBER($I$1430),$B$1132=1),$I$1430,HLOOKUP(INDIRECT(ADDRESS(2,COLUMN())),OFFSET($K$2,0,0,ROW()-1,5),ROW()-1,FALSE))</f>
        <v>0.241235001</v>
      </c>
      <c r="J312">
        <f ca="1">IF(AND(ISNUMBER($J$1430),$B$1132=1),$J$1430,HLOOKUP(INDIRECT(ADDRESS(2,COLUMN())),OFFSET($K$2,0,0,ROW()-1,5),ROW()-1,FALSE))</f>
        <v>0.25998001100000001</v>
      </c>
      <c r="K312" t="str">
        <f>""</f>
        <v/>
      </c>
      <c r="L312">
        <f>0.36919101</f>
        <v>0.36919100999999999</v>
      </c>
      <c r="M312">
        <f>0.363352997</f>
        <v>0.36335299700000001</v>
      </c>
      <c r="N312">
        <f>0.241235001</f>
        <v>0.241235001</v>
      </c>
      <c r="O312">
        <f>0.259980011</f>
        <v>0.25998001100000001</v>
      </c>
    </row>
    <row r="313" spans="1:15" x14ac:dyDescent="0.25">
      <c r="A313" t="str">
        <f>"                    Nippn Corp"</f>
        <v xml:space="preserve">                    Nippn Corp</v>
      </c>
      <c r="B313" t="str">
        <f>"2001 JP Equity"</f>
        <v>2001 JP Equity</v>
      </c>
      <c r="C313" t="str">
        <f t="shared" si="33"/>
        <v>F0946</v>
      </c>
      <c r="D313" t="str">
        <f t="shared" si="34"/>
        <v>TOTAL_GHG_CO2_EMISSIONS</v>
      </c>
      <c r="E313" t="str">
        <f t="shared" si="35"/>
        <v>Dynamic</v>
      </c>
      <c r="F313" t="str">
        <f ca="1">IF(AND(ISNUMBER($F$1431),$B$1132=1),$F$1431,HLOOKUP(INDIRECT(ADDRESS(2,COLUMN())),OFFSET($K$2,0,0,ROW()-1,5),ROW()-1,FALSE))</f>
        <v/>
      </c>
      <c r="G313">
        <f ca="1">IF(AND(ISNUMBER($G$1431),$B$1132=1),$G$1431,HLOOKUP(INDIRECT(ADDRESS(2,COLUMN())),OFFSET($K$2,0,0,ROW()-1,5),ROW()-1,FALSE))</f>
        <v>0.162658997</v>
      </c>
      <c r="H313">
        <f ca="1">IF(AND(ISNUMBER($H$1431),$B$1132=1),$H$1431,HLOOKUP(INDIRECT(ADDRESS(2,COLUMN())),OFFSET($K$2,0,0,ROW()-1,5),ROW()-1,FALSE))</f>
        <v>0.16</v>
      </c>
      <c r="I313">
        <f ca="1">IF(AND(ISNUMBER($I$1431),$B$1132=1),$I$1431,HLOOKUP(INDIRECT(ADDRESS(2,COLUMN())),OFFSET($K$2,0,0,ROW()-1,5),ROW()-1,FALSE))</f>
        <v>0.159</v>
      </c>
      <c r="J313">
        <f ca="1">IF(AND(ISNUMBER($J$1431),$B$1132=1),$J$1431,HLOOKUP(INDIRECT(ADDRESS(2,COLUMN())),OFFSET($K$2,0,0,ROW()-1,5),ROW()-1,FALSE))</f>
        <v>0.155</v>
      </c>
      <c r="K313" t="str">
        <f>""</f>
        <v/>
      </c>
      <c r="L313">
        <f>0.162658997</f>
        <v>0.162658997</v>
      </c>
      <c r="M313">
        <f>0.16</f>
        <v>0.16</v>
      </c>
      <c r="N313">
        <f>0.159</f>
        <v>0.159</v>
      </c>
      <c r="O313">
        <f>0.155</f>
        <v>0.155</v>
      </c>
    </row>
    <row r="314" spans="1:15" x14ac:dyDescent="0.25">
      <c r="A314" t="str">
        <f>"                    Nissui Corp"</f>
        <v xml:space="preserve">                    Nissui Corp</v>
      </c>
      <c r="B314" t="str">
        <f>"1332 JP Equity"</f>
        <v>1332 JP Equity</v>
      </c>
      <c r="C314" t="str">
        <f t="shared" si="33"/>
        <v>F0946</v>
      </c>
      <c r="D314" t="str">
        <f t="shared" si="34"/>
        <v>TOTAL_GHG_CO2_EMISSIONS</v>
      </c>
      <c r="E314" t="str">
        <f t="shared" si="35"/>
        <v>Dynamic</v>
      </c>
      <c r="F314" t="str">
        <f ca="1">IF(AND(ISNUMBER($F$1432),$B$1132=1),$F$1432,HLOOKUP(INDIRECT(ADDRESS(2,COLUMN())),OFFSET($K$2,0,0,ROW()-1,5),ROW()-1,FALSE))</f>
        <v/>
      </c>
      <c r="G314">
        <f ca="1">IF(AND(ISNUMBER($G$1432),$B$1132=1),$G$1432,HLOOKUP(INDIRECT(ADDRESS(2,COLUMN())),OFFSET($K$2,0,0,ROW()-1,5),ROW()-1,FALSE))</f>
        <v>0.383964996</v>
      </c>
      <c r="H314">
        <f ca="1">IF(AND(ISNUMBER($H$1432),$B$1132=1),$H$1432,HLOOKUP(INDIRECT(ADDRESS(2,COLUMN())),OFFSET($K$2,0,0,ROW()-1,5),ROW()-1,FALSE))</f>
        <v>0.38648199500000002</v>
      </c>
      <c r="I314">
        <f ca="1">IF(AND(ISNUMBER($I$1432),$B$1132=1),$I$1432,HLOOKUP(INDIRECT(ADDRESS(2,COLUMN())),OFFSET($K$2,0,0,ROW()-1,5),ROW()-1,FALSE))</f>
        <v>0.39350500500000002</v>
      </c>
      <c r="J314">
        <f ca="1">IF(AND(ISNUMBER($J$1432),$B$1132=1),$J$1432,HLOOKUP(INDIRECT(ADDRESS(2,COLUMN())),OFFSET($K$2,0,0,ROW()-1,5),ROW()-1,FALSE))</f>
        <v>0.30474301100000001</v>
      </c>
      <c r="K314" t="str">
        <f>""</f>
        <v/>
      </c>
      <c r="L314">
        <f>0.383964996</f>
        <v>0.383964996</v>
      </c>
      <c r="M314">
        <f>0.386481995</f>
        <v>0.38648199500000002</v>
      </c>
      <c r="N314">
        <f>0.393505005</f>
        <v>0.39350500500000002</v>
      </c>
      <c r="O314">
        <f>0.304743011</f>
        <v>0.30474301100000001</v>
      </c>
    </row>
    <row r="315" spans="1:15" x14ac:dyDescent="0.25">
      <c r="A315" t="str">
        <f>"                    Orion Holdings Corp"</f>
        <v xml:space="preserve">                    Orion Holdings Corp</v>
      </c>
      <c r="B315" t="str">
        <f>"001800 KS Equity"</f>
        <v>001800 KS Equity</v>
      </c>
      <c r="C315" t="str">
        <f t="shared" si="33"/>
        <v>F0946</v>
      </c>
      <c r="D315" t="str">
        <f t="shared" si="34"/>
        <v>TOTAL_GHG_CO2_EMISSIONS</v>
      </c>
      <c r="E315" t="str">
        <f t="shared" si="35"/>
        <v>Dynamic</v>
      </c>
      <c r="F315" t="str">
        <f ca="1">IF(AND(ISNUMBER($F$1433),$B$1132=1),$F$1433,HLOOKUP(INDIRECT(ADDRESS(2,COLUMN())),OFFSET($K$2,0,0,ROW()-1,5),ROW()-1,FALSE))</f>
        <v/>
      </c>
      <c r="G315" t="str">
        <f ca="1">IF(AND(ISNUMBER($G$1433),$B$1132=1),$G$1433,HLOOKUP(INDIRECT(ADDRESS(2,COLUMN())),OFFSET($K$2,0,0,ROW()-1,5),ROW()-1,FALSE))</f>
        <v/>
      </c>
      <c r="H315" t="str">
        <f ca="1">IF(AND(ISNUMBER($H$1433),$B$1132=1),$H$1433,HLOOKUP(INDIRECT(ADDRESS(2,COLUMN())),OFFSET($K$2,0,0,ROW()-1,5),ROW()-1,FALSE))</f>
        <v/>
      </c>
      <c r="I315" t="str">
        <f ca="1">IF(AND(ISNUMBER($I$1433),$B$1132=1),$I$1433,HLOOKUP(INDIRECT(ADDRESS(2,COLUMN())),OFFSET($K$2,0,0,ROW()-1,5),ROW()-1,FALSE))</f>
        <v/>
      </c>
      <c r="J315" t="str">
        <f ca="1">IF(AND(ISNUMBER($J$1433),$B$1132=1),$J$1433,HLOOKUP(INDIRECT(ADDRESS(2,COLUMN())),OFFSET($K$2,0,0,ROW()-1,5),ROW()-1,FALSE))</f>
        <v/>
      </c>
      <c r="K315" t="str">
        <f>""</f>
        <v/>
      </c>
      <c r="L315" t="str">
        <f>""</f>
        <v/>
      </c>
      <c r="M315" t="str">
        <f>""</f>
        <v/>
      </c>
      <c r="N315" t="str">
        <f>""</f>
        <v/>
      </c>
      <c r="O315" t="str">
        <f>""</f>
        <v/>
      </c>
    </row>
    <row r="316" spans="1:15" x14ac:dyDescent="0.25">
      <c r="A316" t="str">
        <f>"                    Orior AG"</f>
        <v xml:space="preserve">                    Orior AG</v>
      </c>
      <c r="B316" t="str">
        <f>"ORON SW Equity"</f>
        <v>ORON SW Equity</v>
      </c>
      <c r="C316" t="str">
        <f t="shared" si="33"/>
        <v>F0946</v>
      </c>
      <c r="D316" t="str">
        <f t="shared" si="34"/>
        <v>TOTAL_GHG_CO2_EMISSIONS</v>
      </c>
      <c r="E316" t="str">
        <f t="shared" si="35"/>
        <v>Dynamic</v>
      </c>
      <c r="F316">
        <f ca="1">IF(AND(ISNUMBER($F$1434),$B$1132=1),$F$1434,HLOOKUP(INDIRECT(ADDRESS(2,COLUMN())),OFFSET($K$2,0,0,ROW()-1,5),ROW()-1,FALSE))</f>
        <v>1.0749E-2</v>
      </c>
      <c r="G316" t="str">
        <f ca="1">IF(AND(ISNUMBER($G$1434),$B$1132=1),$G$1434,HLOOKUP(INDIRECT(ADDRESS(2,COLUMN())),OFFSET($K$2,0,0,ROW()-1,5),ROW()-1,FALSE))</f>
        <v/>
      </c>
      <c r="H316" t="str">
        <f ca="1">IF(AND(ISNUMBER($H$1434),$B$1132=1),$H$1434,HLOOKUP(INDIRECT(ADDRESS(2,COLUMN())),OFFSET($K$2,0,0,ROW()-1,5),ROW()-1,FALSE))</f>
        <v/>
      </c>
      <c r="I316" t="str">
        <f ca="1">IF(AND(ISNUMBER($I$1434),$B$1132=1),$I$1434,HLOOKUP(INDIRECT(ADDRESS(2,COLUMN())),OFFSET($K$2,0,0,ROW()-1,5),ROW()-1,FALSE))</f>
        <v/>
      </c>
      <c r="J316" t="str">
        <f ca="1">IF(AND(ISNUMBER($J$1434),$B$1132=1),$J$1434,HLOOKUP(INDIRECT(ADDRESS(2,COLUMN())),OFFSET($K$2,0,0,ROW()-1,5),ROW()-1,FALSE))</f>
        <v/>
      </c>
      <c r="K316">
        <f>0.010749</f>
        <v>1.0749E-2</v>
      </c>
      <c r="L316" t="str">
        <f>""</f>
        <v/>
      </c>
      <c r="M316" t="str">
        <f>""</f>
        <v/>
      </c>
      <c r="N316" t="str">
        <f>""</f>
        <v/>
      </c>
      <c r="O316" t="str">
        <f>""</f>
        <v/>
      </c>
    </row>
    <row r="317" spans="1:15" x14ac:dyDescent="0.25">
      <c r="A317" t="str">
        <f>"                    Post Holdings Inc"</f>
        <v xml:space="preserve">                    Post Holdings Inc</v>
      </c>
      <c r="B317" t="str">
        <f>"POST US Equity"</f>
        <v>POST US Equity</v>
      </c>
      <c r="C317" t="str">
        <f t="shared" si="33"/>
        <v>F0946</v>
      </c>
      <c r="D317" t="str">
        <f t="shared" si="34"/>
        <v>TOTAL_GHG_CO2_EMISSIONS</v>
      </c>
      <c r="E317" t="str">
        <f t="shared" si="35"/>
        <v>Dynamic</v>
      </c>
      <c r="F317" t="str">
        <f ca="1">IF(AND(ISNUMBER($F$1435),$B$1132=1),$F$1435,HLOOKUP(INDIRECT(ADDRESS(2,COLUMN())),OFFSET($K$2,0,0,ROW()-1,5),ROW()-1,FALSE))</f>
        <v/>
      </c>
      <c r="G317">
        <f ca="1">IF(AND(ISNUMBER($G$1435),$B$1132=1),$G$1435,HLOOKUP(INDIRECT(ADDRESS(2,COLUMN())),OFFSET($K$2,0,0,ROW()-1,5),ROW()-1,FALSE))</f>
        <v>0.67236401400000001</v>
      </c>
      <c r="H317">
        <f ca="1">IF(AND(ISNUMBER($H$1435),$B$1132=1),$H$1435,HLOOKUP(INDIRECT(ADDRESS(2,COLUMN())),OFFSET($K$2,0,0,ROW()-1,5),ROW()-1,FALSE))</f>
        <v>0.72672698999999996</v>
      </c>
      <c r="I317" t="str">
        <f ca="1">IF(AND(ISNUMBER($I$1435),$B$1132=1),$I$1435,HLOOKUP(INDIRECT(ADDRESS(2,COLUMN())),OFFSET($K$2,0,0,ROW()-1,5),ROW()-1,FALSE))</f>
        <v/>
      </c>
      <c r="J317" t="str">
        <f ca="1">IF(AND(ISNUMBER($J$1435),$B$1132=1),$J$1435,HLOOKUP(INDIRECT(ADDRESS(2,COLUMN())),OFFSET($K$2,0,0,ROW()-1,5),ROW()-1,FALSE))</f>
        <v/>
      </c>
      <c r="K317" t="str">
        <f>""</f>
        <v/>
      </c>
      <c r="L317">
        <f>0.672364014</f>
        <v>0.67236401400000001</v>
      </c>
      <c r="M317">
        <f>0.72672699</f>
        <v>0.72672698999999996</v>
      </c>
      <c r="N317" t="str">
        <f>""</f>
        <v/>
      </c>
      <c r="O317" t="str">
        <f>""</f>
        <v/>
      </c>
    </row>
    <row r="318" spans="1:15" x14ac:dyDescent="0.25">
      <c r="A318" t="str">
        <f>"                    Premier Foods PLC"</f>
        <v xml:space="preserve">                    Premier Foods PLC</v>
      </c>
      <c r="B318" t="str">
        <f>"PFD LN Equity"</f>
        <v>PFD LN Equity</v>
      </c>
      <c r="C318" t="str">
        <f t="shared" si="33"/>
        <v>F0946</v>
      </c>
      <c r="D318" t="str">
        <f t="shared" si="34"/>
        <v>TOTAL_GHG_CO2_EMISSIONS</v>
      </c>
      <c r="E318" t="str">
        <f t="shared" si="35"/>
        <v>Dynamic</v>
      </c>
      <c r="F318">
        <f ca="1">IF(AND(ISNUMBER($F$1436),$B$1132=1),$F$1436,HLOOKUP(INDIRECT(ADDRESS(2,COLUMN())),OFFSET($K$2,0,0,ROW()-1,5),ROW()-1,FALSE))</f>
        <v>5.1749001000000003E-2</v>
      </c>
      <c r="G318">
        <f ca="1">IF(AND(ISNUMBER($G$1436),$B$1132=1),$G$1436,HLOOKUP(INDIRECT(ADDRESS(2,COLUMN())),OFFSET($K$2,0,0,ROW()-1,5),ROW()-1,FALSE))</f>
        <v>5.6188000000000002E-2</v>
      </c>
      <c r="H318">
        <f ca="1">IF(AND(ISNUMBER($H$1436),$B$1132=1),$H$1436,HLOOKUP(INDIRECT(ADDRESS(2,COLUMN())),OFFSET($K$2,0,0,ROW()-1,5),ROW()-1,FALSE))</f>
        <v>5.9092200999999997E-2</v>
      </c>
      <c r="I318">
        <f ca="1">IF(AND(ISNUMBER($I$1436),$B$1132=1),$I$1436,HLOOKUP(INDIRECT(ADDRESS(2,COLUMN())),OFFSET($K$2,0,0,ROW()-1,5),ROW()-1,FALSE))</f>
        <v>6.27384E-2</v>
      </c>
      <c r="J318">
        <f ca="1">IF(AND(ISNUMBER($J$1436),$B$1132=1),$J$1436,HLOOKUP(INDIRECT(ADDRESS(2,COLUMN())),OFFSET($K$2,0,0,ROW()-1,5),ROW()-1,FALSE))</f>
        <v>6.6099297000000001E-2</v>
      </c>
      <c r="K318">
        <f>0.051749001</f>
        <v>5.1749001000000003E-2</v>
      </c>
      <c r="L318">
        <f>0.056188</f>
        <v>5.6188000000000002E-2</v>
      </c>
      <c r="M318">
        <f>0.059092201</f>
        <v>5.9092200999999997E-2</v>
      </c>
      <c r="N318">
        <f>0.0627384</f>
        <v>6.27384E-2</v>
      </c>
      <c r="O318">
        <f>0.066099297</f>
        <v>6.6099297000000001E-2</v>
      </c>
    </row>
    <row r="319" spans="1:15" x14ac:dyDescent="0.25">
      <c r="A319" t="str">
        <f>"                    Patanjali Foods Ltd"</f>
        <v xml:space="preserve">                    Patanjali Foods Ltd</v>
      </c>
      <c r="B319" t="str">
        <f>"PATANJAL IN Equity"</f>
        <v>PATANJAL IN Equity</v>
      </c>
      <c r="C319" t="str">
        <f t="shared" si="33"/>
        <v>F0946</v>
      </c>
      <c r="D319" t="str">
        <f t="shared" si="34"/>
        <v>TOTAL_GHG_CO2_EMISSIONS</v>
      </c>
      <c r="E319" t="str">
        <f t="shared" si="35"/>
        <v>Dynamic</v>
      </c>
      <c r="F319" t="str">
        <f ca="1">IF(AND(ISNUMBER($F$1437),$B$1132=1),$F$1437,HLOOKUP(INDIRECT(ADDRESS(2,COLUMN())),OFFSET($K$2,0,0,ROW()-1,5),ROW()-1,FALSE))</f>
        <v/>
      </c>
      <c r="G319" t="str">
        <f ca="1">IF(AND(ISNUMBER($G$1437),$B$1132=1),$G$1437,HLOOKUP(INDIRECT(ADDRESS(2,COLUMN())),OFFSET($K$2,0,0,ROW()-1,5),ROW()-1,FALSE))</f>
        <v/>
      </c>
      <c r="H319" t="str">
        <f ca="1">IF(AND(ISNUMBER($H$1437),$B$1132=1),$H$1437,HLOOKUP(INDIRECT(ADDRESS(2,COLUMN())),OFFSET($K$2,0,0,ROW()-1,5),ROW()-1,FALSE))</f>
        <v/>
      </c>
      <c r="I319" t="str">
        <f ca="1">IF(AND(ISNUMBER($I$1437),$B$1132=1),$I$1437,HLOOKUP(INDIRECT(ADDRESS(2,COLUMN())),OFFSET($K$2,0,0,ROW()-1,5),ROW()-1,FALSE))</f>
        <v/>
      </c>
      <c r="J319" t="str">
        <f ca="1">IF(AND(ISNUMBER($J$1437),$B$1132=1),$J$1437,HLOOKUP(INDIRECT(ADDRESS(2,COLUMN())),OFFSET($K$2,0,0,ROW()-1,5),ROW()-1,FALSE))</f>
        <v/>
      </c>
      <c r="K319" t="str">
        <f>""</f>
        <v/>
      </c>
      <c r="L319" t="str">
        <f>""</f>
        <v/>
      </c>
      <c r="M319" t="str">
        <f>""</f>
        <v/>
      </c>
      <c r="N319" t="str">
        <f>""</f>
        <v/>
      </c>
      <c r="O319" t="str">
        <f>""</f>
        <v/>
      </c>
    </row>
    <row r="320" spans="1:15" x14ac:dyDescent="0.25">
      <c r="A320" t="str">
        <f>"                    PepsiCo Inc"</f>
        <v xml:space="preserve">                    PepsiCo Inc</v>
      </c>
      <c r="B320" t="str">
        <f>"PEP US Equity"</f>
        <v>PEP US Equity</v>
      </c>
      <c r="C320" t="str">
        <f t="shared" si="33"/>
        <v>F0946</v>
      </c>
      <c r="D320" t="str">
        <f t="shared" si="34"/>
        <v>TOTAL_GHG_CO2_EMISSIONS</v>
      </c>
      <c r="E320" t="str">
        <f t="shared" si="35"/>
        <v>Dynamic</v>
      </c>
      <c r="F320" t="str">
        <f ca="1">IF(AND(ISNUMBER($F$1438),$B$1132=1),$F$1438,HLOOKUP(INDIRECT(ADDRESS(2,COLUMN())),OFFSET($K$2,0,0,ROW()-1,5),ROW()-1,FALSE))</f>
        <v/>
      </c>
      <c r="G320">
        <f ca="1">IF(AND(ISNUMBER($G$1438),$B$1132=1),$G$1438,HLOOKUP(INDIRECT(ADDRESS(2,COLUMN())),OFFSET($K$2,0,0,ROW()-1,5),ROW()-1,FALSE))</f>
        <v>5.4078300779999999</v>
      </c>
      <c r="H320">
        <f ca="1">IF(AND(ISNUMBER($H$1438),$B$1132=1),$H$1438,HLOOKUP(INDIRECT(ADDRESS(2,COLUMN())),OFFSET($K$2,0,0,ROW()-1,5),ROW()-1,FALSE))</f>
        <v>5.2723198240000002</v>
      </c>
      <c r="I320">
        <f ca="1">IF(AND(ISNUMBER($I$1438),$B$1132=1),$I$1438,HLOOKUP(INDIRECT(ADDRESS(2,COLUMN())),OFFSET($K$2,0,0,ROW()-1,5),ROW()-1,FALSE))</f>
        <v>5.108939941</v>
      </c>
      <c r="J320">
        <f ca="1">IF(AND(ISNUMBER($J$1438),$B$1132=1),$J$1438,HLOOKUP(INDIRECT(ADDRESS(2,COLUMN())),OFFSET($K$2,0,0,ROW()-1,5),ROW()-1,FALSE))</f>
        <v>5.2072402340000004</v>
      </c>
      <c r="K320" t="str">
        <f>""</f>
        <v/>
      </c>
      <c r="L320">
        <f>5.407830078</f>
        <v>5.4078300779999999</v>
      </c>
      <c r="M320">
        <f>5.272319824</f>
        <v>5.2723198240000002</v>
      </c>
      <c r="N320">
        <f>5.108939941</f>
        <v>5.108939941</v>
      </c>
      <c r="O320">
        <f>5.207240234</f>
        <v>5.2072402340000004</v>
      </c>
    </row>
    <row r="321" spans="1:15" x14ac:dyDescent="0.25">
      <c r="A321" t="str">
        <f>"                    Pilgrim's Pride Corp"</f>
        <v xml:space="preserve">                    Pilgrim's Pride Corp</v>
      </c>
      <c r="B321" t="str">
        <f>"PPC US Equity"</f>
        <v>PPC US Equity</v>
      </c>
      <c r="C321" t="str">
        <f t="shared" si="33"/>
        <v>F0946</v>
      </c>
      <c r="D321" t="str">
        <f t="shared" si="34"/>
        <v>TOTAL_GHG_CO2_EMISSIONS</v>
      </c>
      <c r="E321" t="str">
        <f t="shared" si="35"/>
        <v>Dynamic</v>
      </c>
      <c r="F321" t="str">
        <f ca="1">IF(AND(ISNUMBER($F$1439),$B$1132=1),$F$1439,HLOOKUP(INDIRECT(ADDRESS(2,COLUMN())),OFFSET($K$2,0,0,ROW()-1,5),ROW()-1,FALSE))</f>
        <v/>
      </c>
      <c r="G321">
        <f ca="1">IF(AND(ISNUMBER($G$1439),$B$1132=1),$G$1439,HLOOKUP(INDIRECT(ADDRESS(2,COLUMN())),OFFSET($K$2,0,0,ROW()-1,5),ROW()-1,FALSE))</f>
        <v>1.4667099610000001</v>
      </c>
      <c r="H321">
        <f ca="1">IF(AND(ISNUMBER($H$1439),$B$1132=1),$H$1439,HLOOKUP(INDIRECT(ADDRESS(2,COLUMN())),OFFSET($K$2,0,0,ROW()-1,5),ROW()-1,FALSE))</f>
        <v>1.38097998</v>
      </c>
      <c r="I321">
        <f ca="1">IF(AND(ISNUMBER($I$1439),$B$1132=1),$I$1439,HLOOKUP(INDIRECT(ADDRESS(2,COLUMN())),OFFSET($K$2,0,0,ROW()-1,5),ROW()-1,FALSE))</f>
        <v>1.322910034</v>
      </c>
      <c r="J321">
        <f ca="1">IF(AND(ISNUMBER($J$1439),$B$1132=1),$J$1439,HLOOKUP(INDIRECT(ADDRESS(2,COLUMN())),OFFSET($K$2,0,0,ROW()-1,5),ROW()-1,FALSE))</f>
        <v>1.1533399660000001</v>
      </c>
      <c r="K321" t="str">
        <f>""</f>
        <v/>
      </c>
      <c r="L321">
        <f>1.466709961</f>
        <v>1.4667099610000001</v>
      </c>
      <c r="M321">
        <f>1.38097998</f>
        <v>1.38097998</v>
      </c>
      <c r="N321">
        <f>1.322910034</f>
        <v>1.322910034</v>
      </c>
      <c r="O321">
        <f>1.153339966</f>
        <v>1.1533399660000001</v>
      </c>
    </row>
    <row r="322" spans="1:15" x14ac:dyDescent="0.25">
      <c r="A322" t="str">
        <f>"                    Chacha Food Co Ltd"</f>
        <v xml:space="preserve">                    Chacha Food Co Ltd</v>
      </c>
      <c r="B322" t="str">
        <f>"002557 CH Equity"</f>
        <v>002557 CH Equity</v>
      </c>
      <c r="C322" t="str">
        <f t="shared" si="33"/>
        <v>F0946</v>
      </c>
      <c r="D322" t="str">
        <f t="shared" si="34"/>
        <v>TOTAL_GHG_CO2_EMISSIONS</v>
      </c>
      <c r="E322" t="str">
        <f t="shared" si="35"/>
        <v>Dynamic</v>
      </c>
      <c r="F322" t="str">
        <f ca="1">IF(AND(ISNUMBER($F$1440),$B$1132=1),$F$1440,HLOOKUP(INDIRECT(ADDRESS(2,COLUMN())),OFFSET($K$2,0,0,ROW()-1,5),ROW()-1,FALSE))</f>
        <v/>
      </c>
      <c r="G322" t="str">
        <f ca="1">IF(AND(ISNUMBER($G$1440),$B$1132=1),$G$1440,HLOOKUP(INDIRECT(ADDRESS(2,COLUMN())),OFFSET($K$2,0,0,ROW()-1,5),ROW()-1,FALSE))</f>
        <v/>
      </c>
      <c r="H322" t="str">
        <f ca="1">IF(AND(ISNUMBER($H$1440),$B$1132=1),$H$1440,HLOOKUP(INDIRECT(ADDRESS(2,COLUMN())),OFFSET($K$2,0,0,ROW()-1,5),ROW()-1,FALSE))</f>
        <v/>
      </c>
      <c r="I322" t="str">
        <f ca="1">IF(AND(ISNUMBER($I$1440),$B$1132=1),$I$1440,HLOOKUP(INDIRECT(ADDRESS(2,COLUMN())),OFFSET($K$2,0,0,ROW()-1,5),ROW()-1,FALSE))</f>
        <v/>
      </c>
      <c r="J322" t="str">
        <f ca="1">IF(AND(ISNUMBER($J$1440),$B$1132=1),$J$1440,HLOOKUP(INDIRECT(ADDRESS(2,COLUMN())),OFFSET($K$2,0,0,ROW()-1,5),ROW()-1,FALSE))</f>
        <v/>
      </c>
      <c r="K322" t="str">
        <f>""</f>
        <v/>
      </c>
      <c r="L322" t="str">
        <f>""</f>
        <v/>
      </c>
      <c r="M322" t="str">
        <f>""</f>
        <v/>
      </c>
      <c r="N322" t="str">
        <f>""</f>
        <v/>
      </c>
      <c r="O322" t="str">
        <f>""</f>
        <v/>
      </c>
    </row>
    <row r="323" spans="1:15" x14ac:dyDescent="0.25">
      <c r="A323" t="str">
        <f>"                    Remgro Ltd"</f>
        <v xml:space="preserve">                    Remgro Ltd</v>
      </c>
      <c r="B323" t="str">
        <f>"REM SJ Equity"</f>
        <v>REM SJ Equity</v>
      </c>
      <c r="C323" t="str">
        <f t="shared" si="33"/>
        <v>F0946</v>
      </c>
      <c r="D323" t="str">
        <f t="shared" si="34"/>
        <v>TOTAL_GHG_CO2_EMISSIONS</v>
      </c>
      <c r="E323" t="str">
        <f t="shared" si="35"/>
        <v>Dynamic</v>
      </c>
      <c r="F323" t="str">
        <f ca="1">IF(AND(ISNUMBER($F$1441),$B$1132=1),$F$1441,HLOOKUP(INDIRECT(ADDRESS(2,COLUMN())),OFFSET($K$2,0,0,ROW()-1,5),ROW()-1,FALSE))</f>
        <v/>
      </c>
      <c r="G323">
        <f ca="1">IF(AND(ISNUMBER($G$1441),$B$1132=1),$G$1441,HLOOKUP(INDIRECT(ADDRESS(2,COLUMN())),OFFSET($K$2,0,0,ROW()-1,5),ROW()-1,FALSE))</f>
        <v>1.074410034</v>
      </c>
      <c r="H323">
        <f ca="1">IF(AND(ISNUMBER($H$1441),$B$1132=1),$H$1441,HLOOKUP(INDIRECT(ADDRESS(2,COLUMN())),OFFSET($K$2,0,0,ROW()-1,5),ROW()-1,FALSE))</f>
        <v>0.84692401100000003</v>
      </c>
      <c r="I323">
        <f ca="1">IF(AND(ISNUMBER($I$1441),$B$1132=1),$I$1441,HLOOKUP(INDIRECT(ADDRESS(2,COLUMN())),OFFSET($K$2,0,0,ROW()-1,5),ROW()-1,FALSE))</f>
        <v>0.83462701399999994</v>
      </c>
      <c r="J323">
        <f ca="1">IF(AND(ISNUMBER($J$1441),$B$1132=1),$J$1441,HLOOKUP(INDIRECT(ADDRESS(2,COLUMN())),OFFSET($K$2,0,0,ROW()-1,5),ROW()-1,FALSE))</f>
        <v>1.157359985</v>
      </c>
      <c r="K323" t="str">
        <f>""</f>
        <v/>
      </c>
      <c r="L323">
        <f>1.074410034</f>
        <v>1.074410034</v>
      </c>
      <c r="M323">
        <f>0.846924011</f>
        <v>0.84692401100000003</v>
      </c>
      <c r="N323">
        <f>0.834627014</f>
        <v>0.83462701399999994</v>
      </c>
      <c r="O323">
        <f>1.157359985</f>
        <v>1.157359985</v>
      </c>
    </row>
    <row r="324" spans="1:15" x14ac:dyDescent="0.25">
      <c r="A324" t="str">
        <f>"                    Sanquan Food Co Ltd"</f>
        <v xml:space="preserve">                    Sanquan Food Co Ltd</v>
      </c>
      <c r="B324" t="str">
        <f>"002216 CH Equity"</f>
        <v>002216 CH Equity</v>
      </c>
      <c r="C324" t="str">
        <f t="shared" si="33"/>
        <v>F0946</v>
      </c>
      <c r="D324" t="str">
        <f t="shared" si="34"/>
        <v>TOTAL_GHG_CO2_EMISSIONS</v>
      </c>
      <c r="E324" t="str">
        <f t="shared" si="35"/>
        <v>Dynamic</v>
      </c>
      <c r="F324" t="str">
        <f ca="1">IF(AND(ISNUMBER($F$1442),$B$1132=1),$F$1442,HLOOKUP(INDIRECT(ADDRESS(2,COLUMN())),OFFSET($K$2,0,0,ROW()-1,5),ROW()-1,FALSE))</f>
        <v/>
      </c>
      <c r="G324" t="str">
        <f ca="1">IF(AND(ISNUMBER($G$1442),$B$1132=1),$G$1442,HLOOKUP(INDIRECT(ADDRESS(2,COLUMN())),OFFSET($K$2,0,0,ROW()-1,5),ROW()-1,FALSE))</f>
        <v/>
      </c>
      <c r="H324" t="str">
        <f ca="1">IF(AND(ISNUMBER($H$1442),$B$1132=1),$H$1442,HLOOKUP(INDIRECT(ADDRESS(2,COLUMN())),OFFSET($K$2,0,0,ROW()-1,5),ROW()-1,FALSE))</f>
        <v/>
      </c>
      <c r="I324" t="str">
        <f ca="1">IF(AND(ISNUMBER($I$1442),$B$1132=1),$I$1442,HLOOKUP(INDIRECT(ADDRESS(2,COLUMN())),OFFSET($K$2,0,0,ROW()-1,5),ROW()-1,FALSE))</f>
        <v/>
      </c>
      <c r="J324" t="str">
        <f ca="1">IF(AND(ISNUMBER($J$1442),$B$1132=1),$J$1442,HLOOKUP(INDIRECT(ADDRESS(2,COLUMN())),OFFSET($K$2,0,0,ROW()-1,5),ROW()-1,FALSE))</f>
        <v/>
      </c>
      <c r="K324" t="str">
        <f>""</f>
        <v/>
      </c>
      <c r="L324" t="str">
        <f>""</f>
        <v/>
      </c>
      <c r="M324" t="str">
        <f>""</f>
        <v/>
      </c>
      <c r="N324" t="str">
        <f>""</f>
        <v/>
      </c>
      <c r="O324" t="str">
        <f>""</f>
        <v/>
      </c>
    </row>
    <row r="325" spans="1:15" x14ac:dyDescent="0.25">
      <c r="A325" t="str">
        <f>"                    Saputo Inc"</f>
        <v xml:space="preserve">                    Saputo Inc</v>
      </c>
      <c r="B325" t="str">
        <f>"SAP CN Equity"</f>
        <v>SAP CN Equity</v>
      </c>
      <c r="C325" t="str">
        <f t="shared" si="33"/>
        <v>F0946</v>
      </c>
      <c r="D325" t="str">
        <f t="shared" si="34"/>
        <v>TOTAL_GHG_CO2_EMISSIONS</v>
      </c>
      <c r="E325" t="str">
        <f t="shared" si="35"/>
        <v>Dynamic</v>
      </c>
      <c r="F325" t="str">
        <f ca="1">IF(AND(ISNUMBER($F$1443),$B$1132=1),$F$1443,HLOOKUP(INDIRECT(ADDRESS(2,COLUMN())),OFFSET($K$2,0,0,ROW()-1,5),ROW()-1,FALSE))</f>
        <v/>
      </c>
      <c r="G325">
        <f ca="1">IF(AND(ISNUMBER($G$1443),$B$1132=1),$G$1443,HLOOKUP(INDIRECT(ADDRESS(2,COLUMN())),OFFSET($K$2,0,0,ROW()-1,5),ROW()-1,FALSE))</f>
        <v>1.0114400020000001</v>
      </c>
      <c r="H325">
        <f ca="1">IF(AND(ISNUMBER($H$1443),$B$1132=1),$H$1443,HLOOKUP(INDIRECT(ADDRESS(2,COLUMN())),OFFSET($K$2,0,0,ROW()-1,5),ROW()-1,FALSE))</f>
        <v>1.006969971</v>
      </c>
      <c r="I325">
        <f ca="1">IF(AND(ISNUMBER($I$1443),$B$1132=1),$I$1443,HLOOKUP(INDIRECT(ADDRESS(2,COLUMN())),OFFSET($K$2,0,0,ROW()-1,5),ROW()-1,FALSE))</f>
        <v>1.066030029</v>
      </c>
      <c r="J325">
        <f ca="1">IF(AND(ISNUMBER($J$1443),$B$1132=1),$J$1443,HLOOKUP(INDIRECT(ADDRESS(2,COLUMN())),OFFSET($K$2,0,0,ROW()-1,5),ROW()-1,FALSE))</f>
        <v>1.0002000120000001</v>
      </c>
      <c r="K325" t="str">
        <f>""</f>
        <v/>
      </c>
      <c r="L325">
        <f>1.011440002</f>
        <v>1.0114400020000001</v>
      </c>
      <c r="M325">
        <f>1.006969971</f>
        <v>1.006969971</v>
      </c>
      <c r="N325">
        <f>1.066030029</f>
        <v>1.066030029</v>
      </c>
      <c r="O325">
        <f>1.000200012</f>
        <v>1.0002000120000001</v>
      </c>
    </row>
    <row r="326" spans="1:15" x14ac:dyDescent="0.25">
      <c r="A326" t="str">
        <f>"                    Savencia SA"</f>
        <v xml:space="preserve">                    Savencia SA</v>
      </c>
      <c r="B326" t="str">
        <f>"SAVE FP Equity"</f>
        <v>SAVE FP Equity</v>
      </c>
      <c r="C326" t="str">
        <f t="shared" si="33"/>
        <v>F0946</v>
      </c>
      <c r="D326" t="str">
        <f t="shared" si="34"/>
        <v>TOTAL_GHG_CO2_EMISSIONS</v>
      </c>
      <c r="E326" t="str">
        <f t="shared" si="35"/>
        <v>Dynamic</v>
      </c>
      <c r="F326" t="str">
        <f ca="1">IF(AND(ISNUMBER($F$1444),$B$1132=1),$F$1444,HLOOKUP(INDIRECT(ADDRESS(2,COLUMN())),OFFSET($K$2,0,0,ROW()-1,5),ROW()-1,FALSE))</f>
        <v/>
      </c>
      <c r="G326" t="str">
        <f ca="1">IF(AND(ISNUMBER($G$1444),$B$1132=1),$G$1444,HLOOKUP(INDIRECT(ADDRESS(2,COLUMN())),OFFSET($K$2,0,0,ROW()-1,5),ROW()-1,FALSE))</f>
        <v/>
      </c>
      <c r="H326" t="str">
        <f ca="1">IF(AND(ISNUMBER($H$1444),$B$1132=1),$H$1444,HLOOKUP(INDIRECT(ADDRESS(2,COLUMN())),OFFSET($K$2,0,0,ROW()-1,5),ROW()-1,FALSE))</f>
        <v/>
      </c>
      <c r="I326" t="str">
        <f ca="1">IF(AND(ISNUMBER($I$1444),$B$1132=1),$I$1444,HLOOKUP(INDIRECT(ADDRESS(2,COLUMN())),OFFSET($K$2,0,0,ROW()-1,5),ROW()-1,FALSE))</f>
        <v/>
      </c>
      <c r="J326" t="str">
        <f ca="1">IF(AND(ISNUMBER($J$1444),$B$1132=1),$J$1444,HLOOKUP(INDIRECT(ADDRESS(2,COLUMN())),OFFSET($K$2,0,0,ROW()-1,5),ROW()-1,FALSE))</f>
        <v/>
      </c>
      <c r="K326" t="str">
        <f>""</f>
        <v/>
      </c>
      <c r="L326" t="str">
        <f>""</f>
        <v/>
      </c>
      <c r="M326" t="str">
        <f>""</f>
        <v/>
      </c>
      <c r="N326" t="str">
        <f>""</f>
        <v/>
      </c>
      <c r="O326" t="str">
        <f>""</f>
        <v/>
      </c>
    </row>
    <row r="327" spans="1:15" x14ac:dyDescent="0.25">
      <c r="A327" t="str">
        <f>"                    Shandong Minhe Animal Husbandr"</f>
        <v xml:space="preserve">                    Shandong Minhe Animal Husbandr</v>
      </c>
      <c r="B327" t="str">
        <f>"002234 CH Equity"</f>
        <v>002234 CH Equity</v>
      </c>
      <c r="C327" t="str">
        <f t="shared" si="33"/>
        <v>F0946</v>
      </c>
      <c r="D327" t="str">
        <f t="shared" si="34"/>
        <v>TOTAL_GHG_CO2_EMISSIONS</v>
      </c>
      <c r="E327" t="str">
        <f t="shared" si="35"/>
        <v>Dynamic</v>
      </c>
      <c r="F327" t="str">
        <f ca="1">IF(AND(ISNUMBER($F$1445),$B$1132=1),$F$1445,HLOOKUP(INDIRECT(ADDRESS(2,COLUMN())),OFFSET($K$2,0,0,ROW()-1,5),ROW()-1,FALSE))</f>
        <v/>
      </c>
      <c r="G327" t="str">
        <f ca="1">IF(AND(ISNUMBER($G$1445),$B$1132=1),$G$1445,HLOOKUP(INDIRECT(ADDRESS(2,COLUMN())),OFFSET($K$2,0,0,ROW()-1,5),ROW()-1,FALSE))</f>
        <v/>
      </c>
      <c r="H327" t="str">
        <f ca="1">IF(AND(ISNUMBER($H$1445),$B$1132=1),$H$1445,HLOOKUP(INDIRECT(ADDRESS(2,COLUMN())),OFFSET($K$2,0,0,ROW()-1,5),ROW()-1,FALSE))</f>
        <v/>
      </c>
      <c r="I327" t="str">
        <f ca="1">IF(AND(ISNUMBER($I$1445),$B$1132=1),$I$1445,HLOOKUP(INDIRECT(ADDRESS(2,COLUMN())),OFFSET($K$2,0,0,ROW()-1,5),ROW()-1,FALSE))</f>
        <v/>
      </c>
      <c r="J327" t="str">
        <f ca="1">IF(AND(ISNUMBER($J$1445),$B$1132=1),$J$1445,HLOOKUP(INDIRECT(ADDRESS(2,COLUMN())),OFFSET($K$2,0,0,ROW()-1,5),ROW()-1,FALSE))</f>
        <v/>
      </c>
      <c r="K327" t="str">
        <f>""</f>
        <v/>
      </c>
      <c r="L327" t="str">
        <f>""</f>
        <v/>
      </c>
      <c r="M327" t="str">
        <f>""</f>
        <v/>
      </c>
      <c r="N327" t="str">
        <f>""</f>
        <v/>
      </c>
      <c r="O327" t="str">
        <f>""</f>
        <v/>
      </c>
    </row>
    <row r="328" spans="1:15" x14ac:dyDescent="0.25">
      <c r="A328" t="str">
        <f>"                    Suedzucker AG"</f>
        <v xml:space="preserve">                    Suedzucker AG</v>
      </c>
      <c r="B328" t="str">
        <f>"SZU GR Equity"</f>
        <v>SZU GR Equity</v>
      </c>
      <c r="C328" t="str">
        <f t="shared" si="33"/>
        <v>F0946</v>
      </c>
      <c r="D328" t="str">
        <f t="shared" si="34"/>
        <v>TOTAL_GHG_CO2_EMISSIONS</v>
      </c>
      <c r="E328" t="str">
        <f t="shared" si="35"/>
        <v>Dynamic</v>
      </c>
      <c r="F328">
        <f ca="1">IF(AND(ISNUMBER($F$1446),$B$1132=1),$F$1446,HLOOKUP(INDIRECT(ADDRESS(2,COLUMN())),OFFSET($K$2,0,0,ROW()-1,5),ROW()-1,FALSE))</f>
        <v>3</v>
      </c>
      <c r="G328">
        <f ca="1">IF(AND(ISNUMBER($G$1446),$B$1132=1),$G$1446,HLOOKUP(INDIRECT(ADDRESS(2,COLUMN())),OFFSET($K$2,0,0,ROW()-1,5),ROW()-1,FALSE))</f>
        <v>2.9</v>
      </c>
      <c r="H328">
        <f ca="1">IF(AND(ISNUMBER($H$1446),$B$1132=1),$H$1446,HLOOKUP(INDIRECT(ADDRESS(2,COLUMN())),OFFSET($K$2,0,0,ROW()-1,5),ROW()-1,FALSE))</f>
        <v>3.1</v>
      </c>
      <c r="I328" t="str">
        <f ca="1">IF(AND(ISNUMBER($I$1446),$B$1132=1),$I$1446,HLOOKUP(INDIRECT(ADDRESS(2,COLUMN())),OFFSET($K$2,0,0,ROW()-1,5),ROW()-1,FALSE))</f>
        <v/>
      </c>
      <c r="J328" t="str">
        <f ca="1">IF(AND(ISNUMBER($J$1446),$B$1132=1),$J$1446,HLOOKUP(INDIRECT(ADDRESS(2,COLUMN())),OFFSET($K$2,0,0,ROW()-1,5),ROW()-1,FALSE))</f>
        <v/>
      </c>
      <c r="K328">
        <f>3</f>
        <v>3</v>
      </c>
      <c r="L328">
        <f>2.9</f>
        <v>2.9</v>
      </c>
      <c r="M328">
        <f>3.1</f>
        <v>3.1</v>
      </c>
      <c r="N328" t="str">
        <f>""</f>
        <v/>
      </c>
      <c r="O328" t="str">
        <f>""</f>
        <v/>
      </c>
    </row>
    <row r="329" spans="1:15" x14ac:dyDescent="0.25">
      <c r="A329" t="str">
        <f>"                    Thai Union Group PCL"</f>
        <v xml:space="preserve">                    Thai Union Group PCL</v>
      </c>
      <c r="B329" t="str">
        <f>"TU TB Equity"</f>
        <v>TU TB Equity</v>
      </c>
      <c r="C329" t="str">
        <f t="shared" si="33"/>
        <v>F0946</v>
      </c>
      <c r="D329" t="str">
        <f t="shared" si="34"/>
        <v>TOTAL_GHG_CO2_EMISSIONS</v>
      </c>
      <c r="E329" t="str">
        <f t="shared" si="35"/>
        <v>Dynamic</v>
      </c>
      <c r="F329" t="str">
        <f ca="1">IF(AND(ISNUMBER($F$1447),$B$1132=1),$F$1447,HLOOKUP(INDIRECT(ADDRESS(2,COLUMN())),OFFSET($K$2,0,0,ROW()-1,5),ROW()-1,FALSE))</f>
        <v/>
      </c>
      <c r="G329">
        <f ca="1">IF(AND(ISNUMBER($G$1447),$B$1132=1),$G$1447,HLOOKUP(INDIRECT(ADDRESS(2,COLUMN())),OFFSET($K$2,0,0,ROW()-1,5),ROW()-1,FALSE))</f>
        <v>0.51161099200000004</v>
      </c>
      <c r="H329">
        <f ca="1">IF(AND(ISNUMBER($H$1447),$B$1132=1),$H$1447,HLOOKUP(INDIRECT(ADDRESS(2,COLUMN())),OFFSET($K$2,0,0,ROW()-1,5),ROW()-1,FALSE))</f>
        <v>0.49447601299999999</v>
      </c>
      <c r="I329">
        <f ca="1">IF(AND(ISNUMBER($I$1447),$B$1132=1),$I$1447,HLOOKUP(INDIRECT(ADDRESS(2,COLUMN())),OFFSET($K$2,0,0,ROW()-1,5),ROW()-1,FALSE))</f>
        <v>0.51063800000000004</v>
      </c>
      <c r="J329">
        <f ca="1">IF(AND(ISNUMBER($J$1447),$B$1132=1),$J$1447,HLOOKUP(INDIRECT(ADDRESS(2,COLUMN())),OFFSET($K$2,0,0,ROW()-1,5),ROW()-1,FALSE))</f>
        <v>0.53963000500000002</v>
      </c>
      <c r="K329" t="str">
        <f>""</f>
        <v/>
      </c>
      <c r="L329">
        <f>0.511610992</f>
        <v>0.51161099200000004</v>
      </c>
      <c r="M329">
        <f>0.494476013</f>
        <v>0.49447601299999999</v>
      </c>
      <c r="N329">
        <f>0.510638</f>
        <v>0.51063800000000004</v>
      </c>
      <c r="O329">
        <f>0.539630005</f>
        <v>0.53963000500000002</v>
      </c>
    </row>
    <row r="330" spans="1:15" x14ac:dyDescent="0.25">
      <c r="A330" t="str">
        <f>"                    Tiger Brands Ltd"</f>
        <v xml:space="preserve">                    Tiger Brands Ltd</v>
      </c>
      <c r="B330" t="str">
        <f>"TBS SJ Equity"</f>
        <v>TBS SJ Equity</v>
      </c>
      <c r="C330" t="str">
        <f t="shared" si="33"/>
        <v>F0946</v>
      </c>
      <c r="D330" t="str">
        <f t="shared" si="34"/>
        <v>TOTAL_GHG_CO2_EMISSIONS</v>
      </c>
      <c r="E330" t="str">
        <f t="shared" si="35"/>
        <v>Dynamic</v>
      </c>
      <c r="F330">
        <f ca="1">IF(AND(ISNUMBER($F$1448),$B$1132=1),$F$1448,HLOOKUP(INDIRECT(ADDRESS(2,COLUMN())),OFFSET($K$2,0,0,ROW()-1,5),ROW()-1,FALSE))</f>
        <v>0.41726001000000001</v>
      </c>
      <c r="G330">
        <f ca="1">IF(AND(ISNUMBER($G$1448),$B$1132=1),$G$1448,HLOOKUP(INDIRECT(ADDRESS(2,COLUMN())),OFFSET($K$2,0,0,ROW()-1,5),ROW()-1,FALSE))</f>
        <v>0.44118200699999999</v>
      </c>
      <c r="H330">
        <f ca="1">IF(AND(ISNUMBER($H$1448),$B$1132=1),$H$1448,HLOOKUP(INDIRECT(ADDRESS(2,COLUMN())),OFFSET($K$2,0,0,ROW()-1,5),ROW()-1,FALSE))</f>
        <v>0.63077600099999998</v>
      </c>
      <c r="I330" t="str">
        <f ca="1">IF(AND(ISNUMBER($I$1448),$B$1132=1),$I$1448,HLOOKUP(INDIRECT(ADDRESS(2,COLUMN())),OFFSET($K$2,0,0,ROW()-1,5),ROW()-1,FALSE))</f>
        <v/>
      </c>
      <c r="J330">
        <f ca="1">IF(AND(ISNUMBER($J$1448),$B$1132=1),$J$1448,HLOOKUP(INDIRECT(ADDRESS(2,COLUMN())),OFFSET($K$2,0,0,ROW()-1,5),ROW()-1,FALSE))</f>
        <v>0.52245397999999998</v>
      </c>
      <c r="K330">
        <f>0.41726001</f>
        <v>0.41726001000000001</v>
      </c>
      <c r="L330">
        <f>0.441182007</f>
        <v>0.44118200699999999</v>
      </c>
      <c r="M330">
        <f>0.630776001</f>
        <v>0.63077600099999998</v>
      </c>
      <c r="N330" t="str">
        <f>""</f>
        <v/>
      </c>
      <c r="O330">
        <f>0.52245398</f>
        <v>0.52245397999999998</v>
      </c>
    </row>
    <row r="331" spans="1:15" x14ac:dyDescent="0.25">
      <c r="A331" t="str">
        <f>"                    TreeHouse Foods Inc"</f>
        <v xml:space="preserve">                    TreeHouse Foods Inc</v>
      </c>
      <c r="B331" t="str">
        <f>"THS US Equity"</f>
        <v>THS US Equity</v>
      </c>
      <c r="C331" t="str">
        <f t="shared" si="33"/>
        <v>F0946</v>
      </c>
      <c r="D331" t="str">
        <f t="shared" si="34"/>
        <v>TOTAL_GHG_CO2_EMISSIONS</v>
      </c>
      <c r="E331" t="str">
        <f t="shared" si="35"/>
        <v>Dynamic</v>
      </c>
      <c r="F331" t="str">
        <f ca="1">IF(AND(ISNUMBER($F$1449),$B$1132=1),$F$1449,HLOOKUP(INDIRECT(ADDRESS(2,COLUMN())),OFFSET($K$2,0,0,ROW()-1,5),ROW()-1,FALSE))</f>
        <v/>
      </c>
      <c r="G331">
        <f ca="1">IF(AND(ISNUMBER($G$1449),$B$1132=1),$G$1449,HLOOKUP(INDIRECT(ADDRESS(2,COLUMN())),OFFSET($K$2,0,0,ROW()-1,5),ROW()-1,FALSE))</f>
        <v>0.36013299599999998</v>
      </c>
      <c r="H331">
        <f ca="1">IF(AND(ISNUMBER($H$1449),$B$1132=1),$H$1449,HLOOKUP(INDIRECT(ADDRESS(2,COLUMN())),OFFSET($K$2,0,0,ROW()-1,5),ROW()-1,FALSE))</f>
        <v>0.38195199600000002</v>
      </c>
      <c r="I331">
        <f ca="1">IF(AND(ISNUMBER($I$1449),$B$1132=1),$I$1449,HLOOKUP(INDIRECT(ADDRESS(2,COLUMN())),OFFSET($K$2,0,0,ROW()-1,5),ROW()-1,FALSE))</f>
        <v>0.40904800400000002</v>
      </c>
      <c r="J331">
        <f ca="1">IF(AND(ISNUMBER($J$1449),$B$1132=1),$J$1449,HLOOKUP(INDIRECT(ADDRESS(2,COLUMN())),OFFSET($K$2,0,0,ROW()-1,5),ROW()-1,FALSE))</f>
        <v>0.45090100100000002</v>
      </c>
      <c r="K331" t="str">
        <f>""</f>
        <v/>
      </c>
      <c r="L331">
        <f>0.360132996</f>
        <v>0.36013299599999998</v>
      </c>
      <c r="M331">
        <f>0.381951996</f>
        <v>0.38195199600000002</v>
      </c>
      <c r="N331">
        <f>0.409048004</f>
        <v>0.40904800400000002</v>
      </c>
      <c r="O331">
        <f>0.450901001</f>
        <v>0.45090100100000002</v>
      </c>
    </row>
    <row r="332" spans="1:15" x14ac:dyDescent="0.25">
      <c r="A332" t="str">
        <f>"                    Tootsie Roll Industries Inc"</f>
        <v xml:space="preserve">                    Tootsie Roll Industries Inc</v>
      </c>
      <c r="B332" t="str">
        <f>"TR US Equity"</f>
        <v>TR US Equity</v>
      </c>
      <c r="C332" t="str">
        <f t="shared" si="33"/>
        <v>F0946</v>
      </c>
      <c r="D332" t="str">
        <f t="shared" si="34"/>
        <v>TOTAL_GHG_CO2_EMISSIONS</v>
      </c>
      <c r="E332" t="str">
        <f t="shared" si="35"/>
        <v>Dynamic</v>
      </c>
      <c r="F332" t="str">
        <f ca="1">IF(AND(ISNUMBER($F$1450),$B$1132=1),$F$1450,HLOOKUP(INDIRECT(ADDRESS(2,COLUMN())),OFFSET($K$2,0,0,ROW()-1,5),ROW()-1,FALSE))</f>
        <v/>
      </c>
      <c r="G332" t="str">
        <f ca="1">IF(AND(ISNUMBER($G$1450),$B$1132=1),$G$1450,HLOOKUP(INDIRECT(ADDRESS(2,COLUMN())),OFFSET($K$2,0,0,ROW()-1,5),ROW()-1,FALSE))</f>
        <v/>
      </c>
      <c r="H332" t="str">
        <f ca="1">IF(AND(ISNUMBER($H$1450),$B$1132=1),$H$1450,HLOOKUP(INDIRECT(ADDRESS(2,COLUMN())),OFFSET($K$2,0,0,ROW()-1,5),ROW()-1,FALSE))</f>
        <v/>
      </c>
      <c r="I332" t="str">
        <f ca="1">IF(AND(ISNUMBER($I$1450),$B$1132=1),$I$1450,HLOOKUP(INDIRECT(ADDRESS(2,COLUMN())),OFFSET($K$2,0,0,ROW()-1,5),ROW()-1,FALSE))</f>
        <v/>
      </c>
      <c r="J332" t="str">
        <f ca="1">IF(AND(ISNUMBER($J$1450),$B$1132=1),$J$1450,HLOOKUP(INDIRECT(ADDRESS(2,COLUMN())),OFFSET($K$2,0,0,ROW()-1,5),ROW()-1,FALSE))</f>
        <v/>
      </c>
      <c r="K332" t="str">
        <f>""</f>
        <v/>
      </c>
      <c r="L332" t="str">
        <f>""</f>
        <v/>
      </c>
      <c r="M332" t="str">
        <f>""</f>
        <v/>
      </c>
      <c r="N332" t="str">
        <f>""</f>
        <v/>
      </c>
      <c r="O332" t="str">
        <f>""</f>
        <v/>
      </c>
    </row>
    <row r="333" spans="1:15" x14ac:dyDescent="0.25">
      <c r="A333" t="str">
        <f>"                    Toyo Suisan Kaisha Ltd"</f>
        <v xml:space="preserve">                    Toyo Suisan Kaisha Ltd</v>
      </c>
      <c r="B333" t="str">
        <f>"2875 JP Equity"</f>
        <v>2875 JP Equity</v>
      </c>
      <c r="C333" t="str">
        <f t="shared" si="33"/>
        <v>F0946</v>
      </c>
      <c r="D333" t="str">
        <f t="shared" si="34"/>
        <v>TOTAL_GHG_CO2_EMISSIONS</v>
      </c>
      <c r="E333" t="str">
        <f t="shared" si="35"/>
        <v>Dynamic</v>
      </c>
      <c r="F333" t="str">
        <f ca="1">IF(AND(ISNUMBER($F$1451),$B$1132=1),$F$1451,HLOOKUP(INDIRECT(ADDRESS(2,COLUMN())),OFFSET($K$2,0,0,ROW()-1,5),ROW()-1,FALSE))</f>
        <v/>
      </c>
      <c r="G333">
        <f ca="1">IF(AND(ISNUMBER($G$1451),$B$1132=1),$G$1451,HLOOKUP(INDIRECT(ADDRESS(2,COLUMN())),OFFSET($K$2,0,0,ROW()-1,5),ROW()-1,FALSE))</f>
        <v>0.313</v>
      </c>
      <c r="H333">
        <f ca="1">IF(AND(ISNUMBER($H$1451),$B$1132=1),$H$1451,HLOOKUP(INDIRECT(ADDRESS(2,COLUMN())),OFFSET($K$2,0,0,ROW()-1,5),ROW()-1,FALSE))</f>
        <v>0.28725000000000001</v>
      </c>
      <c r="I333">
        <f ca="1">IF(AND(ISNUMBER($I$1451),$B$1132=1),$I$1451,HLOOKUP(INDIRECT(ADDRESS(2,COLUMN())),OFFSET($K$2,0,0,ROW()-1,5),ROW()-1,FALSE))</f>
        <v>0.31900000000000001</v>
      </c>
      <c r="J333">
        <f ca="1">IF(AND(ISNUMBER($J$1451),$B$1132=1),$J$1451,HLOOKUP(INDIRECT(ADDRESS(2,COLUMN())),OFFSET($K$2,0,0,ROW()-1,5),ROW()-1,FALSE))</f>
        <v>0.32100000000000001</v>
      </c>
      <c r="K333" t="str">
        <f>""</f>
        <v/>
      </c>
      <c r="L333">
        <f>0.313</f>
        <v>0.313</v>
      </c>
      <c r="M333">
        <f>0.28725</f>
        <v>0.28725000000000001</v>
      </c>
      <c r="N333">
        <f>0.319</f>
        <v>0.31900000000000001</v>
      </c>
      <c r="O333">
        <f>0.321</f>
        <v>0.32100000000000001</v>
      </c>
    </row>
    <row r="334" spans="1:15" x14ac:dyDescent="0.25">
      <c r="A334" t="str">
        <f>"                    Tyson Foods Inc"</f>
        <v xml:space="preserve">                    Tyson Foods Inc</v>
      </c>
      <c r="B334" t="str">
        <f>"TSN US Equity"</f>
        <v>TSN US Equity</v>
      </c>
      <c r="C334" t="str">
        <f t="shared" si="33"/>
        <v>F0946</v>
      </c>
      <c r="D334" t="str">
        <f t="shared" si="34"/>
        <v>TOTAL_GHG_CO2_EMISSIONS</v>
      </c>
      <c r="E334" t="str">
        <f t="shared" si="35"/>
        <v>Dynamic</v>
      </c>
      <c r="F334" t="str">
        <f ca="1">IF(AND(ISNUMBER($F$1452),$B$1132=1),$F$1452,HLOOKUP(INDIRECT(ADDRESS(2,COLUMN())),OFFSET($K$2,0,0,ROW()-1,5),ROW()-1,FALSE))</f>
        <v/>
      </c>
      <c r="G334">
        <f ca="1">IF(AND(ISNUMBER($G$1452),$B$1132=1),$G$1452,HLOOKUP(INDIRECT(ADDRESS(2,COLUMN())),OFFSET($K$2,0,0,ROW()-1,5),ROW()-1,FALSE))</f>
        <v>5.7825698240000003</v>
      </c>
      <c r="H334">
        <f ca="1">IF(AND(ISNUMBER($H$1452),$B$1132=1),$H$1452,HLOOKUP(INDIRECT(ADDRESS(2,COLUMN())),OFFSET($K$2,0,0,ROW()-1,5),ROW()-1,FALSE))</f>
        <v>6.1747402339999997</v>
      </c>
      <c r="I334">
        <f ca="1">IF(AND(ISNUMBER($I$1452),$B$1132=1),$I$1452,HLOOKUP(INDIRECT(ADDRESS(2,COLUMN())),OFFSET($K$2,0,0,ROW()-1,5),ROW()-1,FALSE))</f>
        <v>5.7371401369999999</v>
      </c>
      <c r="J334">
        <f ca="1">IF(AND(ISNUMBER($J$1452),$B$1132=1),$J$1452,HLOOKUP(INDIRECT(ADDRESS(2,COLUMN())),OFFSET($K$2,0,0,ROW()-1,5),ROW()-1,FALSE))</f>
        <v>6.2235800780000003</v>
      </c>
      <c r="K334" t="str">
        <f>""</f>
        <v/>
      </c>
      <c r="L334">
        <f>5.782569824</f>
        <v>5.7825698240000003</v>
      </c>
      <c r="M334">
        <f>6.174740234</f>
        <v>6.1747402339999997</v>
      </c>
      <c r="N334">
        <f>5.737140137</f>
        <v>5.7371401369999999</v>
      </c>
      <c r="O334">
        <f>6.223580078</f>
        <v>6.2235800780000003</v>
      </c>
    </row>
    <row r="335" spans="1:15" x14ac:dyDescent="0.25">
      <c r="A335" t="str">
        <f>"                    Ulker Biskuvi Sanayi AS"</f>
        <v xml:space="preserve">                    Ulker Biskuvi Sanayi AS</v>
      </c>
      <c r="B335" t="str">
        <f>"ULKER TI Equity"</f>
        <v>ULKER TI Equity</v>
      </c>
      <c r="C335" t="str">
        <f t="shared" si="33"/>
        <v>F0946</v>
      </c>
      <c r="D335" t="str">
        <f t="shared" si="34"/>
        <v>TOTAL_GHG_CO2_EMISSIONS</v>
      </c>
      <c r="E335" t="str">
        <f t="shared" si="35"/>
        <v>Dynamic</v>
      </c>
      <c r="F335" t="str">
        <f ca="1">IF(AND(ISNUMBER($F$1453),$B$1132=1),$F$1453,HLOOKUP(INDIRECT(ADDRESS(2,COLUMN())),OFFSET($K$2,0,0,ROW()-1,5),ROW()-1,FALSE))</f>
        <v/>
      </c>
      <c r="G335">
        <f ca="1">IF(AND(ISNUMBER($G$1453),$B$1132=1),$G$1453,HLOOKUP(INDIRECT(ADDRESS(2,COLUMN())),OFFSET($K$2,0,0,ROW()-1,5),ROW()-1,FALSE))</f>
        <v>0.15207499699999999</v>
      </c>
      <c r="H335">
        <f ca="1">IF(AND(ISNUMBER($H$1453),$B$1132=1),$H$1453,HLOOKUP(INDIRECT(ADDRESS(2,COLUMN())),OFFSET($K$2,0,0,ROW()-1,5),ROW()-1,FALSE))</f>
        <v>0.17624899299999999</v>
      </c>
      <c r="I335">
        <f ca="1">IF(AND(ISNUMBER($I$1453),$B$1132=1),$I$1453,HLOOKUP(INDIRECT(ADDRESS(2,COLUMN())),OFFSET($K$2,0,0,ROW()-1,5),ROW()-1,FALSE))</f>
        <v>0.143235001</v>
      </c>
      <c r="J335">
        <f ca="1">IF(AND(ISNUMBER($J$1453),$B$1132=1),$J$1453,HLOOKUP(INDIRECT(ADDRESS(2,COLUMN())),OFFSET($K$2,0,0,ROW()-1,5),ROW()-1,FALSE))</f>
        <v>0.14227799999999999</v>
      </c>
      <c r="K335" t="str">
        <f>""</f>
        <v/>
      </c>
      <c r="L335">
        <f>0.152074997</f>
        <v>0.15207499699999999</v>
      </c>
      <c r="M335">
        <f>0.176248993</f>
        <v>0.17624899299999999</v>
      </c>
      <c r="N335">
        <f>0.143235001</f>
        <v>0.143235001</v>
      </c>
      <c r="O335">
        <f>0.142278</f>
        <v>0.14227799999999999</v>
      </c>
    </row>
    <row r="336" spans="1:15" x14ac:dyDescent="0.25">
      <c r="A336" t="str">
        <f>"                    Vietnam Dairy Products JSC"</f>
        <v xml:space="preserve">                    Vietnam Dairy Products JSC</v>
      </c>
      <c r="B336" t="str">
        <f>"VNM VN Equity"</f>
        <v>VNM VN Equity</v>
      </c>
      <c r="C336" t="str">
        <f t="shared" si="33"/>
        <v>F0946</v>
      </c>
      <c r="D336" t="str">
        <f t="shared" si="34"/>
        <v>TOTAL_GHG_CO2_EMISSIONS</v>
      </c>
      <c r="E336" t="str">
        <f t="shared" si="35"/>
        <v>Dynamic</v>
      </c>
      <c r="F336">
        <f ca="1">IF(AND(ISNUMBER($F$1454),$B$1132=1),$F$1454,HLOOKUP(INDIRECT(ADDRESS(2,COLUMN())),OFFSET($K$2,0,0,ROW()-1,5),ROW()-1,FALSE))</f>
        <v>0.266161011</v>
      </c>
      <c r="G336">
        <f ca="1">IF(AND(ISNUMBER($G$1454),$B$1132=1),$G$1454,HLOOKUP(INDIRECT(ADDRESS(2,COLUMN())),OFFSET($K$2,0,0,ROW()-1,5),ROW()-1,FALSE))</f>
        <v>0.26502999900000002</v>
      </c>
      <c r="H336">
        <f ca="1">IF(AND(ISNUMBER($H$1454),$B$1132=1),$H$1454,HLOOKUP(INDIRECT(ADDRESS(2,COLUMN())),OFFSET($K$2,0,0,ROW()-1,5),ROW()-1,FALSE))</f>
        <v>0.22462100199999999</v>
      </c>
      <c r="I336">
        <f ca="1">IF(AND(ISNUMBER($I$1454),$B$1132=1),$I$1454,HLOOKUP(INDIRECT(ADDRESS(2,COLUMN())),OFFSET($K$2,0,0,ROW()-1,5),ROW()-1,FALSE))</f>
        <v>0.206481003</v>
      </c>
      <c r="J336">
        <f ca="1">IF(AND(ISNUMBER($J$1454),$B$1132=1),$J$1454,HLOOKUP(INDIRECT(ADDRESS(2,COLUMN())),OFFSET($K$2,0,0,ROW()-1,5),ROW()-1,FALSE))</f>
        <v>0.192332001</v>
      </c>
      <c r="K336">
        <f>0.266161011</f>
        <v>0.266161011</v>
      </c>
      <c r="L336">
        <f>0.265029999</f>
        <v>0.26502999900000002</v>
      </c>
      <c r="M336">
        <f>0.224621002</f>
        <v>0.22462100199999999</v>
      </c>
      <c r="N336">
        <f>0.206481003</f>
        <v>0.206481003</v>
      </c>
      <c r="O336">
        <f>0.192332001</f>
        <v>0.192332001</v>
      </c>
    </row>
    <row r="337" spans="1:15" x14ac:dyDescent="0.25">
      <c r="A337" t="str">
        <f>"                    WH Group Ltd"</f>
        <v xml:space="preserve">                    WH Group Ltd</v>
      </c>
      <c r="B337" t="str">
        <f>"288 HK Equity"</f>
        <v>288 HK Equity</v>
      </c>
      <c r="C337" t="str">
        <f t="shared" si="33"/>
        <v>F0946</v>
      </c>
      <c r="D337" t="str">
        <f t="shared" si="34"/>
        <v>TOTAL_GHG_CO2_EMISSIONS</v>
      </c>
      <c r="E337" t="str">
        <f t="shared" si="35"/>
        <v>Dynamic</v>
      </c>
      <c r="F337">
        <f ca="1">IF(AND(ISNUMBER($F$1455),$B$1132=1),$F$1455,HLOOKUP(INDIRECT(ADDRESS(2,COLUMN())),OFFSET($K$2,0,0,ROW()-1,5),ROW()-1,FALSE))</f>
        <v>5.5442597659999997</v>
      </c>
      <c r="G337">
        <f ca="1">IF(AND(ISNUMBER($G$1455),$B$1132=1),$G$1455,HLOOKUP(INDIRECT(ADDRESS(2,COLUMN())),OFFSET($K$2,0,0,ROW()-1,5),ROW()-1,FALSE))</f>
        <v>2.5835600589999999</v>
      </c>
      <c r="H337">
        <f ca="1">IF(AND(ISNUMBER($H$1455),$B$1132=1),$H$1455,HLOOKUP(INDIRECT(ADDRESS(2,COLUMN())),OFFSET($K$2,0,0,ROW()-1,5),ROW()-1,FALSE))</f>
        <v>2.5625800779999999</v>
      </c>
      <c r="I337">
        <f ca="1">IF(AND(ISNUMBER($I$1455),$B$1132=1),$I$1455,HLOOKUP(INDIRECT(ADDRESS(2,COLUMN())),OFFSET($K$2,0,0,ROW()-1,5),ROW()-1,FALSE))</f>
        <v>2.6163200679999998</v>
      </c>
      <c r="J337">
        <f ca="1">IF(AND(ISNUMBER($J$1455),$B$1132=1),$J$1455,HLOOKUP(INDIRECT(ADDRESS(2,COLUMN())),OFFSET($K$2,0,0,ROW()-1,5),ROW()-1,FALSE))</f>
        <v>2.6326101070000001</v>
      </c>
      <c r="K337">
        <f>5.544259766</f>
        <v>5.5442597659999997</v>
      </c>
      <c r="L337">
        <f>2.583560059</f>
        <v>2.5835600589999999</v>
      </c>
      <c r="M337">
        <f>2.562580078</f>
        <v>2.5625800779999999</v>
      </c>
      <c r="N337">
        <f>2.616320068</f>
        <v>2.6163200679999998</v>
      </c>
      <c r="O337">
        <f>2.632610107</f>
        <v>2.6326101070000001</v>
      </c>
    </row>
    <row r="338" spans="1:15" x14ac:dyDescent="0.25">
      <c r="A338" t="str">
        <f>"                    Want Want China Holdings Ltd"</f>
        <v xml:space="preserve">                    Want Want China Holdings Ltd</v>
      </c>
      <c r="B338" t="str">
        <f>"151 HK Equity"</f>
        <v>151 HK Equity</v>
      </c>
      <c r="C338" t="str">
        <f t="shared" si="33"/>
        <v>F0946</v>
      </c>
      <c r="D338" t="str">
        <f t="shared" si="34"/>
        <v>TOTAL_GHG_CO2_EMISSIONS</v>
      </c>
      <c r="E338" t="str">
        <f t="shared" si="35"/>
        <v>Dynamic</v>
      </c>
      <c r="F338" t="str">
        <f ca="1">IF(AND(ISNUMBER($F$1456),$B$1132=1),$F$1456,HLOOKUP(INDIRECT(ADDRESS(2,COLUMN())),OFFSET($K$2,0,0,ROW()-1,5),ROW()-1,FALSE))</f>
        <v/>
      </c>
      <c r="G338" t="str">
        <f ca="1">IF(AND(ISNUMBER($G$1456),$B$1132=1),$G$1456,HLOOKUP(INDIRECT(ADDRESS(2,COLUMN())),OFFSET($K$2,0,0,ROW()-1,5),ROW()-1,FALSE))</f>
        <v/>
      </c>
      <c r="H338">
        <f ca="1">IF(AND(ISNUMBER($H$1456),$B$1132=1),$H$1456,HLOOKUP(INDIRECT(ADDRESS(2,COLUMN())),OFFSET($K$2,0,0,ROW()-1,5),ROW()-1,FALSE))</f>
        <v>0.55001501500000005</v>
      </c>
      <c r="I338">
        <f ca="1">IF(AND(ISNUMBER($I$1456),$B$1132=1),$I$1456,HLOOKUP(INDIRECT(ADDRESS(2,COLUMN())),OFFSET($K$2,0,0,ROW()-1,5),ROW()-1,FALSE))</f>
        <v>0.52346502699999997</v>
      </c>
      <c r="J338">
        <f ca="1">IF(AND(ISNUMBER($J$1456),$B$1132=1),$J$1456,HLOOKUP(INDIRECT(ADDRESS(2,COLUMN())),OFFSET($K$2,0,0,ROW()-1,5),ROW()-1,FALSE))</f>
        <v>0.57093701200000002</v>
      </c>
      <c r="K338" t="str">
        <f>""</f>
        <v/>
      </c>
      <c r="L338" t="str">
        <f>""</f>
        <v/>
      </c>
      <c r="M338">
        <f>0.550015015</f>
        <v>0.55001501500000005</v>
      </c>
      <c r="N338">
        <f>0.523465027</f>
        <v>0.52346502699999997</v>
      </c>
      <c r="O338">
        <f>0.570937012</f>
        <v>0.57093701200000002</v>
      </c>
    </row>
    <row r="339" spans="1:15" x14ac:dyDescent="0.25">
      <c r="A339" t="str">
        <f>"                    Yamazaki Baking Co Ltd"</f>
        <v xml:space="preserve">                    Yamazaki Baking Co Ltd</v>
      </c>
      <c r="B339" t="str">
        <f>"2212 JP Equity"</f>
        <v>2212 JP Equity</v>
      </c>
      <c r="C339" t="str">
        <f t="shared" si="33"/>
        <v>F0946</v>
      </c>
      <c r="D339" t="str">
        <f t="shared" si="34"/>
        <v>TOTAL_GHG_CO2_EMISSIONS</v>
      </c>
      <c r="E339" t="str">
        <f t="shared" si="35"/>
        <v>Dynamic</v>
      </c>
      <c r="F339" t="str">
        <f ca="1">IF(AND(ISNUMBER($F$1457),$B$1132=1),$F$1457,HLOOKUP(INDIRECT(ADDRESS(2,COLUMN())),OFFSET($K$2,0,0,ROW()-1,5),ROW()-1,FALSE))</f>
        <v/>
      </c>
      <c r="G339">
        <f ca="1">IF(AND(ISNUMBER($G$1457),$B$1132=1),$G$1457,HLOOKUP(INDIRECT(ADDRESS(2,COLUMN())),OFFSET($K$2,0,0,ROW()-1,5),ROW()-1,FALSE))</f>
        <v>0.71099999999999997</v>
      </c>
      <c r="H339">
        <f ca="1">IF(AND(ISNUMBER($H$1457),$B$1132=1),$H$1457,HLOOKUP(INDIRECT(ADDRESS(2,COLUMN())),OFFSET($K$2,0,0,ROW()-1,5),ROW()-1,FALSE))</f>
        <v>0.72</v>
      </c>
      <c r="I339">
        <f ca="1">IF(AND(ISNUMBER($I$1457),$B$1132=1),$I$1457,HLOOKUP(INDIRECT(ADDRESS(2,COLUMN())),OFFSET($K$2,0,0,ROW()-1,5),ROW()-1,FALSE))</f>
        <v>0.82599999999999996</v>
      </c>
      <c r="J339">
        <f ca="1">IF(AND(ISNUMBER($J$1457),$B$1132=1),$J$1457,HLOOKUP(INDIRECT(ADDRESS(2,COLUMN())),OFFSET($K$2,0,0,ROW()-1,5),ROW()-1,FALSE))</f>
        <v>0.85699999999999998</v>
      </c>
      <c r="K339" t="str">
        <f>""</f>
        <v/>
      </c>
      <c r="L339">
        <f>0.711</f>
        <v>0.71099999999999997</v>
      </c>
      <c r="M339">
        <f>0.72</f>
        <v>0.72</v>
      </c>
      <c r="N339">
        <f>0.826</f>
        <v>0.82599999999999996</v>
      </c>
      <c r="O339">
        <f>0.857</f>
        <v>0.85699999999999998</v>
      </c>
    </row>
    <row r="340" spans="1:15" x14ac:dyDescent="0.25">
      <c r="A340" t="str">
        <f>"            Retail - Consumer Staples"</f>
        <v xml:space="preserve">            Retail - Consumer Staples</v>
      </c>
      <c r="B340" t="str">
        <f>""</f>
        <v/>
      </c>
      <c r="E340" t="str">
        <f>"Sum"</f>
        <v>Sum</v>
      </c>
      <c r="F340">
        <f ca="1">IF(ISERROR(IF(SUM($F$341:$F$341) = 0, "", SUM($F$341:$F$341))), "", (IF(SUM($F$341:$F$341) = 0, "", SUM($F$341:$F$341))))</f>
        <v>19.863924321999999</v>
      </c>
      <c r="G340">
        <f ca="1">IF(ISERROR(IF(SUM($G$341:$G$341) = 0, "", SUM($G$341:$G$341))), "", (IF(SUM($G$341:$G$341) = 0, "", SUM($G$341:$G$341))))</f>
        <v>70.631613650000006</v>
      </c>
      <c r="H340">
        <f ca="1">IF(ISERROR(IF(SUM($H$341:$H$341) = 0, "", SUM($H$341:$H$341))), "", (IF(SUM($H$341:$H$341) = 0, "", SUM($H$341:$H$341))))</f>
        <v>78.139486953000002</v>
      </c>
      <c r="I340">
        <f ca="1">IF(ISERROR(IF(SUM($I$341:$I$341) = 0, "", SUM($I$341:$I$341))), "", (IF(SUM($I$341:$I$341) = 0, "", SUM($I$341:$I$341))))</f>
        <v>74.151098392999984</v>
      </c>
      <c r="J340">
        <f ca="1">IF(ISERROR(IF(SUM($J$341:$J$341) = 0, "", SUM($J$341:$J$341))), "", (IF(SUM($J$341:$J$341) = 0, "", SUM($J$341:$J$341))))</f>
        <v>73.12122685300001</v>
      </c>
      <c r="K340" t="str">
        <f>""</f>
        <v/>
      </c>
      <c r="L340">
        <f>70.63161365</f>
        <v>70.631613650000006</v>
      </c>
      <c r="M340">
        <f>78.13948695</f>
        <v>78.139486950000006</v>
      </c>
      <c r="N340">
        <f>74.15109839</f>
        <v>74.151098390000001</v>
      </c>
      <c r="O340">
        <f>73.12122685</f>
        <v>73.121226849999999</v>
      </c>
    </row>
    <row r="341" spans="1:15" x14ac:dyDescent="0.25">
      <c r="A341" t="str">
        <f>"                Food &amp; Drug Stores"</f>
        <v xml:space="preserve">                Food &amp; Drug Stores</v>
      </c>
      <c r="B341" t="str">
        <f>""</f>
        <v/>
      </c>
      <c r="E341" t="str">
        <f>"Sum"</f>
        <v>Sum</v>
      </c>
      <c r="F341">
        <f ca="1">IF(ISERROR(IF(SUM($F$342:$F$453) = 0, "", SUM($F$342:$F$453))), "", (IF(SUM($F$342:$F$453) = 0, "", SUM($F$342:$F$453))))</f>
        <v>19.863924321999999</v>
      </c>
      <c r="G341">
        <f ca="1">IF(ISERROR(IF(SUM($G$342:$G$453) = 0, "", SUM($G$342:$G$453))), "", (IF(SUM($G$342:$G$453) = 0, "", SUM($G$342:$G$453))))</f>
        <v>70.631613650000006</v>
      </c>
      <c r="H341">
        <f ca="1">IF(ISERROR(IF(SUM($H$342:$H$453) = 0, "", SUM($H$342:$H$453))), "", (IF(SUM($H$342:$H$453) = 0, "", SUM($H$342:$H$453))))</f>
        <v>78.139486953000002</v>
      </c>
      <c r="I341">
        <f ca="1">IF(ISERROR(IF(SUM($I$342:$I$453) = 0, "", SUM($I$342:$I$453))), "", (IF(SUM($I$342:$I$453) = 0, "", SUM($I$342:$I$453))))</f>
        <v>74.151098392999984</v>
      </c>
      <c r="J341">
        <f ca="1">IF(ISERROR(IF(SUM($J$342:$J$453) = 0, "", SUM($J$342:$J$453))), "", (IF(SUM($J$342:$J$453) = 0, "", SUM($J$342:$J$453))))</f>
        <v>73.12122685300001</v>
      </c>
      <c r="K341" t="str">
        <f>""</f>
        <v/>
      </c>
      <c r="L341">
        <f>70.63161365</f>
        <v>70.631613650000006</v>
      </c>
      <c r="M341">
        <f>78.13948695</f>
        <v>78.139486950000006</v>
      </c>
      <c r="N341">
        <f>74.15109839</f>
        <v>74.151098390000001</v>
      </c>
      <c r="O341">
        <f>73.12122685</f>
        <v>73.121226849999999</v>
      </c>
    </row>
    <row r="342" spans="1:15" x14ac:dyDescent="0.25">
      <c r="A342" t="str">
        <f>"                    Seven &amp; i Holdings Co Ltd"</f>
        <v xml:space="preserve">                    Seven &amp; i Holdings Co Ltd</v>
      </c>
      <c r="B342" t="str">
        <f>"3382 JP Equity"</f>
        <v>3382 JP Equity</v>
      </c>
      <c r="C342" t="str">
        <f t="shared" ref="C342:C373" si="36">"F0946"</f>
        <v>F0946</v>
      </c>
      <c r="D342" t="str">
        <f t="shared" ref="D342:D373" si="37">"TOTAL_GHG_CO2_EMISSIONS"</f>
        <v>TOTAL_GHG_CO2_EMISSIONS</v>
      </c>
      <c r="E342" t="str">
        <f t="shared" ref="E342:E373" si="38">"Dynamic"</f>
        <v>Dynamic</v>
      </c>
      <c r="F342" t="str">
        <f ca="1">IF(AND(ISNUMBER($F$1458),$B$1132=1),$F$1458,HLOOKUP(INDIRECT(ADDRESS(2,COLUMN())),OFFSET($K$2,0,0,ROW()-1,5),ROW()-1,FALSE))</f>
        <v/>
      </c>
      <c r="G342">
        <f ca="1">IF(AND(ISNUMBER($G$1458),$B$1132=1),$G$1458,HLOOKUP(INDIRECT(ADDRESS(2,COLUMN())),OFFSET($K$2,0,0,ROW()-1,5),ROW()-1,FALSE))</f>
        <v>2.9708898929999998</v>
      </c>
      <c r="H342">
        <f ca="1">IF(AND(ISNUMBER($H$1458),$B$1132=1),$H$1458,HLOOKUP(INDIRECT(ADDRESS(2,COLUMN())),OFFSET($K$2,0,0,ROW()-1,5),ROW()-1,FALSE))</f>
        <v>2.7689299319999998</v>
      </c>
      <c r="I342">
        <f ca="1">IF(AND(ISNUMBER($I$1458),$B$1132=1),$I$1458,HLOOKUP(INDIRECT(ADDRESS(2,COLUMN())),OFFSET($K$2,0,0,ROW()-1,5),ROW()-1,FALSE))</f>
        <v>3.0470500490000001</v>
      </c>
      <c r="J342" t="str">
        <f ca="1">IF(AND(ISNUMBER($J$1458),$B$1132=1),$J$1458,HLOOKUP(INDIRECT(ADDRESS(2,COLUMN())),OFFSET($K$2,0,0,ROW()-1,5),ROW()-1,FALSE))</f>
        <v/>
      </c>
      <c r="K342" t="str">
        <f>""</f>
        <v/>
      </c>
      <c r="L342">
        <f>2.970889893</f>
        <v>2.9708898929999998</v>
      </c>
      <c r="M342">
        <f>2.768929932</f>
        <v>2.7689299319999998</v>
      </c>
      <c r="N342">
        <f>3.047050049</f>
        <v>3.0470500490000001</v>
      </c>
      <c r="O342" t="str">
        <f>""</f>
        <v/>
      </c>
    </row>
    <row r="343" spans="1:15" x14ac:dyDescent="0.25">
      <c r="A343" t="str">
        <f>"                    Aeon Co Ltd"</f>
        <v xml:space="preserve">                    Aeon Co Ltd</v>
      </c>
      <c r="B343" t="str">
        <f>"8267 JP Equity"</f>
        <v>8267 JP Equity</v>
      </c>
      <c r="C343" t="str">
        <f t="shared" si="36"/>
        <v>F0946</v>
      </c>
      <c r="D343" t="str">
        <f t="shared" si="37"/>
        <v>TOTAL_GHG_CO2_EMISSIONS</v>
      </c>
      <c r="E343" t="str">
        <f t="shared" si="38"/>
        <v>Dynamic</v>
      </c>
      <c r="F343" t="str">
        <f ca="1">IF(AND(ISNUMBER($F$1459),$B$1132=1),$F$1459,HLOOKUP(INDIRECT(ADDRESS(2,COLUMN())),OFFSET($K$2,0,0,ROW()-1,5),ROW()-1,FALSE))</f>
        <v/>
      </c>
      <c r="G343">
        <f ca="1">IF(AND(ISNUMBER($G$1459),$B$1132=1),$G$1459,HLOOKUP(INDIRECT(ADDRESS(2,COLUMN())),OFFSET($K$2,0,0,ROW()-1,5),ROW()-1,FALSE))</f>
        <v>2.9683000490000002</v>
      </c>
      <c r="H343">
        <f ca="1">IF(AND(ISNUMBER($H$1459),$B$1132=1),$H$1459,HLOOKUP(INDIRECT(ADDRESS(2,COLUMN())),OFFSET($K$2,0,0,ROW()-1,5),ROW()-1,FALSE))</f>
        <v>3.0168400879999999</v>
      </c>
      <c r="I343" t="str">
        <f ca="1">IF(AND(ISNUMBER($I$1459),$B$1132=1),$I$1459,HLOOKUP(INDIRECT(ADDRESS(2,COLUMN())),OFFSET($K$2,0,0,ROW()-1,5),ROW()-1,FALSE))</f>
        <v/>
      </c>
      <c r="J343">
        <f ca="1">IF(AND(ISNUMBER($J$1459),$B$1132=1),$J$1459,HLOOKUP(INDIRECT(ADDRESS(2,COLUMN())),OFFSET($K$2,0,0,ROW()-1,5),ROW()-1,FALSE))</f>
        <v>2.411199951</v>
      </c>
      <c r="K343" t="str">
        <f>""</f>
        <v/>
      </c>
      <c r="L343">
        <f>2.968300049</f>
        <v>2.9683000490000002</v>
      </c>
      <c r="M343">
        <f>3.016840088</f>
        <v>3.0168400879999999</v>
      </c>
      <c r="N343" t="str">
        <f>""</f>
        <v/>
      </c>
      <c r="O343">
        <f>2.411199951</f>
        <v>2.411199951</v>
      </c>
    </row>
    <row r="344" spans="1:15" x14ac:dyDescent="0.25">
      <c r="A344" t="str">
        <f>"                    Alma Market SA"</f>
        <v xml:space="preserve">                    Alma Market SA</v>
      </c>
      <c r="B344" t="str">
        <f>"ALM PW Equity"</f>
        <v>ALM PW Equity</v>
      </c>
      <c r="C344" t="str">
        <f t="shared" si="36"/>
        <v>F0946</v>
      </c>
      <c r="D344" t="str">
        <f t="shared" si="37"/>
        <v>TOTAL_GHG_CO2_EMISSIONS</v>
      </c>
      <c r="E344" t="str">
        <f t="shared" si="38"/>
        <v>Dynamic</v>
      </c>
      <c r="F344" t="str">
        <f ca="1">IF(AND(ISNUMBER($F$1460),$B$1132=1),$F$1460,HLOOKUP(INDIRECT(ADDRESS(2,COLUMN())),OFFSET($K$2,0,0,ROW()-1,5),ROW()-1,FALSE))</f>
        <v/>
      </c>
      <c r="G344" t="str">
        <f ca="1">IF(AND(ISNUMBER($G$1460),$B$1132=1),$G$1460,HLOOKUP(INDIRECT(ADDRESS(2,COLUMN())),OFFSET($K$2,0,0,ROW()-1,5),ROW()-1,FALSE))</f>
        <v/>
      </c>
      <c r="H344" t="str">
        <f ca="1">IF(AND(ISNUMBER($H$1460),$B$1132=1),$H$1460,HLOOKUP(INDIRECT(ADDRESS(2,COLUMN())),OFFSET($K$2,0,0,ROW()-1,5),ROW()-1,FALSE))</f>
        <v/>
      </c>
      <c r="I344" t="str">
        <f ca="1">IF(AND(ISNUMBER($I$1460),$B$1132=1),$I$1460,HLOOKUP(INDIRECT(ADDRESS(2,COLUMN())),OFFSET($K$2,0,0,ROW()-1,5),ROW()-1,FALSE))</f>
        <v/>
      </c>
      <c r="J344" t="str">
        <f ca="1">IF(AND(ISNUMBER($J$1460),$B$1132=1),$J$1460,HLOOKUP(INDIRECT(ADDRESS(2,COLUMN())),OFFSET($K$2,0,0,ROW()-1,5),ROW()-1,FALSE))</f>
        <v/>
      </c>
      <c r="K344" t="str">
        <f>""</f>
        <v/>
      </c>
      <c r="L344" t="str">
        <f>""</f>
        <v/>
      </c>
      <c r="M344" t="str">
        <f>""</f>
        <v/>
      </c>
      <c r="N344" t="str">
        <f>""</f>
        <v/>
      </c>
      <c r="O344" t="str">
        <f>""</f>
        <v/>
      </c>
    </row>
    <row r="345" spans="1:15" x14ac:dyDescent="0.25">
      <c r="A345" t="str">
        <f>"                    Almacenes Exito SA"</f>
        <v xml:space="preserve">                    Almacenes Exito SA</v>
      </c>
      <c r="B345" t="str">
        <f>"EXITO CB Equity"</f>
        <v>EXITO CB Equity</v>
      </c>
      <c r="C345" t="str">
        <f t="shared" si="36"/>
        <v>F0946</v>
      </c>
      <c r="D345" t="str">
        <f t="shared" si="37"/>
        <v>TOTAL_GHG_CO2_EMISSIONS</v>
      </c>
      <c r="E345" t="str">
        <f t="shared" si="38"/>
        <v>Dynamic</v>
      </c>
      <c r="F345" t="str">
        <f ca="1">IF(AND(ISNUMBER($F$1461),$B$1132=1),$F$1461,HLOOKUP(INDIRECT(ADDRESS(2,COLUMN())),OFFSET($K$2,0,0,ROW()-1,5),ROW()-1,FALSE))</f>
        <v/>
      </c>
      <c r="G345">
        <f ca="1">IF(AND(ISNUMBER($G$1461),$B$1132=1),$G$1461,HLOOKUP(INDIRECT(ADDRESS(2,COLUMN())),OFFSET($K$2,0,0,ROW()-1,5),ROW()-1,FALSE))</f>
        <v>0.210091995</v>
      </c>
      <c r="H345">
        <f ca="1">IF(AND(ISNUMBER($H$1461),$B$1132=1),$H$1461,HLOOKUP(INDIRECT(ADDRESS(2,COLUMN())),OFFSET($K$2,0,0,ROW()-1,5),ROW()-1,FALSE))</f>
        <v>0.26732000700000003</v>
      </c>
      <c r="I345">
        <f ca="1">IF(AND(ISNUMBER($I$1461),$B$1132=1),$I$1461,HLOOKUP(INDIRECT(ADDRESS(2,COLUMN())),OFFSET($K$2,0,0,ROW()-1,5),ROW()-1,FALSE))</f>
        <v>0.31517300399999998</v>
      </c>
      <c r="J345">
        <f ca="1">IF(AND(ISNUMBER($J$1461),$B$1132=1),$J$1461,HLOOKUP(INDIRECT(ADDRESS(2,COLUMN())),OFFSET($K$2,0,0,ROW()-1,5),ROW()-1,FALSE))</f>
        <v>0.28299999999999997</v>
      </c>
      <c r="K345" t="str">
        <f>""</f>
        <v/>
      </c>
      <c r="L345">
        <f>0.210091995</f>
        <v>0.210091995</v>
      </c>
      <c r="M345">
        <f>0.267320007</f>
        <v>0.26732000700000003</v>
      </c>
      <c r="N345">
        <f>0.315173004</f>
        <v>0.31517300399999998</v>
      </c>
      <c r="O345">
        <f>0.283</f>
        <v>0.28299999999999997</v>
      </c>
    </row>
    <row r="346" spans="1:15" x14ac:dyDescent="0.25">
      <c r="A346" t="str">
        <f>"                    Arcs Co Ltd"</f>
        <v xml:space="preserve">                    Arcs Co Ltd</v>
      </c>
      <c r="B346" t="str">
        <f>"9948 JP Equity"</f>
        <v>9948 JP Equity</v>
      </c>
      <c r="C346" t="str">
        <f t="shared" si="36"/>
        <v>F0946</v>
      </c>
      <c r="D346" t="str">
        <f t="shared" si="37"/>
        <v>TOTAL_GHG_CO2_EMISSIONS</v>
      </c>
      <c r="E346" t="str">
        <f t="shared" si="38"/>
        <v>Dynamic</v>
      </c>
      <c r="F346" t="str">
        <f ca="1">IF(AND(ISNUMBER($F$1462),$B$1132=1),$F$1462,HLOOKUP(INDIRECT(ADDRESS(2,COLUMN())),OFFSET($K$2,0,0,ROW()-1,5),ROW()-1,FALSE))</f>
        <v/>
      </c>
      <c r="G346" t="str">
        <f ca="1">IF(AND(ISNUMBER($G$1462),$B$1132=1),$G$1462,HLOOKUP(INDIRECT(ADDRESS(2,COLUMN())),OFFSET($K$2,0,0,ROW()-1,5),ROW()-1,FALSE))</f>
        <v/>
      </c>
      <c r="H346" t="str">
        <f ca="1">IF(AND(ISNUMBER($H$1462),$B$1132=1),$H$1462,HLOOKUP(INDIRECT(ADDRESS(2,COLUMN())),OFFSET($K$2,0,0,ROW()-1,5),ROW()-1,FALSE))</f>
        <v/>
      </c>
      <c r="I346" t="str">
        <f ca="1">IF(AND(ISNUMBER($I$1462),$B$1132=1),$I$1462,HLOOKUP(INDIRECT(ADDRESS(2,COLUMN())),OFFSET($K$2,0,0,ROW()-1,5),ROW()-1,FALSE))</f>
        <v/>
      </c>
      <c r="J346" t="str">
        <f ca="1">IF(AND(ISNUMBER($J$1462),$B$1132=1),$J$1462,HLOOKUP(INDIRECT(ADDRESS(2,COLUMN())),OFFSET($K$2,0,0,ROW()-1,5),ROW()-1,FALSE))</f>
        <v/>
      </c>
      <c r="K346" t="str">
        <f>""</f>
        <v/>
      </c>
      <c r="L346" t="str">
        <f>""</f>
        <v/>
      </c>
      <c r="M346" t="str">
        <f>""</f>
        <v/>
      </c>
      <c r="N346" t="str">
        <f>""</f>
        <v/>
      </c>
      <c r="O346" t="str">
        <f>""</f>
        <v/>
      </c>
    </row>
    <row r="347" spans="1:15" x14ac:dyDescent="0.25">
      <c r="A347" t="str">
        <f>"                    Asda Stores Ltd"</f>
        <v xml:space="preserve">                    Asda Stores Ltd</v>
      </c>
      <c r="B347" t="str">
        <f>"1313666Z LN Equity"</f>
        <v>1313666Z LN Equity</v>
      </c>
      <c r="C347" t="str">
        <f t="shared" si="36"/>
        <v>F0946</v>
      </c>
      <c r="D347" t="str">
        <f t="shared" si="37"/>
        <v>TOTAL_GHG_CO2_EMISSIONS</v>
      </c>
      <c r="E347" t="str">
        <f t="shared" si="38"/>
        <v>Dynamic</v>
      </c>
      <c r="F347" t="str">
        <f ca="1">IF(AND(ISNUMBER($F$1463),$B$1132=1),$F$1463,HLOOKUP(INDIRECT(ADDRESS(2,COLUMN())),OFFSET($K$2,0,0,ROW()-1,5),ROW()-1,FALSE))</f>
        <v/>
      </c>
      <c r="G347" t="str">
        <f ca="1">IF(AND(ISNUMBER($G$1463),$B$1132=1),$G$1463,HLOOKUP(INDIRECT(ADDRESS(2,COLUMN())),OFFSET($K$2,0,0,ROW()-1,5),ROW()-1,FALSE))</f>
        <v/>
      </c>
      <c r="H347" t="str">
        <f ca="1">IF(AND(ISNUMBER($H$1463),$B$1132=1),$H$1463,HLOOKUP(INDIRECT(ADDRESS(2,COLUMN())),OFFSET($K$2,0,0,ROW()-1,5),ROW()-1,FALSE))</f>
        <v/>
      </c>
      <c r="I347" t="str">
        <f ca="1">IF(AND(ISNUMBER($I$1463),$B$1132=1),$I$1463,HLOOKUP(INDIRECT(ADDRESS(2,COLUMN())),OFFSET($K$2,0,0,ROW()-1,5),ROW()-1,FALSE))</f>
        <v/>
      </c>
      <c r="J347" t="str">
        <f ca="1">IF(AND(ISNUMBER($J$1463),$B$1132=1),$J$1463,HLOOKUP(INDIRECT(ADDRESS(2,COLUMN())),OFFSET($K$2,0,0,ROW()-1,5),ROW()-1,FALSE))</f>
        <v/>
      </c>
      <c r="K347" t="str">
        <f>""</f>
        <v/>
      </c>
      <c r="L347" t="str">
        <f>""</f>
        <v/>
      </c>
      <c r="M347" t="str">
        <f>""</f>
        <v/>
      </c>
      <c r="N347" t="str">
        <f>""</f>
        <v/>
      </c>
      <c r="O347" t="str">
        <f>""</f>
        <v/>
      </c>
    </row>
    <row r="348" spans="1:15" x14ac:dyDescent="0.25">
      <c r="A348" t="str">
        <f>"                    Atacadao SA"</f>
        <v xml:space="preserve">                    Atacadao SA</v>
      </c>
      <c r="B348" t="str">
        <f>"CRFB3 BZ Equity"</f>
        <v>CRFB3 BZ Equity</v>
      </c>
      <c r="C348" t="str">
        <f t="shared" si="36"/>
        <v>F0946</v>
      </c>
      <c r="D348" t="str">
        <f t="shared" si="37"/>
        <v>TOTAL_GHG_CO2_EMISSIONS</v>
      </c>
      <c r="E348" t="str">
        <f t="shared" si="38"/>
        <v>Dynamic</v>
      </c>
      <c r="F348" t="str">
        <f ca="1">IF(AND(ISNUMBER($F$1464),$B$1132=1),$F$1464,HLOOKUP(INDIRECT(ADDRESS(2,COLUMN())),OFFSET($K$2,0,0,ROW()-1,5),ROW()-1,FALSE))</f>
        <v/>
      </c>
      <c r="G348">
        <f ca="1">IF(AND(ISNUMBER($G$1464),$B$1132=1),$G$1464,HLOOKUP(INDIRECT(ADDRESS(2,COLUMN())),OFFSET($K$2,0,0,ROW()-1,5),ROW()-1,FALSE))</f>
        <v>0.28842098999999999</v>
      </c>
      <c r="H348">
        <f ca="1">IF(AND(ISNUMBER($H$1464),$B$1132=1),$H$1464,HLOOKUP(INDIRECT(ADDRESS(2,COLUMN())),OFFSET($K$2,0,0,ROW()-1,5),ROW()-1,FALSE))</f>
        <v>0.14410099800000001</v>
      </c>
      <c r="I348">
        <f ca="1">IF(AND(ISNUMBER($I$1464),$B$1132=1),$I$1464,HLOOKUP(INDIRECT(ADDRESS(2,COLUMN())),OFFSET($K$2,0,0,ROW()-1,5),ROW()-1,FALSE))</f>
        <v>0.143287994</v>
      </c>
      <c r="J348" t="str">
        <f ca="1">IF(AND(ISNUMBER($J$1464),$B$1132=1),$J$1464,HLOOKUP(INDIRECT(ADDRESS(2,COLUMN())),OFFSET($K$2,0,0,ROW()-1,5),ROW()-1,FALSE))</f>
        <v/>
      </c>
      <c r="K348" t="str">
        <f>""</f>
        <v/>
      </c>
      <c r="L348">
        <f>0.28842099</f>
        <v>0.28842098999999999</v>
      </c>
      <c r="M348">
        <f>0.144100998</f>
        <v>0.14410099800000001</v>
      </c>
      <c r="N348">
        <f>0.143287994</f>
        <v>0.143287994</v>
      </c>
      <c r="O348" t="str">
        <f>""</f>
        <v/>
      </c>
    </row>
    <row r="349" spans="1:15" x14ac:dyDescent="0.25">
      <c r="A349" t="str">
        <f>"                    ELO SACA"</f>
        <v xml:space="preserve">                    ELO SACA</v>
      </c>
      <c r="B349" t="str">
        <f>"211642Z FP Equity"</f>
        <v>211642Z FP Equity</v>
      </c>
      <c r="C349" t="str">
        <f t="shared" si="36"/>
        <v>F0946</v>
      </c>
      <c r="D349" t="str">
        <f t="shared" si="37"/>
        <v>TOTAL_GHG_CO2_EMISSIONS</v>
      </c>
      <c r="E349" t="str">
        <f t="shared" si="38"/>
        <v>Dynamic</v>
      </c>
      <c r="F349" t="str">
        <f ca="1">IF(AND(ISNUMBER($F$1465),$B$1132=1),$F$1465,HLOOKUP(INDIRECT(ADDRESS(2,COLUMN())),OFFSET($K$2,0,0,ROW()-1,5),ROW()-1,FALSE))</f>
        <v/>
      </c>
      <c r="G349" t="str">
        <f ca="1">IF(AND(ISNUMBER($G$1465),$B$1132=1),$G$1465,HLOOKUP(INDIRECT(ADDRESS(2,COLUMN())),OFFSET($K$2,0,0,ROW()-1,5),ROW()-1,FALSE))</f>
        <v/>
      </c>
      <c r="H349" t="str">
        <f ca="1">IF(AND(ISNUMBER($H$1465),$B$1132=1),$H$1465,HLOOKUP(INDIRECT(ADDRESS(2,COLUMN())),OFFSET($K$2,0,0,ROW()-1,5),ROW()-1,FALSE))</f>
        <v/>
      </c>
      <c r="I349" t="str">
        <f ca="1">IF(AND(ISNUMBER($I$1465),$B$1132=1),$I$1465,HLOOKUP(INDIRECT(ADDRESS(2,COLUMN())),OFFSET($K$2,0,0,ROW()-1,5),ROW()-1,FALSE))</f>
        <v/>
      </c>
      <c r="J349" t="str">
        <f ca="1">IF(AND(ISNUMBER($J$1465),$B$1132=1),$J$1465,HLOOKUP(INDIRECT(ADDRESS(2,COLUMN())),OFFSET($K$2,0,0,ROW()-1,5),ROW()-1,FALSE))</f>
        <v/>
      </c>
      <c r="K349" t="str">
        <f>""</f>
        <v/>
      </c>
      <c r="L349" t="str">
        <f>""</f>
        <v/>
      </c>
      <c r="M349" t="str">
        <f>""</f>
        <v/>
      </c>
      <c r="N349" t="str">
        <f>""</f>
        <v/>
      </c>
      <c r="O349" t="str">
        <f>""</f>
        <v/>
      </c>
    </row>
    <row r="350" spans="1:15" x14ac:dyDescent="0.25">
      <c r="A350" t="str">
        <f>"                    Alimentation Couche-Tard Inc"</f>
        <v xml:space="preserve">                    Alimentation Couche-Tard Inc</v>
      </c>
      <c r="B350" t="str">
        <f>"ATD CN Equity"</f>
        <v>ATD CN Equity</v>
      </c>
      <c r="C350" t="str">
        <f t="shared" si="36"/>
        <v>F0946</v>
      </c>
      <c r="D350" t="str">
        <f t="shared" si="37"/>
        <v>TOTAL_GHG_CO2_EMISSIONS</v>
      </c>
      <c r="E350" t="str">
        <f t="shared" si="38"/>
        <v>Dynamic</v>
      </c>
      <c r="F350" t="str">
        <f ca="1">IF(AND(ISNUMBER($F$1466),$B$1132=1),$F$1466,HLOOKUP(INDIRECT(ADDRESS(2,COLUMN())),OFFSET($K$2,0,0,ROW()-1,5),ROW()-1,FALSE))</f>
        <v/>
      </c>
      <c r="G350">
        <f ca="1">IF(AND(ISNUMBER($G$1466),$B$1132=1),$G$1466,HLOOKUP(INDIRECT(ADDRESS(2,COLUMN())),OFFSET($K$2,0,0,ROW()-1,5),ROW()-1,FALSE))</f>
        <v>0.85149102799999998</v>
      </c>
      <c r="H350">
        <f ca="1">IF(AND(ISNUMBER($H$1466),$B$1132=1),$H$1466,HLOOKUP(INDIRECT(ADDRESS(2,COLUMN())),OFFSET($K$2,0,0,ROW()-1,5),ROW()-1,FALSE))</f>
        <v>0.827010986</v>
      </c>
      <c r="I350">
        <f ca="1">IF(AND(ISNUMBER($I$1466),$B$1132=1),$I$1466,HLOOKUP(INDIRECT(ADDRESS(2,COLUMN())),OFFSET($K$2,0,0,ROW()-1,5),ROW()-1,FALSE))</f>
        <v>0.84112500000000001</v>
      </c>
      <c r="J350">
        <f ca="1">IF(AND(ISNUMBER($J$1466),$B$1132=1),$J$1466,HLOOKUP(INDIRECT(ADDRESS(2,COLUMN())),OFFSET($K$2,0,0,ROW()-1,5),ROW()-1,FALSE))</f>
        <v>0.93231896999999997</v>
      </c>
      <c r="K350" t="str">
        <f>""</f>
        <v/>
      </c>
      <c r="L350">
        <f>0.851491028</f>
        <v>0.85149102799999998</v>
      </c>
      <c r="M350">
        <f>0.827010986</f>
        <v>0.827010986</v>
      </c>
      <c r="N350">
        <f>0.841125</f>
        <v>0.84112500000000001</v>
      </c>
      <c r="O350">
        <f>0.93231897</f>
        <v>0.93231896999999997</v>
      </c>
    </row>
    <row r="351" spans="1:15" x14ac:dyDescent="0.25">
      <c r="A351" t="str">
        <f>"                    Axfood AB"</f>
        <v xml:space="preserve">                    Axfood AB</v>
      </c>
      <c r="B351" t="str">
        <f>"AXFO SS Equity"</f>
        <v>AXFO SS Equity</v>
      </c>
      <c r="C351" t="str">
        <f t="shared" si="36"/>
        <v>F0946</v>
      </c>
      <c r="D351" t="str">
        <f t="shared" si="37"/>
        <v>TOTAL_GHG_CO2_EMISSIONS</v>
      </c>
      <c r="E351" t="str">
        <f t="shared" si="38"/>
        <v>Dynamic</v>
      </c>
      <c r="F351">
        <f ca="1">IF(AND(ISNUMBER($F$1467),$B$1132=1),$F$1467,HLOOKUP(INDIRECT(ADDRESS(2,COLUMN())),OFFSET($K$2,0,0,ROW()-1,5),ROW()-1,FALSE))</f>
        <v>3.2894000999999999E-2</v>
      </c>
      <c r="G351">
        <f ca="1">IF(AND(ISNUMBER($G$1467),$B$1132=1),$G$1467,HLOOKUP(INDIRECT(ADDRESS(2,COLUMN())),OFFSET($K$2,0,0,ROW()-1,5),ROW()-1,FALSE))</f>
        <v>3.4688998999999998E-2</v>
      </c>
      <c r="H351">
        <f ca="1">IF(AND(ISNUMBER($H$1467),$B$1132=1),$H$1467,HLOOKUP(INDIRECT(ADDRESS(2,COLUMN())),OFFSET($K$2,0,0,ROW()-1,5),ROW()-1,FALSE))</f>
        <v>3.1655001000000002E-2</v>
      </c>
      <c r="I351">
        <f ca="1">IF(AND(ISNUMBER($I$1467),$B$1132=1),$I$1467,HLOOKUP(INDIRECT(ADDRESS(2,COLUMN())),OFFSET($K$2,0,0,ROW()-1,5),ROW()-1,FALSE))</f>
        <v>3.3742001000000001E-2</v>
      </c>
      <c r="J351">
        <f ca="1">IF(AND(ISNUMBER($J$1467),$B$1132=1),$J$1467,HLOOKUP(INDIRECT(ADDRESS(2,COLUMN())),OFFSET($K$2,0,0,ROW()-1,5),ROW()-1,FALSE))</f>
        <v>2.1422001E-2</v>
      </c>
      <c r="K351">
        <f>0.032894001</f>
        <v>3.2894000999999999E-2</v>
      </c>
      <c r="L351">
        <f>0.034688999</f>
        <v>3.4688998999999998E-2</v>
      </c>
      <c r="M351">
        <f>0.031655001</f>
        <v>3.1655001000000002E-2</v>
      </c>
      <c r="N351">
        <f>0.033742001</f>
        <v>3.3742001000000001E-2</v>
      </c>
      <c r="O351">
        <f>0.021422001</f>
        <v>2.1422001E-2</v>
      </c>
    </row>
    <row r="352" spans="1:15" x14ac:dyDescent="0.25">
      <c r="A352" t="str">
        <f>"                    B&amp;M European Value Retail SA"</f>
        <v xml:space="preserve">                    B&amp;M European Value Retail SA</v>
      </c>
      <c r="B352" t="str">
        <f>"BME LN Equity"</f>
        <v>BME LN Equity</v>
      </c>
      <c r="C352" t="str">
        <f t="shared" si="36"/>
        <v>F0946</v>
      </c>
      <c r="D352" t="str">
        <f t="shared" si="37"/>
        <v>TOTAL_GHG_CO2_EMISSIONS</v>
      </c>
      <c r="E352" t="str">
        <f t="shared" si="38"/>
        <v>Dynamic</v>
      </c>
      <c r="F352" t="str">
        <f ca="1">IF(AND(ISNUMBER($F$1468),$B$1132=1),$F$1468,HLOOKUP(INDIRECT(ADDRESS(2,COLUMN())),OFFSET($K$2,0,0,ROW()-1,5),ROW()-1,FALSE))</f>
        <v/>
      </c>
      <c r="G352">
        <f ca="1">IF(AND(ISNUMBER($G$1468),$B$1132=1),$G$1468,HLOOKUP(INDIRECT(ADDRESS(2,COLUMN())),OFFSET($K$2,0,0,ROW()-1,5),ROW()-1,FALSE))</f>
        <v>9.6757003999999994E-2</v>
      </c>
      <c r="H352">
        <f ca="1">IF(AND(ISNUMBER($H$1468),$B$1132=1),$H$1468,HLOOKUP(INDIRECT(ADDRESS(2,COLUMN())),OFFSET($K$2,0,0,ROW()-1,5),ROW()-1,FALSE))</f>
        <v>0.117464996</v>
      </c>
      <c r="I352">
        <f ca="1">IF(AND(ISNUMBER($I$1468),$B$1132=1),$I$1468,HLOOKUP(INDIRECT(ADDRESS(2,COLUMN())),OFFSET($K$2,0,0,ROW()-1,5),ROW()-1,FALSE))</f>
        <v>0.122707001</v>
      </c>
      <c r="J352">
        <f ca="1">IF(AND(ISNUMBER($J$1468),$B$1132=1),$J$1468,HLOOKUP(INDIRECT(ADDRESS(2,COLUMN())),OFFSET($K$2,0,0,ROW()-1,5),ROW()-1,FALSE))</f>
        <v>0.122499001</v>
      </c>
      <c r="K352" t="str">
        <f>""</f>
        <v/>
      </c>
      <c r="L352">
        <f>0.096757004</f>
        <v>9.6757003999999994E-2</v>
      </c>
      <c r="M352">
        <f>0.117464996</f>
        <v>0.117464996</v>
      </c>
      <c r="N352">
        <f>0.122707001</f>
        <v>0.122707001</v>
      </c>
      <c r="O352">
        <f>0.122499001</f>
        <v>0.122499001</v>
      </c>
    </row>
    <row r="353" spans="1:15" x14ac:dyDescent="0.25">
      <c r="A353" t="str">
        <f>"                    Innovation New Material Techno"</f>
        <v xml:space="preserve">                    Innovation New Material Techno</v>
      </c>
      <c r="B353" t="str">
        <f>"600361 CH Equity"</f>
        <v>600361 CH Equity</v>
      </c>
      <c r="C353" t="str">
        <f t="shared" si="36"/>
        <v>F0946</v>
      </c>
      <c r="D353" t="str">
        <f t="shared" si="37"/>
        <v>TOTAL_GHG_CO2_EMISSIONS</v>
      </c>
      <c r="E353" t="str">
        <f t="shared" si="38"/>
        <v>Dynamic</v>
      </c>
      <c r="F353" t="str">
        <f ca="1">IF(AND(ISNUMBER($F$1469),$B$1132=1),$F$1469,HLOOKUP(INDIRECT(ADDRESS(2,COLUMN())),OFFSET($K$2,0,0,ROW()-1,5),ROW()-1,FALSE))</f>
        <v/>
      </c>
      <c r="G353" t="str">
        <f ca="1">IF(AND(ISNUMBER($G$1469),$B$1132=1),$G$1469,HLOOKUP(INDIRECT(ADDRESS(2,COLUMN())),OFFSET($K$2,0,0,ROW()-1,5),ROW()-1,FALSE))</f>
        <v/>
      </c>
      <c r="H353" t="str">
        <f ca="1">IF(AND(ISNUMBER($H$1469),$B$1132=1),$H$1469,HLOOKUP(INDIRECT(ADDRESS(2,COLUMN())),OFFSET($K$2,0,0,ROW()-1,5),ROW()-1,FALSE))</f>
        <v/>
      </c>
      <c r="I353" t="str">
        <f ca="1">IF(AND(ISNUMBER($I$1469),$B$1132=1),$I$1469,HLOOKUP(INDIRECT(ADDRESS(2,COLUMN())),OFFSET($K$2,0,0,ROW()-1,5),ROW()-1,FALSE))</f>
        <v/>
      </c>
      <c r="J353" t="str">
        <f ca="1">IF(AND(ISNUMBER($J$1469),$B$1132=1),$J$1469,HLOOKUP(INDIRECT(ADDRESS(2,COLUMN())),OFFSET($K$2,0,0,ROW()-1,5),ROW()-1,FALSE))</f>
        <v/>
      </c>
      <c r="K353" t="str">
        <f>""</f>
        <v/>
      </c>
      <c r="L353" t="str">
        <f>""</f>
        <v/>
      </c>
      <c r="M353" t="str">
        <f>""</f>
        <v/>
      </c>
      <c r="N353" t="str">
        <f>""</f>
        <v/>
      </c>
      <c r="O353" t="str">
        <f>""</f>
        <v/>
      </c>
    </row>
    <row r="354" spans="1:15" x14ac:dyDescent="0.25">
      <c r="A354" t="str">
        <f>"                    BGF Co Ltd"</f>
        <v xml:space="preserve">                    BGF Co Ltd</v>
      </c>
      <c r="B354" t="str">
        <f>"027410 KS Equity"</f>
        <v>027410 KS Equity</v>
      </c>
      <c r="C354" t="str">
        <f t="shared" si="36"/>
        <v>F0946</v>
      </c>
      <c r="D354" t="str">
        <f t="shared" si="37"/>
        <v>TOTAL_GHG_CO2_EMISSIONS</v>
      </c>
      <c r="E354" t="str">
        <f t="shared" si="38"/>
        <v>Dynamic</v>
      </c>
      <c r="F354" t="str">
        <f ca="1">IF(AND(ISNUMBER($F$1470),$B$1132=1),$F$1470,HLOOKUP(INDIRECT(ADDRESS(2,COLUMN())),OFFSET($K$2,0,0,ROW()-1,5),ROW()-1,FALSE))</f>
        <v/>
      </c>
      <c r="G354" t="str">
        <f ca="1">IF(AND(ISNUMBER($G$1470),$B$1132=1),$G$1470,HLOOKUP(INDIRECT(ADDRESS(2,COLUMN())),OFFSET($K$2,0,0,ROW()-1,5),ROW()-1,FALSE))</f>
        <v/>
      </c>
      <c r="H354" t="str">
        <f ca="1">IF(AND(ISNUMBER($H$1470),$B$1132=1),$H$1470,HLOOKUP(INDIRECT(ADDRESS(2,COLUMN())),OFFSET($K$2,0,0,ROW()-1,5),ROW()-1,FALSE))</f>
        <v/>
      </c>
      <c r="I354">
        <f ca="1">IF(AND(ISNUMBER($I$1470),$B$1132=1),$I$1470,HLOOKUP(INDIRECT(ADDRESS(2,COLUMN())),OFFSET($K$2,0,0,ROW()-1,5),ROW()-1,FALSE))</f>
        <v>7.13015E-4</v>
      </c>
      <c r="J354" t="str">
        <f ca="1">IF(AND(ISNUMBER($J$1470),$B$1132=1),$J$1470,HLOOKUP(INDIRECT(ADDRESS(2,COLUMN())),OFFSET($K$2,0,0,ROW()-1,5),ROW()-1,FALSE))</f>
        <v/>
      </c>
      <c r="K354" t="str">
        <f>""</f>
        <v/>
      </c>
      <c r="L354" t="str">
        <f>""</f>
        <v/>
      </c>
      <c r="M354" t="str">
        <f>""</f>
        <v/>
      </c>
      <c r="N354">
        <f>0.000713015</f>
        <v>7.13015E-4</v>
      </c>
      <c r="O354" t="str">
        <f>""</f>
        <v/>
      </c>
    </row>
    <row r="355" spans="1:15" x14ac:dyDescent="0.25">
      <c r="A355" t="str">
        <f>"                    BIM Birlesik Magazalar AS"</f>
        <v xml:space="preserve">                    BIM Birlesik Magazalar AS</v>
      </c>
      <c r="B355" t="str">
        <f>"BIMAS TI Equity"</f>
        <v>BIMAS TI Equity</v>
      </c>
      <c r="C355" t="str">
        <f t="shared" si="36"/>
        <v>F0946</v>
      </c>
      <c r="D355" t="str">
        <f t="shared" si="37"/>
        <v>TOTAL_GHG_CO2_EMISSIONS</v>
      </c>
      <c r="E355" t="str">
        <f t="shared" si="38"/>
        <v>Dynamic</v>
      </c>
      <c r="F355" t="str">
        <f ca="1">IF(AND(ISNUMBER($F$1471),$B$1132=1),$F$1471,HLOOKUP(INDIRECT(ADDRESS(2,COLUMN())),OFFSET($K$2,0,0,ROW()-1,5),ROW()-1,FALSE))</f>
        <v/>
      </c>
      <c r="G355">
        <f ca="1">IF(AND(ISNUMBER($G$1471),$B$1132=1),$G$1471,HLOOKUP(INDIRECT(ADDRESS(2,COLUMN())),OFFSET($K$2,0,0,ROW()-1,5),ROW()-1,FALSE))</f>
        <v>0.51745800799999997</v>
      </c>
      <c r="H355">
        <f ca="1">IF(AND(ISNUMBER($H$1471),$B$1132=1),$H$1471,HLOOKUP(INDIRECT(ADDRESS(2,COLUMN())),OFFSET($K$2,0,0,ROW()-1,5),ROW()-1,FALSE))</f>
        <v>0.486987</v>
      </c>
      <c r="I355">
        <f ca="1">IF(AND(ISNUMBER($I$1471),$B$1132=1),$I$1471,HLOOKUP(INDIRECT(ADDRESS(2,COLUMN())),OFFSET($K$2,0,0,ROW()-1,5),ROW()-1,FALSE))</f>
        <v>0.46290499899999998</v>
      </c>
      <c r="J355" t="str">
        <f ca="1">IF(AND(ISNUMBER($J$1471),$B$1132=1),$J$1471,HLOOKUP(INDIRECT(ADDRESS(2,COLUMN())),OFFSET($K$2,0,0,ROW()-1,5),ROW()-1,FALSE))</f>
        <v/>
      </c>
      <c r="K355" t="str">
        <f>""</f>
        <v/>
      </c>
      <c r="L355">
        <f>0.517458008</f>
        <v>0.51745800799999997</v>
      </c>
      <c r="M355">
        <f>0.486987</f>
        <v>0.486987</v>
      </c>
      <c r="N355">
        <f>0.462904999</f>
        <v>0.46290499899999998</v>
      </c>
      <c r="O355" t="str">
        <f>""</f>
        <v/>
      </c>
    </row>
    <row r="356" spans="1:15" x14ac:dyDescent="0.25">
      <c r="A356" t="str">
        <f>"                    Brookshire Grocery Co"</f>
        <v xml:space="preserve">                    Brookshire Grocery Co</v>
      </c>
      <c r="B356" t="str">
        <f>"87264Z US Equity"</f>
        <v>87264Z US Equity</v>
      </c>
      <c r="C356" t="str">
        <f t="shared" si="36"/>
        <v>F0946</v>
      </c>
      <c r="D356" t="str">
        <f t="shared" si="37"/>
        <v>TOTAL_GHG_CO2_EMISSIONS</v>
      </c>
      <c r="E356" t="str">
        <f t="shared" si="38"/>
        <v>Dynamic</v>
      </c>
      <c r="F356" t="str">
        <f ca="1">IF(AND(ISNUMBER($F$1472),$B$1132=1),$F$1472,HLOOKUP(INDIRECT(ADDRESS(2,COLUMN())),OFFSET($K$2,0,0,ROW()-1,5),ROW()-1,FALSE))</f>
        <v/>
      </c>
      <c r="G356" t="str">
        <f ca="1">IF(AND(ISNUMBER($G$1472),$B$1132=1),$G$1472,HLOOKUP(INDIRECT(ADDRESS(2,COLUMN())),OFFSET($K$2,0,0,ROW()-1,5),ROW()-1,FALSE))</f>
        <v/>
      </c>
      <c r="H356" t="str">
        <f ca="1">IF(AND(ISNUMBER($H$1472),$B$1132=1),$H$1472,HLOOKUP(INDIRECT(ADDRESS(2,COLUMN())),OFFSET($K$2,0,0,ROW()-1,5),ROW()-1,FALSE))</f>
        <v/>
      </c>
      <c r="I356" t="str">
        <f ca="1">IF(AND(ISNUMBER($I$1472),$B$1132=1),$I$1472,HLOOKUP(INDIRECT(ADDRESS(2,COLUMN())),OFFSET($K$2,0,0,ROW()-1,5),ROW()-1,FALSE))</f>
        <v/>
      </c>
      <c r="J356" t="str">
        <f ca="1">IF(AND(ISNUMBER($J$1472),$B$1132=1),$J$1472,HLOOKUP(INDIRECT(ADDRESS(2,COLUMN())),OFFSET($K$2,0,0,ROW()-1,5),ROW()-1,FALSE))</f>
        <v/>
      </c>
      <c r="K356" t="str">
        <f>""</f>
        <v/>
      </c>
      <c r="L356" t="str">
        <f>""</f>
        <v/>
      </c>
      <c r="M356" t="str">
        <f>""</f>
        <v/>
      </c>
      <c r="N356" t="str">
        <f>""</f>
        <v/>
      </c>
      <c r="O356" t="str">
        <f>""</f>
        <v/>
      </c>
    </row>
    <row r="357" spans="1:15" x14ac:dyDescent="0.25">
      <c r="A357" t="str">
        <f>"                    Cia Brasileira de Distribuicao"</f>
        <v xml:space="preserve">                    Cia Brasileira de Distribuicao</v>
      </c>
      <c r="B357" t="str">
        <f>"PCAR3 BZ Equity"</f>
        <v>PCAR3 BZ Equity</v>
      </c>
      <c r="C357" t="str">
        <f t="shared" si="36"/>
        <v>F0946</v>
      </c>
      <c r="D357" t="str">
        <f t="shared" si="37"/>
        <v>TOTAL_GHG_CO2_EMISSIONS</v>
      </c>
      <c r="E357" t="str">
        <f t="shared" si="38"/>
        <v>Dynamic</v>
      </c>
      <c r="F357" t="str">
        <f ca="1">IF(AND(ISNUMBER($F$1473),$B$1132=1),$F$1473,HLOOKUP(INDIRECT(ADDRESS(2,COLUMN())),OFFSET($K$2,0,0,ROW()-1,5),ROW()-1,FALSE))</f>
        <v/>
      </c>
      <c r="G357">
        <f ca="1">IF(AND(ISNUMBER($G$1473),$B$1132=1),$G$1473,HLOOKUP(INDIRECT(ADDRESS(2,COLUMN())),OFFSET($K$2,0,0,ROW()-1,5),ROW()-1,FALSE))</f>
        <v>0.72504699699999997</v>
      </c>
      <c r="H357">
        <f ca="1">IF(AND(ISNUMBER($H$1473),$B$1132=1),$H$1473,HLOOKUP(INDIRECT(ADDRESS(2,COLUMN())),OFFSET($K$2,0,0,ROW()-1,5),ROW()-1,FALSE))</f>
        <v>0.236703995</v>
      </c>
      <c r="I357">
        <f ca="1">IF(AND(ISNUMBER($I$1473),$B$1132=1),$I$1473,HLOOKUP(INDIRECT(ADDRESS(2,COLUMN())),OFFSET($K$2,0,0,ROW()-1,5),ROW()-1,FALSE))</f>
        <v>0.268783997</v>
      </c>
      <c r="J357">
        <f ca="1">IF(AND(ISNUMBER($J$1473),$B$1132=1),$J$1473,HLOOKUP(INDIRECT(ADDRESS(2,COLUMN())),OFFSET($K$2,0,0,ROW()-1,5),ROW()-1,FALSE))</f>
        <v>0.17709599300000001</v>
      </c>
      <c r="K357" t="str">
        <f>""</f>
        <v/>
      </c>
      <c r="L357">
        <f>0.725046997</f>
        <v>0.72504699699999997</v>
      </c>
      <c r="M357">
        <f>0.236703995</f>
        <v>0.236703995</v>
      </c>
      <c r="N357">
        <f>0.268783997</f>
        <v>0.268783997</v>
      </c>
      <c r="O357">
        <f>0.177095993</f>
        <v>0.17709599300000001</v>
      </c>
    </row>
    <row r="358" spans="1:15" x14ac:dyDescent="0.25">
      <c r="A358" t="str">
        <f>"                    Coles Group Ltd"</f>
        <v xml:space="preserve">                    Coles Group Ltd</v>
      </c>
      <c r="B358" t="str">
        <f>"COL AU Equity"</f>
        <v>COL AU Equity</v>
      </c>
      <c r="C358" t="str">
        <f t="shared" si="36"/>
        <v>F0946</v>
      </c>
      <c r="D358" t="str">
        <f t="shared" si="37"/>
        <v>TOTAL_GHG_CO2_EMISSIONS</v>
      </c>
      <c r="E358" t="str">
        <f t="shared" si="38"/>
        <v>Dynamic</v>
      </c>
      <c r="F358" t="str">
        <f ca="1">IF(AND(ISNUMBER($F$1474),$B$1132=1),$F$1474,HLOOKUP(INDIRECT(ADDRESS(2,COLUMN())),OFFSET($K$2,0,0,ROW()-1,5),ROW()-1,FALSE))</f>
        <v/>
      </c>
      <c r="G358">
        <f ca="1">IF(AND(ISNUMBER($G$1474),$B$1132=1),$G$1474,HLOOKUP(INDIRECT(ADDRESS(2,COLUMN())),OFFSET($K$2,0,0,ROW()-1,5),ROW()-1,FALSE))</f>
        <v>1.535619995</v>
      </c>
      <c r="H358">
        <f ca="1">IF(AND(ISNUMBER($H$1474),$B$1132=1),$H$1474,HLOOKUP(INDIRECT(ADDRESS(2,COLUMN())),OFFSET($K$2,0,0,ROW()-1,5),ROW()-1,FALSE))</f>
        <v>1.579089966</v>
      </c>
      <c r="I358">
        <f ca="1">IF(AND(ISNUMBER($I$1474),$B$1132=1),$I$1474,HLOOKUP(INDIRECT(ADDRESS(2,COLUMN())),OFFSET($K$2,0,0,ROW()-1,5),ROW()-1,FALSE))</f>
        <v>1.5960999760000001</v>
      </c>
      <c r="J358">
        <f ca="1">IF(AND(ISNUMBER($J$1474),$B$1132=1),$J$1474,HLOOKUP(INDIRECT(ADDRESS(2,COLUMN())),OFFSET($K$2,0,0,ROW()-1,5),ROW()-1,FALSE))</f>
        <v>1.6167600099999999</v>
      </c>
      <c r="K358" t="str">
        <f>""</f>
        <v/>
      </c>
      <c r="L358">
        <f>1.535619995</f>
        <v>1.535619995</v>
      </c>
      <c r="M358">
        <f>1.579089966</f>
        <v>1.579089966</v>
      </c>
      <c r="N358">
        <f>1.596099976</f>
        <v>1.5960999760000001</v>
      </c>
      <c r="O358">
        <f>1.61676001</f>
        <v>1.6167600099999999</v>
      </c>
    </row>
    <row r="359" spans="1:15" x14ac:dyDescent="0.25">
      <c r="A359" t="str">
        <f>"                    Costco Wholesale Corp"</f>
        <v xml:space="preserve">                    Costco Wholesale Corp</v>
      </c>
      <c r="B359" t="str">
        <f>"COST US Equity"</f>
        <v>COST US Equity</v>
      </c>
      <c r="C359" t="str">
        <f t="shared" si="36"/>
        <v>F0946</v>
      </c>
      <c r="D359" t="str">
        <f t="shared" si="37"/>
        <v>TOTAL_GHG_CO2_EMISSIONS</v>
      </c>
      <c r="E359" t="str">
        <f t="shared" si="38"/>
        <v>Dynamic</v>
      </c>
      <c r="F359" t="str">
        <f ca="1">IF(AND(ISNUMBER($F$1475),$B$1132=1),$F$1475,HLOOKUP(INDIRECT(ADDRESS(2,COLUMN())),OFFSET($K$2,0,0,ROW()-1,5),ROW()-1,FALSE))</f>
        <v/>
      </c>
      <c r="G359">
        <f ca="1">IF(AND(ISNUMBER($G$1475),$B$1132=1),$G$1475,HLOOKUP(INDIRECT(ADDRESS(2,COLUMN())),OFFSET($K$2,0,0,ROW()-1,5),ROW()-1,FALSE))</f>
        <v>2.6471298829999999</v>
      </c>
      <c r="H359">
        <f ca="1">IF(AND(ISNUMBER($H$1475),$B$1132=1),$H$1475,HLOOKUP(INDIRECT(ADDRESS(2,COLUMN())),OFFSET($K$2,0,0,ROW()-1,5),ROW()-1,FALSE))</f>
        <v>2.6630300290000002</v>
      </c>
      <c r="I359">
        <f ca="1">IF(AND(ISNUMBER($I$1475),$B$1132=1),$I$1475,HLOOKUP(INDIRECT(ADDRESS(2,COLUMN())),OFFSET($K$2,0,0,ROW()-1,5),ROW()-1,FALSE))</f>
        <v>2.5824399410000001</v>
      </c>
      <c r="J359">
        <f ca="1">IF(AND(ISNUMBER($J$1475),$B$1132=1),$J$1475,HLOOKUP(INDIRECT(ADDRESS(2,COLUMN())),OFFSET($K$2,0,0,ROW()-1,5),ROW()-1,FALSE))</f>
        <v>2.5084199219999999</v>
      </c>
      <c r="K359" t="str">
        <f>""</f>
        <v/>
      </c>
      <c r="L359">
        <f>2.647129883</f>
        <v>2.6471298829999999</v>
      </c>
      <c r="M359">
        <f>2.663030029</f>
        <v>2.6630300290000002</v>
      </c>
      <c r="N359">
        <f>2.582439941</f>
        <v>2.5824399410000001</v>
      </c>
      <c r="O359">
        <f>2.508419922</f>
        <v>2.5084199219999999</v>
      </c>
    </row>
    <row r="360" spans="1:15" x14ac:dyDescent="0.25">
      <c r="A360" t="str">
        <f>"                    CP ALL PCL"</f>
        <v xml:space="preserve">                    CP ALL PCL</v>
      </c>
      <c r="B360" t="str">
        <f>"CPALL TB Equity"</f>
        <v>CPALL TB Equity</v>
      </c>
      <c r="C360" t="str">
        <f t="shared" si="36"/>
        <v>F0946</v>
      </c>
      <c r="D360" t="str">
        <f t="shared" si="37"/>
        <v>TOTAL_GHG_CO2_EMISSIONS</v>
      </c>
      <c r="E360" t="str">
        <f t="shared" si="38"/>
        <v>Dynamic</v>
      </c>
      <c r="F360" t="str">
        <f ca="1">IF(AND(ISNUMBER($F$1476),$B$1132=1),$F$1476,HLOOKUP(INDIRECT(ADDRESS(2,COLUMN())),OFFSET($K$2,0,0,ROW()-1,5),ROW()-1,FALSE))</f>
        <v/>
      </c>
      <c r="G360">
        <f ca="1">IF(AND(ISNUMBER($G$1476),$B$1132=1),$G$1476,HLOOKUP(INDIRECT(ADDRESS(2,COLUMN())),OFFSET($K$2,0,0,ROW()-1,5),ROW()-1,FALSE))</f>
        <v>1.4315500489999999</v>
      </c>
      <c r="H360">
        <f ca="1">IF(AND(ISNUMBER($H$1476),$B$1132=1),$H$1476,HLOOKUP(INDIRECT(ADDRESS(2,COLUMN())),OFFSET($K$2,0,0,ROW()-1,5),ROW()-1,FALSE))</f>
        <v>1.1880799559999999</v>
      </c>
      <c r="I360">
        <f ca="1">IF(AND(ISNUMBER($I$1476),$B$1132=1),$I$1476,HLOOKUP(INDIRECT(ADDRESS(2,COLUMN())),OFFSET($K$2,0,0,ROW()-1,5),ROW()-1,FALSE))</f>
        <v>1.4004399409999999</v>
      </c>
      <c r="J360">
        <f ca="1">IF(AND(ISNUMBER($J$1476),$B$1132=1),$J$1476,HLOOKUP(INDIRECT(ADDRESS(2,COLUMN())),OFFSET($K$2,0,0,ROW()-1,5),ROW()-1,FALSE))</f>
        <v>1.286030029</v>
      </c>
      <c r="K360" t="str">
        <f>""</f>
        <v/>
      </c>
      <c r="L360">
        <f>1.431550049</f>
        <v>1.4315500489999999</v>
      </c>
      <c r="M360">
        <f>1.188079956</f>
        <v>1.1880799559999999</v>
      </c>
      <c r="N360">
        <f>1.400439941</f>
        <v>1.4004399409999999</v>
      </c>
      <c r="O360">
        <f>1.286030029</f>
        <v>1.286030029</v>
      </c>
    </row>
    <row r="361" spans="1:15" x14ac:dyDescent="0.25">
      <c r="A361" t="str">
        <f>"                    Carrefour SA"</f>
        <v xml:space="preserve">                    Carrefour SA</v>
      </c>
      <c r="B361" t="str">
        <f>"CA FP Equity"</f>
        <v>CA FP Equity</v>
      </c>
      <c r="C361" t="str">
        <f t="shared" si="36"/>
        <v>F0946</v>
      </c>
      <c r="D361" t="str">
        <f t="shared" si="37"/>
        <v>TOTAL_GHG_CO2_EMISSIONS</v>
      </c>
      <c r="E361" t="str">
        <f t="shared" si="38"/>
        <v>Dynamic</v>
      </c>
      <c r="F361">
        <f ca="1">IF(AND(ISNUMBER($F$1477),$B$1132=1),$F$1477,HLOOKUP(INDIRECT(ADDRESS(2,COLUMN())),OFFSET($K$2,0,0,ROW()-1,5),ROW()-1,FALSE))</f>
        <v>1.2130000000000001</v>
      </c>
      <c r="G361">
        <f ca="1">IF(AND(ISNUMBER($G$1477),$B$1132=1),$G$1477,HLOOKUP(INDIRECT(ADDRESS(2,COLUMN())),OFFSET($K$2,0,0,ROW()-1,5),ROW()-1,FALSE))</f>
        <v>1.428310059</v>
      </c>
      <c r="H361">
        <f ca="1">IF(AND(ISNUMBER($H$1477),$B$1132=1),$H$1477,HLOOKUP(INDIRECT(ADDRESS(2,COLUMN())),OFFSET($K$2,0,0,ROW()-1,5),ROW()-1,FALSE))</f>
        <v>1.663800049</v>
      </c>
      <c r="I361">
        <f ca="1">IF(AND(ISNUMBER($I$1477),$B$1132=1),$I$1477,HLOOKUP(INDIRECT(ADDRESS(2,COLUMN())),OFFSET($K$2,0,0,ROW()-1,5),ROW()-1,FALSE))</f>
        <v>1.83298999</v>
      </c>
      <c r="J361">
        <f ca="1">IF(AND(ISNUMBER($J$1477),$B$1132=1),$J$1477,HLOOKUP(INDIRECT(ADDRESS(2,COLUMN())),OFFSET($K$2,0,0,ROW()-1,5),ROW()-1,FALSE))</f>
        <v>2.5620800780000001</v>
      </c>
      <c r="K361">
        <f>1.213</f>
        <v>1.2130000000000001</v>
      </c>
      <c r="L361">
        <f>1.428310059</f>
        <v>1.428310059</v>
      </c>
      <c r="M361">
        <f>1.663800049</f>
        <v>1.663800049</v>
      </c>
      <c r="N361">
        <f>1.83298999</f>
        <v>1.83298999</v>
      </c>
      <c r="O361">
        <f>2.562080078</f>
        <v>2.5620800780000001</v>
      </c>
    </row>
    <row r="362" spans="1:15" x14ac:dyDescent="0.25">
      <c r="A362" t="str">
        <f>"                    Casino Guichard Perrachon SA"</f>
        <v xml:space="preserve">                    Casino Guichard Perrachon SA</v>
      </c>
      <c r="B362" t="str">
        <f>"CO FP Equity"</f>
        <v>CO FP Equity</v>
      </c>
      <c r="C362" t="str">
        <f t="shared" si="36"/>
        <v>F0946</v>
      </c>
      <c r="D362" t="str">
        <f t="shared" si="37"/>
        <v>TOTAL_GHG_CO2_EMISSIONS</v>
      </c>
      <c r="E362" t="str">
        <f t="shared" si="38"/>
        <v>Dynamic</v>
      </c>
      <c r="F362" t="str">
        <f ca="1">IF(AND(ISNUMBER($F$1478),$B$1132=1),$F$1478,HLOOKUP(INDIRECT(ADDRESS(2,COLUMN())),OFFSET($K$2,0,0,ROW()-1,5),ROW()-1,FALSE))</f>
        <v/>
      </c>
      <c r="G362">
        <f ca="1">IF(AND(ISNUMBER($G$1478),$B$1132=1),$G$1478,HLOOKUP(INDIRECT(ADDRESS(2,COLUMN())),OFFSET($K$2,0,0,ROW()-1,5),ROW()-1,FALSE))</f>
        <v>1.3089999999999999</v>
      </c>
      <c r="H362">
        <f ca="1">IF(AND(ISNUMBER($H$1478),$B$1132=1),$H$1478,HLOOKUP(INDIRECT(ADDRESS(2,COLUMN())),OFFSET($K$2,0,0,ROW()-1,5),ROW()-1,FALSE))</f>
        <v>1.4810000000000001</v>
      </c>
      <c r="I362">
        <f ca="1">IF(AND(ISNUMBER($I$1478),$B$1132=1),$I$1478,HLOOKUP(INDIRECT(ADDRESS(2,COLUMN())),OFFSET($K$2,0,0,ROW()-1,5),ROW()-1,FALSE))</f>
        <v>1.468449951</v>
      </c>
      <c r="J362">
        <f ca="1">IF(AND(ISNUMBER($J$1478),$B$1132=1),$J$1478,HLOOKUP(INDIRECT(ADDRESS(2,COLUMN())),OFFSET($K$2,0,0,ROW()-1,5),ROW()-1,FALSE))</f>
        <v>1.417189941</v>
      </c>
      <c r="K362" t="str">
        <f>""</f>
        <v/>
      </c>
      <c r="L362">
        <f>1.309</f>
        <v>1.3089999999999999</v>
      </c>
      <c r="M362">
        <f>1.481</f>
        <v>1.4810000000000001</v>
      </c>
      <c r="N362">
        <f>1.468449951</f>
        <v>1.468449951</v>
      </c>
      <c r="O362">
        <f>1.417189941</f>
        <v>1.417189941</v>
      </c>
    </row>
    <row r="363" spans="1:15" x14ac:dyDescent="0.25">
      <c r="A363" t="str">
        <f>"                    Etablissements Franz Colruyt N"</f>
        <v xml:space="preserve">                    Etablissements Franz Colruyt N</v>
      </c>
      <c r="B363" t="str">
        <f>"COLR BB Equity"</f>
        <v>COLR BB Equity</v>
      </c>
      <c r="C363" t="str">
        <f t="shared" si="36"/>
        <v>F0946</v>
      </c>
      <c r="D363" t="str">
        <f t="shared" si="37"/>
        <v>TOTAL_GHG_CO2_EMISSIONS</v>
      </c>
      <c r="E363" t="str">
        <f t="shared" si="38"/>
        <v>Dynamic</v>
      </c>
      <c r="F363" t="str">
        <f ca="1">IF(AND(ISNUMBER($F$1479),$B$1132=1),$F$1479,HLOOKUP(INDIRECT(ADDRESS(2,COLUMN())),OFFSET($K$2,0,0,ROW()-1,5),ROW()-1,FALSE))</f>
        <v/>
      </c>
      <c r="G363" t="str">
        <f ca="1">IF(AND(ISNUMBER($G$1479),$B$1132=1),$G$1479,HLOOKUP(INDIRECT(ADDRESS(2,COLUMN())),OFFSET($K$2,0,0,ROW()-1,5),ROW()-1,FALSE))</f>
        <v/>
      </c>
      <c r="H363" t="str">
        <f ca="1">IF(AND(ISNUMBER($H$1479),$B$1132=1),$H$1479,HLOOKUP(INDIRECT(ADDRESS(2,COLUMN())),OFFSET($K$2,0,0,ROW()-1,5),ROW()-1,FALSE))</f>
        <v/>
      </c>
      <c r="I363" t="str">
        <f ca="1">IF(AND(ISNUMBER($I$1479),$B$1132=1),$I$1479,HLOOKUP(INDIRECT(ADDRESS(2,COLUMN())),OFFSET($K$2,0,0,ROW()-1,5),ROW()-1,FALSE))</f>
        <v/>
      </c>
      <c r="J363" t="str">
        <f ca="1">IF(AND(ISNUMBER($J$1479),$B$1132=1),$J$1479,HLOOKUP(INDIRECT(ADDRESS(2,COLUMN())),OFFSET($K$2,0,0,ROW()-1,5),ROW()-1,FALSE))</f>
        <v/>
      </c>
      <c r="K363" t="str">
        <f>""</f>
        <v/>
      </c>
      <c r="L363" t="str">
        <f>""</f>
        <v/>
      </c>
      <c r="M363" t="str">
        <f>""</f>
        <v/>
      </c>
      <c r="N363" t="str">
        <f>""</f>
        <v/>
      </c>
      <c r="O363" t="str">
        <f>""</f>
        <v/>
      </c>
    </row>
    <row r="364" spans="1:15" x14ac:dyDescent="0.25">
      <c r="A364" t="str">
        <f>"                    Daikokutenbussan Co Ltd"</f>
        <v xml:space="preserve">                    Daikokutenbussan Co Ltd</v>
      </c>
      <c r="B364" t="str">
        <f>"2791 JP Equity"</f>
        <v>2791 JP Equity</v>
      </c>
      <c r="C364" t="str">
        <f t="shared" si="36"/>
        <v>F0946</v>
      </c>
      <c r="D364" t="str">
        <f t="shared" si="37"/>
        <v>TOTAL_GHG_CO2_EMISSIONS</v>
      </c>
      <c r="E364" t="str">
        <f t="shared" si="38"/>
        <v>Dynamic</v>
      </c>
      <c r="F364" t="str">
        <f ca="1">IF(AND(ISNUMBER($F$1480),$B$1132=1),$F$1480,HLOOKUP(INDIRECT(ADDRESS(2,COLUMN())),OFFSET($K$2,0,0,ROW()-1,5),ROW()-1,FALSE))</f>
        <v/>
      </c>
      <c r="G364" t="str">
        <f ca="1">IF(AND(ISNUMBER($G$1480),$B$1132=1),$G$1480,HLOOKUP(INDIRECT(ADDRESS(2,COLUMN())),OFFSET($K$2,0,0,ROW()-1,5),ROW()-1,FALSE))</f>
        <v/>
      </c>
      <c r="H364" t="str">
        <f ca="1">IF(AND(ISNUMBER($H$1480),$B$1132=1),$H$1480,HLOOKUP(INDIRECT(ADDRESS(2,COLUMN())),OFFSET($K$2,0,0,ROW()-1,5),ROW()-1,FALSE))</f>
        <v/>
      </c>
      <c r="I364" t="str">
        <f ca="1">IF(AND(ISNUMBER($I$1480),$B$1132=1),$I$1480,HLOOKUP(INDIRECT(ADDRESS(2,COLUMN())),OFFSET($K$2,0,0,ROW()-1,5),ROW()-1,FALSE))</f>
        <v/>
      </c>
      <c r="J364" t="str">
        <f ca="1">IF(AND(ISNUMBER($J$1480),$B$1132=1),$J$1480,HLOOKUP(INDIRECT(ADDRESS(2,COLUMN())),OFFSET($K$2,0,0,ROW()-1,5),ROW()-1,FALSE))</f>
        <v/>
      </c>
      <c r="K364" t="str">
        <f>""</f>
        <v/>
      </c>
      <c r="L364" t="str">
        <f>""</f>
        <v/>
      </c>
      <c r="M364" t="str">
        <f>""</f>
        <v/>
      </c>
      <c r="N364" t="str">
        <f>""</f>
        <v/>
      </c>
      <c r="O364" t="str">
        <f>""</f>
        <v/>
      </c>
    </row>
    <row r="365" spans="1:15" x14ac:dyDescent="0.25">
      <c r="A365" t="str">
        <f>"                    Distribuidora Internacional de"</f>
        <v xml:space="preserve">                    Distribuidora Internacional de</v>
      </c>
      <c r="B365" t="str">
        <f>"DIA SM Equity"</f>
        <v>DIA SM Equity</v>
      </c>
      <c r="C365" t="str">
        <f t="shared" si="36"/>
        <v>F0946</v>
      </c>
      <c r="D365" t="str">
        <f t="shared" si="37"/>
        <v>TOTAL_GHG_CO2_EMISSIONS</v>
      </c>
      <c r="E365" t="str">
        <f t="shared" si="38"/>
        <v>Dynamic</v>
      </c>
      <c r="F365">
        <f ca="1">IF(AND(ISNUMBER($F$1481),$B$1132=1),$F$1481,HLOOKUP(INDIRECT(ADDRESS(2,COLUMN())),OFFSET($K$2,0,0,ROW()-1,5),ROW()-1,FALSE))</f>
        <v>0.666346985</v>
      </c>
      <c r="G365">
        <f ca="1">IF(AND(ISNUMBER($G$1481),$B$1132=1),$G$1481,HLOOKUP(INDIRECT(ADDRESS(2,COLUMN())),OFFSET($K$2,0,0,ROW()-1,5),ROW()-1,FALSE))</f>
        <v>0.64875299099999995</v>
      </c>
      <c r="H365">
        <f ca="1">IF(AND(ISNUMBER($H$1481),$B$1132=1),$H$1481,HLOOKUP(INDIRECT(ADDRESS(2,COLUMN())),OFFSET($K$2,0,0,ROW()-1,5),ROW()-1,FALSE))</f>
        <v>0.620359985</v>
      </c>
      <c r="I365">
        <f ca="1">IF(AND(ISNUMBER($I$1481),$B$1132=1),$I$1481,HLOOKUP(INDIRECT(ADDRESS(2,COLUMN())),OFFSET($K$2,0,0,ROW()-1,5),ROW()-1,FALSE))</f>
        <v>0.61901001</v>
      </c>
      <c r="J365">
        <f ca="1">IF(AND(ISNUMBER($J$1481),$B$1132=1),$J$1481,HLOOKUP(INDIRECT(ADDRESS(2,COLUMN())),OFFSET($K$2,0,0,ROW()-1,5),ROW()-1,FALSE))</f>
        <v>0.72283196999999999</v>
      </c>
      <c r="K365">
        <f>0.666346985</f>
        <v>0.666346985</v>
      </c>
      <c r="L365">
        <f>0.648752991</f>
        <v>0.64875299099999995</v>
      </c>
      <c r="M365">
        <f>0.620359985</f>
        <v>0.620359985</v>
      </c>
      <c r="N365">
        <f>0.61901001</f>
        <v>0.61901001</v>
      </c>
      <c r="O365">
        <f>0.72283197</f>
        <v>0.72283196999999999</v>
      </c>
    </row>
    <row r="366" spans="1:15" x14ac:dyDescent="0.25">
      <c r="A366" t="str">
        <f>"                    Dollar Tree Inc"</f>
        <v xml:space="preserve">                    Dollar Tree Inc</v>
      </c>
      <c r="B366" t="str">
        <f>"DLTR US Equity"</f>
        <v>DLTR US Equity</v>
      </c>
      <c r="C366" t="str">
        <f t="shared" si="36"/>
        <v>F0946</v>
      </c>
      <c r="D366" t="str">
        <f t="shared" si="37"/>
        <v>TOTAL_GHG_CO2_EMISSIONS</v>
      </c>
      <c r="E366" t="str">
        <f t="shared" si="38"/>
        <v>Dynamic</v>
      </c>
      <c r="F366" t="str">
        <f ca="1">IF(AND(ISNUMBER($F$1482),$B$1132=1),$F$1482,HLOOKUP(INDIRECT(ADDRESS(2,COLUMN())),OFFSET($K$2,0,0,ROW()-1,5),ROW()-1,FALSE))</f>
        <v/>
      </c>
      <c r="G366">
        <f ca="1">IF(AND(ISNUMBER($G$1482),$B$1132=1),$G$1482,HLOOKUP(INDIRECT(ADDRESS(2,COLUMN())),OFFSET($K$2,0,0,ROW()-1,5),ROW()-1,FALSE))</f>
        <v>1.1432299800000001</v>
      </c>
      <c r="H366">
        <f ca="1">IF(AND(ISNUMBER($H$1482),$B$1132=1),$H$1482,HLOOKUP(INDIRECT(ADDRESS(2,COLUMN())),OFFSET($K$2,0,0,ROW()-1,5),ROW()-1,FALSE))</f>
        <v>1.372630005</v>
      </c>
      <c r="I366" t="str">
        <f ca="1">IF(AND(ISNUMBER($I$1482),$B$1132=1),$I$1482,HLOOKUP(INDIRECT(ADDRESS(2,COLUMN())),OFFSET($K$2,0,0,ROW()-1,5),ROW()-1,FALSE))</f>
        <v/>
      </c>
      <c r="J366" t="str">
        <f ca="1">IF(AND(ISNUMBER($J$1482),$B$1132=1),$J$1482,HLOOKUP(INDIRECT(ADDRESS(2,COLUMN())),OFFSET($K$2,0,0,ROW()-1,5),ROW()-1,FALSE))</f>
        <v/>
      </c>
      <c r="K366" t="str">
        <f>""</f>
        <v/>
      </c>
      <c r="L366">
        <f>1.14322998</f>
        <v>1.1432299800000001</v>
      </c>
      <c r="M366">
        <f>1.372630005</f>
        <v>1.372630005</v>
      </c>
      <c r="N366" t="str">
        <f>""</f>
        <v/>
      </c>
      <c r="O366" t="str">
        <f>""</f>
        <v/>
      </c>
    </row>
    <row r="367" spans="1:15" x14ac:dyDescent="0.25">
      <c r="A367" t="str">
        <f>"                    Dollarama Inc"</f>
        <v xml:space="preserve">                    Dollarama Inc</v>
      </c>
      <c r="B367" t="str">
        <f>"DOL CN Equity"</f>
        <v>DOL CN Equity</v>
      </c>
      <c r="C367" t="str">
        <f t="shared" si="36"/>
        <v>F0946</v>
      </c>
      <c r="D367" t="str">
        <f t="shared" si="37"/>
        <v>TOTAL_GHG_CO2_EMISSIONS</v>
      </c>
      <c r="E367" t="str">
        <f t="shared" si="38"/>
        <v>Dynamic</v>
      </c>
      <c r="F367">
        <f ca="1">IF(AND(ISNUMBER($F$1483),$B$1132=1),$F$1483,HLOOKUP(INDIRECT(ADDRESS(2,COLUMN())),OFFSET($K$2,0,0,ROW()-1,5),ROW()-1,FALSE))</f>
        <v>8.5890998999999996E-2</v>
      </c>
      <c r="G367">
        <f ca="1">IF(AND(ISNUMBER($G$1483),$B$1132=1),$G$1483,HLOOKUP(INDIRECT(ADDRESS(2,COLUMN())),OFFSET($K$2,0,0,ROW()-1,5),ROW()-1,FALSE))</f>
        <v>8.9928000999999994E-2</v>
      </c>
      <c r="H367">
        <f ca="1">IF(AND(ISNUMBER($H$1483),$B$1132=1),$H$1483,HLOOKUP(INDIRECT(ADDRESS(2,COLUMN())),OFFSET($K$2,0,0,ROW()-1,5),ROW()-1,FALSE))</f>
        <v>8.5585998999999996E-2</v>
      </c>
      <c r="I367">
        <f ca="1">IF(AND(ISNUMBER($I$1483),$B$1132=1),$I$1483,HLOOKUP(INDIRECT(ADDRESS(2,COLUMN())),OFFSET($K$2,0,0,ROW()-1,5),ROW()-1,FALSE))</f>
        <v>7.7551001999999994E-2</v>
      </c>
      <c r="J367" t="str">
        <f ca="1">IF(AND(ISNUMBER($J$1483),$B$1132=1),$J$1483,HLOOKUP(INDIRECT(ADDRESS(2,COLUMN())),OFFSET($K$2,0,0,ROW()-1,5),ROW()-1,FALSE))</f>
        <v/>
      </c>
      <c r="K367">
        <f>0.085890999</f>
        <v>8.5890998999999996E-2</v>
      </c>
      <c r="L367">
        <f>0.089928001</f>
        <v>8.9928000999999994E-2</v>
      </c>
      <c r="M367">
        <f>0.085585999</f>
        <v>8.5585998999999996E-2</v>
      </c>
      <c r="N367">
        <f>0.077551002</f>
        <v>7.7551001999999994E-2</v>
      </c>
      <c r="O367" t="str">
        <f>""</f>
        <v/>
      </c>
    </row>
    <row r="368" spans="1:15" x14ac:dyDescent="0.25">
      <c r="A368" t="str">
        <f>"                    DFI Retail Group Holdings Ltd"</f>
        <v xml:space="preserve">                    DFI Retail Group Holdings Ltd</v>
      </c>
      <c r="B368" t="str">
        <f>"DFI SP Equity"</f>
        <v>DFI SP Equity</v>
      </c>
      <c r="C368" t="str">
        <f t="shared" si="36"/>
        <v>F0946</v>
      </c>
      <c r="D368" t="str">
        <f t="shared" si="37"/>
        <v>TOTAL_GHG_CO2_EMISSIONS</v>
      </c>
      <c r="E368" t="str">
        <f t="shared" si="38"/>
        <v>Dynamic</v>
      </c>
      <c r="F368">
        <f ca="1">IF(AND(ISNUMBER($F$1484),$B$1132=1),$F$1484,HLOOKUP(INDIRECT(ADDRESS(2,COLUMN())),OFFSET($K$2,0,0,ROW()-1,5),ROW()-1,FALSE))</f>
        <v>0.77700000000000002</v>
      </c>
      <c r="G368">
        <f ca="1">IF(AND(ISNUMBER($G$1484),$B$1132=1),$G$1484,HLOOKUP(INDIRECT(ADDRESS(2,COLUMN())),OFFSET($K$2,0,0,ROW()-1,5),ROW()-1,FALSE))</f>
        <v>0.86499999999999999</v>
      </c>
      <c r="H368" t="str">
        <f ca="1">IF(AND(ISNUMBER($H$1484),$B$1132=1),$H$1484,HLOOKUP(INDIRECT(ADDRESS(2,COLUMN())),OFFSET($K$2,0,0,ROW()-1,5),ROW()-1,FALSE))</f>
        <v/>
      </c>
      <c r="I368" t="str">
        <f ca="1">IF(AND(ISNUMBER($I$1484),$B$1132=1),$I$1484,HLOOKUP(INDIRECT(ADDRESS(2,COLUMN())),OFFSET($K$2,0,0,ROW()-1,5),ROW()-1,FALSE))</f>
        <v/>
      </c>
      <c r="J368" t="str">
        <f ca="1">IF(AND(ISNUMBER($J$1484),$B$1132=1),$J$1484,HLOOKUP(INDIRECT(ADDRESS(2,COLUMN())),OFFSET($K$2,0,0,ROW()-1,5),ROW()-1,FALSE))</f>
        <v/>
      </c>
      <c r="K368">
        <f>0.777</f>
        <v>0.77700000000000002</v>
      </c>
      <c r="L368">
        <f>0.865</f>
        <v>0.86499999999999999</v>
      </c>
      <c r="M368" t="str">
        <f>""</f>
        <v/>
      </c>
      <c r="N368" t="str">
        <f>""</f>
        <v/>
      </c>
      <c r="O368" t="str">
        <f>""</f>
        <v/>
      </c>
    </row>
    <row r="369" spans="1:15" x14ac:dyDescent="0.25">
      <c r="A369" t="str">
        <f>"                    Dino Polska SA"</f>
        <v xml:space="preserve">                    Dino Polska SA</v>
      </c>
      <c r="B369" t="str">
        <f>"DNP PW Equity"</f>
        <v>DNP PW Equity</v>
      </c>
      <c r="C369" t="str">
        <f t="shared" si="36"/>
        <v>F0946</v>
      </c>
      <c r="D369" t="str">
        <f t="shared" si="37"/>
        <v>TOTAL_GHG_CO2_EMISSIONS</v>
      </c>
      <c r="E369" t="str">
        <f t="shared" si="38"/>
        <v>Dynamic</v>
      </c>
      <c r="F369">
        <f ca="1">IF(AND(ISNUMBER($F$1485),$B$1132=1),$F$1485,HLOOKUP(INDIRECT(ADDRESS(2,COLUMN())),OFFSET($K$2,0,0,ROW()-1,5),ROW()-1,FALSE))</f>
        <v>0.244337997</v>
      </c>
      <c r="G369">
        <f ca="1">IF(AND(ISNUMBER($G$1485),$B$1132=1),$G$1485,HLOOKUP(INDIRECT(ADDRESS(2,COLUMN())),OFFSET($K$2,0,0,ROW()-1,5),ROW()-1,FALSE))</f>
        <v>0.25692898600000003</v>
      </c>
      <c r="H369" t="str">
        <f ca="1">IF(AND(ISNUMBER($H$1485),$B$1132=1),$H$1485,HLOOKUP(INDIRECT(ADDRESS(2,COLUMN())),OFFSET($K$2,0,0,ROW()-1,5),ROW()-1,FALSE))</f>
        <v/>
      </c>
      <c r="I369" t="str">
        <f ca="1">IF(AND(ISNUMBER($I$1485),$B$1132=1),$I$1485,HLOOKUP(INDIRECT(ADDRESS(2,COLUMN())),OFFSET($K$2,0,0,ROW()-1,5),ROW()-1,FALSE))</f>
        <v/>
      </c>
      <c r="J369" t="str">
        <f ca="1">IF(AND(ISNUMBER($J$1485),$B$1132=1),$J$1485,HLOOKUP(INDIRECT(ADDRESS(2,COLUMN())),OFFSET($K$2,0,0,ROW()-1,5),ROW()-1,FALSE))</f>
        <v/>
      </c>
      <c r="K369">
        <f>0.244337997</f>
        <v>0.244337997</v>
      </c>
      <c r="L369">
        <f>0.256928986</f>
        <v>0.25692898600000003</v>
      </c>
      <c r="M369" t="str">
        <f>""</f>
        <v/>
      </c>
      <c r="N369" t="str">
        <f>""</f>
        <v/>
      </c>
      <c r="O369" t="str">
        <f>""</f>
        <v/>
      </c>
    </row>
    <row r="370" spans="1:15" x14ac:dyDescent="0.25">
      <c r="A370" t="str">
        <f>"                    Dollar General Corp"</f>
        <v xml:space="preserve">                    Dollar General Corp</v>
      </c>
      <c r="B370" t="str">
        <f>"DG US Equity"</f>
        <v>DG US Equity</v>
      </c>
      <c r="C370" t="str">
        <f t="shared" si="36"/>
        <v>F0946</v>
      </c>
      <c r="D370" t="str">
        <f t="shared" si="37"/>
        <v>TOTAL_GHG_CO2_EMISSIONS</v>
      </c>
      <c r="E370" t="str">
        <f t="shared" si="38"/>
        <v>Dynamic</v>
      </c>
      <c r="F370" t="str">
        <f ca="1">IF(AND(ISNUMBER($F$1486),$B$1132=1),$F$1486,HLOOKUP(INDIRECT(ADDRESS(2,COLUMN())),OFFSET($K$2,0,0,ROW()-1,5),ROW()-1,FALSE))</f>
        <v/>
      </c>
      <c r="G370">
        <f ca="1">IF(AND(ISNUMBER($G$1486),$B$1132=1),$G$1486,HLOOKUP(INDIRECT(ADDRESS(2,COLUMN())),OFFSET($K$2,0,0,ROW()-1,5),ROW()-1,FALSE))</f>
        <v>1.7677900390000001</v>
      </c>
      <c r="H370">
        <f ca="1">IF(AND(ISNUMBER($H$1486),$B$1132=1),$H$1486,HLOOKUP(INDIRECT(ADDRESS(2,COLUMN())),OFFSET($K$2,0,0,ROW()-1,5),ROW()-1,FALSE))</f>
        <v>1.6230300289999999</v>
      </c>
      <c r="I370">
        <f ca="1">IF(AND(ISNUMBER($I$1486),$B$1132=1),$I$1486,HLOOKUP(INDIRECT(ADDRESS(2,COLUMN())),OFFSET($K$2,0,0,ROW()-1,5),ROW()-1,FALSE))</f>
        <v>1.4622700200000001</v>
      </c>
      <c r="J370" t="str">
        <f ca="1">IF(AND(ISNUMBER($J$1486),$B$1132=1),$J$1486,HLOOKUP(INDIRECT(ADDRESS(2,COLUMN())),OFFSET($K$2,0,0,ROW()-1,5),ROW()-1,FALSE))</f>
        <v/>
      </c>
      <c r="K370" t="str">
        <f>""</f>
        <v/>
      </c>
      <c r="L370">
        <f>1.767790039</f>
        <v>1.7677900390000001</v>
      </c>
      <c r="M370">
        <f>1.623030029</f>
        <v>1.6230300289999999</v>
      </c>
      <c r="N370">
        <f>1.46227002</f>
        <v>1.4622700200000001</v>
      </c>
      <c r="O370" t="str">
        <f>""</f>
        <v/>
      </c>
    </row>
    <row r="371" spans="1:15" x14ac:dyDescent="0.25">
      <c r="A371" t="str">
        <f>"                    E-MART Inc"</f>
        <v xml:space="preserve">                    E-MART Inc</v>
      </c>
      <c r="B371" t="str">
        <f>"139480 KS Equity"</f>
        <v>139480 KS Equity</v>
      </c>
      <c r="C371" t="str">
        <f t="shared" si="36"/>
        <v>F0946</v>
      </c>
      <c r="D371" t="str">
        <f t="shared" si="37"/>
        <v>TOTAL_GHG_CO2_EMISSIONS</v>
      </c>
      <c r="E371" t="str">
        <f t="shared" si="38"/>
        <v>Dynamic</v>
      </c>
      <c r="F371" t="str">
        <f ca="1">IF(AND(ISNUMBER($F$1487),$B$1132=1),$F$1487,HLOOKUP(INDIRECT(ADDRESS(2,COLUMN())),OFFSET($K$2,0,0,ROW()-1,5),ROW()-1,FALSE))</f>
        <v/>
      </c>
      <c r="G371" t="str">
        <f ca="1">IF(AND(ISNUMBER($G$1487),$B$1132=1),$G$1487,HLOOKUP(INDIRECT(ADDRESS(2,COLUMN())),OFFSET($K$2,0,0,ROW()-1,5),ROW()-1,FALSE))</f>
        <v/>
      </c>
      <c r="H371" t="str">
        <f ca="1">IF(AND(ISNUMBER($H$1487),$B$1132=1),$H$1487,HLOOKUP(INDIRECT(ADDRESS(2,COLUMN())),OFFSET($K$2,0,0,ROW()-1,5),ROW()-1,FALSE))</f>
        <v/>
      </c>
      <c r="I371" t="str">
        <f ca="1">IF(AND(ISNUMBER($I$1487),$B$1132=1),$I$1487,HLOOKUP(INDIRECT(ADDRESS(2,COLUMN())),OFFSET($K$2,0,0,ROW()-1,5),ROW()-1,FALSE))</f>
        <v/>
      </c>
      <c r="J371" t="str">
        <f ca="1">IF(AND(ISNUMBER($J$1487),$B$1132=1),$J$1487,HLOOKUP(INDIRECT(ADDRESS(2,COLUMN())),OFFSET($K$2,0,0,ROW()-1,5),ROW()-1,FALSE))</f>
        <v/>
      </c>
      <c r="K371" t="str">
        <f>""</f>
        <v/>
      </c>
      <c r="L371" t="str">
        <f>""</f>
        <v/>
      </c>
      <c r="M371" t="str">
        <f>""</f>
        <v/>
      </c>
      <c r="N371" t="str">
        <f>""</f>
        <v/>
      </c>
      <c r="O371" t="str">
        <f>""</f>
        <v/>
      </c>
    </row>
    <row r="372" spans="1:15" x14ac:dyDescent="0.25">
      <c r="A372" t="str">
        <f>"                    EDEKA ZENTRALE Stiftung &amp; Co K"</f>
        <v xml:space="preserve">                    EDEKA ZENTRALE Stiftung &amp; Co K</v>
      </c>
      <c r="B372" t="str">
        <f>"EDEK GR Equity"</f>
        <v>EDEK GR Equity</v>
      </c>
      <c r="C372" t="str">
        <f t="shared" si="36"/>
        <v>F0946</v>
      </c>
      <c r="D372" t="str">
        <f t="shared" si="37"/>
        <v>TOTAL_GHG_CO2_EMISSIONS</v>
      </c>
      <c r="E372" t="str">
        <f t="shared" si="38"/>
        <v>Dynamic</v>
      </c>
      <c r="F372" t="str">
        <f ca="1">IF(AND(ISNUMBER($F$1488),$B$1132=1),$F$1488,HLOOKUP(INDIRECT(ADDRESS(2,COLUMN())),OFFSET($K$2,0,0,ROW()-1,5),ROW()-1,FALSE))</f>
        <v/>
      </c>
      <c r="G372" t="str">
        <f ca="1">IF(AND(ISNUMBER($G$1488),$B$1132=1),$G$1488,HLOOKUP(INDIRECT(ADDRESS(2,COLUMN())),OFFSET($K$2,0,0,ROW()-1,5),ROW()-1,FALSE))</f>
        <v/>
      </c>
      <c r="H372" t="str">
        <f ca="1">IF(AND(ISNUMBER($H$1488),$B$1132=1),$H$1488,HLOOKUP(INDIRECT(ADDRESS(2,COLUMN())),OFFSET($K$2,0,0,ROW()-1,5),ROW()-1,FALSE))</f>
        <v/>
      </c>
      <c r="I372" t="str">
        <f ca="1">IF(AND(ISNUMBER($I$1488),$B$1132=1),$I$1488,HLOOKUP(INDIRECT(ADDRESS(2,COLUMN())),OFFSET($K$2,0,0,ROW()-1,5),ROW()-1,FALSE))</f>
        <v/>
      </c>
      <c r="J372" t="str">
        <f ca="1">IF(AND(ISNUMBER($J$1488),$B$1132=1),$J$1488,HLOOKUP(INDIRECT(ADDRESS(2,COLUMN())),OFFSET($K$2,0,0,ROW()-1,5),ROW()-1,FALSE))</f>
        <v/>
      </c>
      <c r="K372" t="str">
        <f>""</f>
        <v/>
      </c>
      <c r="L372" t="str">
        <f>""</f>
        <v/>
      </c>
      <c r="M372" t="str">
        <f>""</f>
        <v/>
      </c>
      <c r="N372" t="str">
        <f>""</f>
        <v/>
      </c>
      <c r="O372" t="str">
        <f>""</f>
        <v/>
      </c>
    </row>
    <row r="373" spans="1:15" x14ac:dyDescent="0.25">
      <c r="A373" t="str">
        <f>"                    El Corte Ingles SA"</f>
        <v xml:space="preserve">                    El Corte Ingles SA</v>
      </c>
      <c r="B373" t="str">
        <f>"1082Z SM Equity"</f>
        <v>1082Z SM Equity</v>
      </c>
      <c r="C373" t="str">
        <f t="shared" si="36"/>
        <v>F0946</v>
      </c>
      <c r="D373" t="str">
        <f t="shared" si="37"/>
        <v>TOTAL_GHG_CO2_EMISSIONS</v>
      </c>
      <c r="E373" t="str">
        <f t="shared" si="38"/>
        <v>Dynamic</v>
      </c>
      <c r="F373" t="str">
        <f ca="1">IF(AND(ISNUMBER($F$1489),$B$1132=1),$F$1489,HLOOKUP(INDIRECT(ADDRESS(2,COLUMN())),OFFSET($K$2,0,0,ROW()-1,5),ROW()-1,FALSE))</f>
        <v/>
      </c>
      <c r="G373" t="str">
        <f ca="1">IF(AND(ISNUMBER($G$1489),$B$1132=1),$G$1489,HLOOKUP(INDIRECT(ADDRESS(2,COLUMN())),OFFSET($K$2,0,0,ROW()-1,5),ROW()-1,FALSE))</f>
        <v/>
      </c>
      <c r="H373" t="str">
        <f ca="1">IF(AND(ISNUMBER($H$1489),$B$1132=1),$H$1489,HLOOKUP(INDIRECT(ADDRESS(2,COLUMN())),OFFSET($K$2,0,0,ROW()-1,5),ROW()-1,FALSE))</f>
        <v/>
      </c>
      <c r="I373" t="str">
        <f ca="1">IF(AND(ISNUMBER($I$1489),$B$1132=1),$I$1489,HLOOKUP(INDIRECT(ADDRESS(2,COLUMN())),OFFSET($K$2,0,0,ROW()-1,5),ROW()-1,FALSE))</f>
        <v/>
      </c>
      <c r="J373" t="str">
        <f ca="1">IF(AND(ISNUMBER($J$1489),$B$1132=1),$J$1489,HLOOKUP(INDIRECT(ADDRESS(2,COLUMN())),OFFSET($K$2,0,0,ROW()-1,5),ROW()-1,FALSE))</f>
        <v/>
      </c>
      <c r="K373" t="str">
        <f>""</f>
        <v/>
      </c>
      <c r="L373" t="str">
        <f>""</f>
        <v/>
      </c>
      <c r="M373" t="str">
        <f>""</f>
        <v/>
      </c>
      <c r="N373" t="str">
        <f>""</f>
        <v/>
      </c>
      <c r="O373" t="str">
        <f>""</f>
        <v/>
      </c>
    </row>
    <row r="374" spans="1:15" x14ac:dyDescent="0.25">
      <c r="A374" t="str">
        <f>"                    Eroski S Coop"</f>
        <v xml:space="preserve">                    Eroski S Coop</v>
      </c>
      <c r="B374" t="str">
        <f>"1855Z SM Equity"</f>
        <v>1855Z SM Equity</v>
      </c>
      <c r="C374" t="str">
        <f t="shared" ref="C374:C405" si="39">"F0946"</f>
        <v>F0946</v>
      </c>
      <c r="D374" t="str">
        <f t="shared" ref="D374:D405" si="40">"TOTAL_GHG_CO2_EMISSIONS"</f>
        <v>TOTAL_GHG_CO2_EMISSIONS</v>
      </c>
      <c r="E374" t="str">
        <f t="shared" ref="E374:E405" si="41">"Dynamic"</f>
        <v>Dynamic</v>
      </c>
      <c r="F374" t="str">
        <f ca="1">IF(AND(ISNUMBER($F$1490),$B$1132=1),$F$1490,HLOOKUP(INDIRECT(ADDRESS(2,COLUMN())),OFFSET($K$2,0,0,ROW()-1,5),ROW()-1,FALSE))</f>
        <v/>
      </c>
      <c r="G374" t="str">
        <f ca="1">IF(AND(ISNUMBER($G$1490),$B$1132=1),$G$1490,HLOOKUP(INDIRECT(ADDRESS(2,COLUMN())),OFFSET($K$2,0,0,ROW()-1,5),ROW()-1,FALSE))</f>
        <v/>
      </c>
      <c r="H374" t="str">
        <f ca="1">IF(AND(ISNUMBER($H$1490),$B$1132=1),$H$1490,HLOOKUP(INDIRECT(ADDRESS(2,COLUMN())),OFFSET($K$2,0,0,ROW()-1,5),ROW()-1,FALSE))</f>
        <v/>
      </c>
      <c r="I374" t="str">
        <f ca="1">IF(AND(ISNUMBER($I$1490),$B$1132=1),$I$1490,HLOOKUP(INDIRECT(ADDRESS(2,COLUMN())),OFFSET($K$2,0,0,ROW()-1,5),ROW()-1,FALSE))</f>
        <v/>
      </c>
      <c r="J374" t="str">
        <f ca="1">IF(AND(ISNUMBER($J$1490),$B$1132=1),$J$1490,HLOOKUP(INDIRECT(ADDRESS(2,COLUMN())),OFFSET($K$2,0,0,ROW()-1,5),ROW()-1,FALSE))</f>
        <v/>
      </c>
      <c r="K374" t="str">
        <f>""</f>
        <v/>
      </c>
      <c r="L374" t="str">
        <f>""</f>
        <v/>
      </c>
      <c r="M374" t="str">
        <f>""</f>
        <v/>
      </c>
      <c r="N374" t="str">
        <f>""</f>
        <v/>
      </c>
      <c r="O374" t="str">
        <f>""</f>
        <v/>
      </c>
    </row>
    <row r="375" spans="1:15" x14ac:dyDescent="0.25">
      <c r="A375" t="str">
        <f>"                    Eurocash SA"</f>
        <v xml:space="preserve">                    Eurocash SA</v>
      </c>
      <c r="B375" t="str">
        <f>"EUR PW Equity"</f>
        <v>EUR PW Equity</v>
      </c>
      <c r="C375" t="str">
        <f t="shared" si="39"/>
        <v>F0946</v>
      </c>
      <c r="D375" t="str">
        <f t="shared" si="40"/>
        <v>TOTAL_GHG_CO2_EMISSIONS</v>
      </c>
      <c r="E375" t="str">
        <f t="shared" si="41"/>
        <v>Dynamic</v>
      </c>
      <c r="F375" t="str">
        <f ca="1">IF(AND(ISNUMBER($F$1491),$B$1132=1),$F$1491,HLOOKUP(INDIRECT(ADDRESS(2,COLUMN())),OFFSET($K$2,0,0,ROW()-1,5),ROW()-1,FALSE))</f>
        <v/>
      </c>
      <c r="G375">
        <f ca="1">IF(AND(ISNUMBER($G$1491),$B$1132=1),$G$1491,HLOOKUP(INDIRECT(ADDRESS(2,COLUMN())),OFFSET($K$2,0,0,ROW()-1,5),ROW()-1,FALSE))</f>
        <v>0.142429001</v>
      </c>
      <c r="H375">
        <f ca="1">IF(AND(ISNUMBER($H$1491),$B$1132=1),$H$1491,HLOOKUP(INDIRECT(ADDRESS(2,COLUMN())),OFFSET($K$2,0,0,ROW()-1,5),ROW()-1,FALSE))</f>
        <v>0.16709300199999999</v>
      </c>
      <c r="I375">
        <f ca="1">IF(AND(ISNUMBER($I$1491),$B$1132=1),$I$1491,HLOOKUP(INDIRECT(ADDRESS(2,COLUMN())),OFFSET($K$2,0,0,ROW()-1,5),ROW()-1,FALSE))</f>
        <v>7.3041099999999998E-2</v>
      </c>
      <c r="J375">
        <f ca="1">IF(AND(ISNUMBER($J$1491),$B$1132=1),$J$1491,HLOOKUP(INDIRECT(ADDRESS(2,COLUMN())),OFFSET($K$2,0,0,ROW()-1,5),ROW()-1,FALSE))</f>
        <v>7.0944701999999998E-2</v>
      </c>
      <c r="K375" t="str">
        <f>""</f>
        <v/>
      </c>
      <c r="L375">
        <f>0.142429001</f>
        <v>0.142429001</v>
      </c>
      <c r="M375">
        <f>0.167093002</f>
        <v>0.16709300199999999</v>
      </c>
      <c r="N375">
        <f>0.0730411</f>
        <v>7.3041099999999998E-2</v>
      </c>
      <c r="O375">
        <f>0.070944702</f>
        <v>7.0944701999999998E-2</v>
      </c>
    </row>
    <row r="376" spans="1:15" x14ac:dyDescent="0.25">
      <c r="A376" t="str">
        <f>"                    Empire Co Ltd"</f>
        <v xml:space="preserve">                    Empire Co Ltd</v>
      </c>
      <c r="B376" t="str">
        <f>"EMP/A CN Equity"</f>
        <v>EMP/A CN Equity</v>
      </c>
      <c r="C376" t="str">
        <f t="shared" si="39"/>
        <v>F0946</v>
      </c>
      <c r="D376" t="str">
        <f t="shared" si="40"/>
        <v>TOTAL_GHG_CO2_EMISSIONS</v>
      </c>
      <c r="E376" t="str">
        <f t="shared" si="41"/>
        <v>Dynamic</v>
      </c>
      <c r="F376" t="str">
        <f ca="1">IF(AND(ISNUMBER($F$1492),$B$1132=1),$F$1492,HLOOKUP(INDIRECT(ADDRESS(2,COLUMN())),OFFSET($K$2,0,0,ROW()-1,5),ROW()-1,FALSE))</f>
        <v/>
      </c>
      <c r="G376" t="str">
        <f ca="1">IF(AND(ISNUMBER($G$1492),$B$1132=1),$G$1492,HLOOKUP(INDIRECT(ADDRESS(2,COLUMN())),OFFSET($K$2,0,0,ROW()-1,5),ROW()-1,FALSE))</f>
        <v/>
      </c>
      <c r="H376">
        <f ca="1">IF(AND(ISNUMBER($H$1492),$B$1132=1),$H$1492,HLOOKUP(INDIRECT(ADDRESS(2,COLUMN())),OFFSET($K$2,0,0,ROW()-1,5),ROW()-1,FALSE))</f>
        <v>0.67431799299999995</v>
      </c>
      <c r="I376" t="str">
        <f ca="1">IF(AND(ISNUMBER($I$1492),$B$1132=1),$I$1492,HLOOKUP(INDIRECT(ADDRESS(2,COLUMN())),OFFSET($K$2,0,0,ROW()-1,5),ROW()-1,FALSE))</f>
        <v/>
      </c>
      <c r="J376" t="str">
        <f ca="1">IF(AND(ISNUMBER($J$1492),$B$1132=1),$J$1492,HLOOKUP(INDIRECT(ADDRESS(2,COLUMN())),OFFSET($K$2,0,0,ROW()-1,5),ROW()-1,FALSE))</f>
        <v/>
      </c>
      <c r="K376" t="str">
        <f>""</f>
        <v/>
      </c>
      <c r="L376" t="str">
        <f>""</f>
        <v/>
      </c>
      <c r="M376">
        <f>0.674317993</f>
        <v>0.67431799299999995</v>
      </c>
      <c r="N376" t="str">
        <f>""</f>
        <v/>
      </c>
      <c r="O376" t="str">
        <f>""</f>
        <v/>
      </c>
    </row>
    <row r="377" spans="1:15" x14ac:dyDescent="0.25">
      <c r="A377" t="str">
        <f>"                    Future Enterprises Ltd"</f>
        <v xml:space="preserve">                    Future Enterprises Ltd</v>
      </c>
      <c r="B377" t="str">
        <f>"FEL IN Equity"</f>
        <v>FEL IN Equity</v>
      </c>
      <c r="C377" t="str">
        <f t="shared" si="39"/>
        <v>F0946</v>
      </c>
      <c r="D377" t="str">
        <f t="shared" si="40"/>
        <v>TOTAL_GHG_CO2_EMISSIONS</v>
      </c>
      <c r="E377" t="str">
        <f t="shared" si="41"/>
        <v>Dynamic</v>
      </c>
      <c r="F377" t="str">
        <f ca="1">IF(AND(ISNUMBER($F$1493),$B$1132=1),$F$1493,HLOOKUP(INDIRECT(ADDRESS(2,COLUMN())),OFFSET($K$2,0,0,ROW()-1,5),ROW()-1,FALSE))</f>
        <v/>
      </c>
      <c r="G377" t="str">
        <f ca="1">IF(AND(ISNUMBER($G$1493),$B$1132=1),$G$1493,HLOOKUP(INDIRECT(ADDRESS(2,COLUMN())),OFFSET($K$2,0,0,ROW()-1,5),ROW()-1,FALSE))</f>
        <v/>
      </c>
      <c r="H377" t="str">
        <f ca="1">IF(AND(ISNUMBER($H$1493),$B$1132=1),$H$1493,HLOOKUP(INDIRECT(ADDRESS(2,COLUMN())),OFFSET($K$2,0,0,ROW()-1,5),ROW()-1,FALSE))</f>
        <v/>
      </c>
      <c r="I377" t="str">
        <f ca="1">IF(AND(ISNUMBER($I$1493),$B$1132=1),$I$1493,HLOOKUP(INDIRECT(ADDRESS(2,COLUMN())),OFFSET($K$2,0,0,ROW()-1,5),ROW()-1,FALSE))</f>
        <v/>
      </c>
      <c r="J377" t="str">
        <f ca="1">IF(AND(ISNUMBER($J$1493),$B$1132=1),$J$1493,HLOOKUP(INDIRECT(ADDRESS(2,COLUMN())),OFFSET($K$2,0,0,ROW()-1,5),ROW()-1,FALSE))</f>
        <v/>
      </c>
      <c r="K377" t="str">
        <f>""</f>
        <v/>
      </c>
      <c r="L377" t="str">
        <f>""</f>
        <v/>
      </c>
      <c r="M377" t="str">
        <f>""</f>
        <v/>
      </c>
      <c r="N377" t="str">
        <f>""</f>
        <v/>
      </c>
      <c r="O377" t="str">
        <f>""</f>
        <v/>
      </c>
    </row>
    <row r="378" spans="1:15" x14ac:dyDescent="0.25">
      <c r="A378" t="str">
        <f>"                    Fuji Co Ltd/Ehime"</f>
        <v xml:space="preserve">                    Fuji Co Ltd/Ehime</v>
      </c>
      <c r="B378" t="str">
        <f>"8278 JP Equity"</f>
        <v>8278 JP Equity</v>
      </c>
      <c r="C378" t="str">
        <f t="shared" si="39"/>
        <v>F0946</v>
      </c>
      <c r="D378" t="str">
        <f t="shared" si="40"/>
        <v>TOTAL_GHG_CO2_EMISSIONS</v>
      </c>
      <c r="E378" t="str">
        <f t="shared" si="41"/>
        <v>Dynamic</v>
      </c>
      <c r="F378" t="str">
        <f ca="1">IF(AND(ISNUMBER($F$1494),$B$1132=1),$F$1494,HLOOKUP(INDIRECT(ADDRESS(2,COLUMN())),OFFSET($K$2,0,0,ROW()-1,5),ROW()-1,FALSE))</f>
        <v/>
      </c>
      <c r="G378" t="str">
        <f ca="1">IF(AND(ISNUMBER($G$1494),$B$1132=1),$G$1494,HLOOKUP(INDIRECT(ADDRESS(2,COLUMN())),OFFSET($K$2,0,0,ROW()-1,5),ROW()-1,FALSE))</f>
        <v/>
      </c>
      <c r="H378" t="str">
        <f ca="1">IF(AND(ISNUMBER($H$1494),$B$1132=1),$H$1494,HLOOKUP(INDIRECT(ADDRESS(2,COLUMN())),OFFSET($K$2,0,0,ROW()-1,5),ROW()-1,FALSE))</f>
        <v/>
      </c>
      <c r="I378" t="str">
        <f ca="1">IF(AND(ISNUMBER($I$1494),$B$1132=1),$I$1494,HLOOKUP(INDIRECT(ADDRESS(2,COLUMN())),OFFSET($K$2,0,0,ROW()-1,5),ROW()-1,FALSE))</f>
        <v/>
      </c>
      <c r="J378" t="str">
        <f ca="1">IF(AND(ISNUMBER($J$1494),$B$1132=1),$J$1494,HLOOKUP(INDIRECT(ADDRESS(2,COLUMN())),OFFSET($K$2,0,0,ROW()-1,5),ROW()-1,FALSE))</f>
        <v/>
      </c>
      <c r="K378" t="str">
        <f>""</f>
        <v/>
      </c>
      <c r="L378" t="str">
        <f>""</f>
        <v/>
      </c>
      <c r="M378" t="str">
        <f>""</f>
        <v/>
      </c>
      <c r="N378" t="str">
        <f>""</f>
        <v/>
      </c>
      <c r="O378" t="str">
        <f>""</f>
        <v/>
      </c>
    </row>
    <row r="379" spans="1:15" x14ac:dyDescent="0.25">
      <c r="A379" t="str">
        <f>"                    GS Retail Co Ltd"</f>
        <v xml:space="preserve">                    GS Retail Co Ltd</v>
      </c>
      <c r="B379" t="str">
        <f>"007070 KS Equity"</f>
        <v>007070 KS Equity</v>
      </c>
      <c r="C379" t="str">
        <f t="shared" si="39"/>
        <v>F0946</v>
      </c>
      <c r="D379" t="str">
        <f t="shared" si="40"/>
        <v>TOTAL_GHG_CO2_EMISSIONS</v>
      </c>
      <c r="E379" t="str">
        <f t="shared" si="41"/>
        <v>Dynamic</v>
      </c>
      <c r="F379" t="str">
        <f ca="1">IF(AND(ISNUMBER($F$1495),$B$1132=1),$F$1495,HLOOKUP(INDIRECT(ADDRESS(2,COLUMN())),OFFSET($K$2,0,0,ROW()-1,5),ROW()-1,FALSE))</f>
        <v/>
      </c>
      <c r="G379">
        <f ca="1">IF(AND(ISNUMBER($G$1495),$B$1132=1),$G$1495,HLOOKUP(INDIRECT(ADDRESS(2,COLUMN())),OFFSET($K$2,0,0,ROW()-1,5),ROW()-1,FALSE))</f>
        <v>0.12158100099999999</v>
      </c>
      <c r="H379">
        <f ca="1">IF(AND(ISNUMBER($H$1495),$B$1132=1),$H$1495,HLOOKUP(INDIRECT(ADDRESS(2,COLUMN())),OFFSET($K$2,0,0,ROW()-1,5),ROW()-1,FALSE))</f>
        <v>0.11557199899999999</v>
      </c>
      <c r="I379">
        <f ca="1">IF(AND(ISNUMBER($I$1495),$B$1132=1),$I$1495,HLOOKUP(INDIRECT(ADDRESS(2,COLUMN())),OFFSET($K$2,0,0,ROW()-1,5),ROW()-1,FALSE))</f>
        <v>0.121614998</v>
      </c>
      <c r="J379" t="str">
        <f ca="1">IF(AND(ISNUMBER($J$1495),$B$1132=1),$J$1495,HLOOKUP(INDIRECT(ADDRESS(2,COLUMN())),OFFSET($K$2,0,0,ROW()-1,5),ROW()-1,FALSE))</f>
        <v/>
      </c>
      <c r="K379" t="str">
        <f>""</f>
        <v/>
      </c>
      <c r="L379">
        <f>0.121581001</f>
        <v>0.12158100099999999</v>
      </c>
      <c r="M379">
        <f>0.115571999</f>
        <v>0.11557199899999999</v>
      </c>
      <c r="N379">
        <f>0.121614998</f>
        <v>0.121614998</v>
      </c>
      <c r="O379" t="str">
        <f>""</f>
        <v/>
      </c>
    </row>
    <row r="380" spans="1:15" x14ac:dyDescent="0.25">
      <c r="A380" t="str">
        <f>"                    Giant Eagle Inc"</f>
        <v xml:space="preserve">                    Giant Eagle Inc</v>
      </c>
      <c r="B380" t="str">
        <f>"275512Z US Equity"</f>
        <v>275512Z US Equity</v>
      </c>
      <c r="C380" t="str">
        <f t="shared" si="39"/>
        <v>F0946</v>
      </c>
      <c r="D380" t="str">
        <f t="shared" si="40"/>
        <v>TOTAL_GHG_CO2_EMISSIONS</v>
      </c>
      <c r="E380" t="str">
        <f t="shared" si="41"/>
        <v>Dynamic</v>
      </c>
      <c r="F380" t="str">
        <f ca="1">IF(AND(ISNUMBER($F$1496),$B$1132=1),$F$1496,HLOOKUP(INDIRECT(ADDRESS(2,COLUMN())),OFFSET($K$2,0,0,ROW()-1,5),ROW()-1,FALSE))</f>
        <v/>
      </c>
      <c r="G380" t="str">
        <f ca="1">IF(AND(ISNUMBER($G$1496),$B$1132=1),$G$1496,HLOOKUP(INDIRECT(ADDRESS(2,COLUMN())),OFFSET($K$2,0,0,ROW()-1,5),ROW()-1,FALSE))</f>
        <v/>
      </c>
      <c r="H380" t="str">
        <f ca="1">IF(AND(ISNUMBER($H$1496),$B$1132=1),$H$1496,HLOOKUP(INDIRECT(ADDRESS(2,COLUMN())),OFFSET($K$2,0,0,ROW()-1,5),ROW()-1,FALSE))</f>
        <v/>
      </c>
      <c r="I380" t="str">
        <f ca="1">IF(AND(ISNUMBER($I$1496),$B$1132=1),$I$1496,HLOOKUP(INDIRECT(ADDRESS(2,COLUMN())),OFFSET($K$2,0,0,ROW()-1,5),ROW()-1,FALSE))</f>
        <v/>
      </c>
      <c r="J380" t="str">
        <f ca="1">IF(AND(ISNUMBER($J$1496),$B$1132=1),$J$1496,HLOOKUP(INDIRECT(ADDRESS(2,COLUMN())),OFFSET($K$2,0,0,ROW()-1,5),ROW()-1,FALSE))</f>
        <v/>
      </c>
      <c r="K380" t="str">
        <f>""</f>
        <v/>
      </c>
      <c r="L380" t="str">
        <f>""</f>
        <v/>
      </c>
      <c r="M380" t="str">
        <f>""</f>
        <v/>
      </c>
      <c r="N380" t="str">
        <f>""</f>
        <v/>
      </c>
      <c r="O380" t="str">
        <f>""</f>
        <v/>
      </c>
    </row>
    <row r="381" spans="1:15" x14ac:dyDescent="0.25">
      <c r="A381" t="str">
        <f>"                    Greggs PLC"</f>
        <v xml:space="preserve">                    Greggs PLC</v>
      </c>
      <c r="B381" t="str">
        <f>"GRG LN Equity"</f>
        <v>GRG LN Equity</v>
      </c>
      <c r="C381" t="str">
        <f t="shared" si="39"/>
        <v>F0946</v>
      </c>
      <c r="D381" t="str">
        <f t="shared" si="40"/>
        <v>TOTAL_GHG_CO2_EMISSIONS</v>
      </c>
      <c r="E381" t="str">
        <f t="shared" si="41"/>
        <v>Dynamic</v>
      </c>
      <c r="F381">
        <f ca="1">IF(AND(ISNUMBER($F$1497),$B$1132=1),$F$1497,HLOOKUP(INDIRECT(ADDRESS(2,COLUMN())),OFFSET($K$2,0,0,ROW()-1,5),ROW()-1,FALSE))</f>
        <v>8.7527999999999995E-2</v>
      </c>
      <c r="G381">
        <f ca="1">IF(AND(ISNUMBER($G$1497),$B$1132=1),$G$1497,HLOOKUP(INDIRECT(ADDRESS(2,COLUMN())),OFFSET($K$2,0,0,ROW()-1,5),ROW()-1,FALSE))</f>
        <v>8.2282996999999997E-2</v>
      </c>
      <c r="H381">
        <f ca="1">IF(AND(ISNUMBER($H$1497),$B$1132=1),$H$1497,HLOOKUP(INDIRECT(ADDRESS(2,COLUMN())),OFFSET($K$2,0,0,ROW()-1,5),ROW()-1,FALSE))</f>
        <v>6.7513000000000004E-2</v>
      </c>
      <c r="I381">
        <f ca="1">IF(AND(ISNUMBER($I$1497),$B$1132=1),$I$1497,HLOOKUP(INDIRECT(ADDRESS(2,COLUMN())),OFFSET($K$2,0,0,ROW()-1,5),ROW()-1,FALSE))</f>
        <v>9.5961998000000007E-2</v>
      </c>
      <c r="J381">
        <f ca="1">IF(AND(ISNUMBER($J$1497),$B$1132=1),$J$1497,HLOOKUP(INDIRECT(ADDRESS(2,COLUMN())),OFFSET($K$2,0,0,ROW()-1,5),ROW()-1,FALSE))</f>
        <v>0.101464996</v>
      </c>
      <c r="K381">
        <f>0.087528</f>
        <v>8.7527999999999995E-2</v>
      </c>
      <c r="L381">
        <f>0.082282997</f>
        <v>8.2282996999999997E-2</v>
      </c>
      <c r="M381">
        <f>0.067513</f>
        <v>6.7513000000000004E-2</v>
      </c>
      <c r="N381">
        <f>0.095961998</f>
        <v>9.5961998000000007E-2</v>
      </c>
      <c r="O381">
        <f>0.101464996</f>
        <v>0.101464996</v>
      </c>
    </row>
    <row r="382" spans="1:15" x14ac:dyDescent="0.25">
      <c r="A382" t="str">
        <f>"                    Grupo Mateus SA"</f>
        <v xml:space="preserve">                    Grupo Mateus SA</v>
      </c>
      <c r="B382" t="str">
        <f>"GMAT3 BZ Equity"</f>
        <v>GMAT3 BZ Equity</v>
      </c>
      <c r="C382" t="str">
        <f t="shared" si="39"/>
        <v>F0946</v>
      </c>
      <c r="D382" t="str">
        <f t="shared" si="40"/>
        <v>TOTAL_GHG_CO2_EMISSIONS</v>
      </c>
      <c r="E382" t="str">
        <f t="shared" si="41"/>
        <v>Dynamic</v>
      </c>
      <c r="F382" t="str">
        <f ca="1">IF(AND(ISNUMBER($F$1498),$B$1132=1),$F$1498,HLOOKUP(INDIRECT(ADDRESS(2,COLUMN())),OFFSET($K$2,0,0,ROW()-1,5),ROW()-1,FALSE))</f>
        <v/>
      </c>
      <c r="G382" t="str">
        <f ca="1">IF(AND(ISNUMBER($G$1498),$B$1132=1),$G$1498,HLOOKUP(INDIRECT(ADDRESS(2,COLUMN())),OFFSET($K$2,0,0,ROW()-1,5),ROW()-1,FALSE))</f>
        <v/>
      </c>
      <c r="H382" t="str">
        <f ca="1">IF(AND(ISNUMBER($H$1498),$B$1132=1),$H$1498,HLOOKUP(INDIRECT(ADDRESS(2,COLUMN())),OFFSET($K$2,0,0,ROW()-1,5),ROW()-1,FALSE))</f>
        <v/>
      </c>
      <c r="I382" t="str">
        <f ca="1">IF(AND(ISNUMBER($I$1498),$B$1132=1),$I$1498,HLOOKUP(INDIRECT(ADDRESS(2,COLUMN())),OFFSET($K$2,0,0,ROW()-1,5),ROW()-1,FALSE))</f>
        <v/>
      </c>
      <c r="J382" t="str">
        <f ca="1">IF(AND(ISNUMBER($J$1498),$B$1132=1),$J$1498,HLOOKUP(INDIRECT(ADDRESS(2,COLUMN())),OFFSET($K$2,0,0,ROW()-1,5),ROW()-1,FALSE))</f>
        <v/>
      </c>
      <c r="K382" t="str">
        <f>""</f>
        <v/>
      </c>
      <c r="L382" t="str">
        <f>""</f>
        <v/>
      </c>
      <c r="M382" t="str">
        <f>""</f>
        <v/>
      </c>
      <c r="N382" t="str">
        <f>""</f>
        <v/>
      </c>
      <c r="O382" t="str">
        <f>""</f>
        <v/>
      </c>
    </row>
    <row r="383" spans="1:15" x14ac:dyDescent="0.25">
      <c r="A383" t="str">
        <f>"                    H E Butt Grocery Co"</f>
        <v xml:space="preserve">                    H E Butt Grocery Co</v>
      </c>
      <c r="B383" t="str">
        <f>"9786238Z US Equity"</f>
        <v>9786238Z US Equity</v>
      </c>
      <c r="C383" t="str">
        <f t="shared" si="39"/>
        <v>F0946</v>
      </c>
      <c r="D383" t="str">
        <f t="shared" si="40"/>
        <v>TOTAL_GHG_CO2_EMISSIONS</v>
      </c>
      <c r="E383" t="str">
        <f t="shared" si="41"/>
        <v>Dynamic</v>
      </c>
      <c r="F383" t="str">
        <f ca="1">IF(AND(ISNUMBER($F$1499),$B$1132=1),$F$1499,HLOOKUP(INDIRECT(ADDRESS(2,COLUMN())),OFFSET($K$2,0,0,ROW()-1,5),ROW()-1,FALSE))</f>
        <v/>
      </c>
      <c r="G383" t="str">
        <f ca="1">IF(AND(ISNUMBER($G$1499),$B$1132=1),$G$1499,HLOOKUP(INDIRECT(ADDRESS(2,COLUMN())),OFFSET($K$2,0,0,ROW()-1,5),ROW()-1,FALSE))</f>
        <v/>
      </c>
      <c r="H383" t="str">
        <f ca="1">IF(AND(ISNUMBER($H$1499),$B$1132=1),$H$1499,HLOOKUP(INDIRECT(ADDRESS(2,COLUMN())),OFFSET($K$2,0,0,ROW()-1,5),ROW()-1,FALSE))</f>
        <v/>
      </c>
      <c r="I383" t="str">
        <f ca="1">IF(AND(ISNUMBER($I$1499),$B$1132=1),$I$1499,HLOOKUP(INDIRECT(ADDRESS(2,COLUMN())),OFFSET($K$2,0,0,ROW()-1,5),ROW()-1,FALSE))</f>
        <v/>
      </c>
      <c r="J383" t="str">
        <f ca="1">IF(AND(ISNUMBER($J$1499),$B$1132=1),$J$1499,HLOOKUP(INDIRECT(ADDRESS(2,COLUMN())),OFFSET($K$2,0,0,ROW()-1,5),ROW()-1,FALSE))</f>
        <v/>
      </c>
      <c r="K383" t="str">
        <f>""</f>
        <v/>
      </c>
      <c r="L383" t="str">
        <f>""</f>
        <v/>
      </c>
      <c r="M383" t="str">
        <f>""</f>
        <v/>
      </c>
      <c r="N383" t="str">
        <f>""</f>
        <v/>
      </c>
      <c r="O383" t="str">
        <f>""</f>
        <v/>
      </c>
    </row>
    <row r="384" spans="1:15" x14ac:dyDescent="0.25">
      <c r="A384" t="str">
        <f>"                    H2O Retailing Corp"</f>
        <v xml:space="preserve">                    H2O Retailing Corp</v>
      </c>
      <c r="B384" t="str">
        <f>"8242 JP Equity"</f>
        <v>8242 JP Equity</v>
      </c>
      <c r="C384" t="str">
        <f t="shared" si="39"/>
        <v>F0946</v>
      </c>
      <c r="D384" t="str">
        <f t="shared" si="40"/>
        <v>TOTAL_GHG_CO2_EMISSIONS</v>
      </c>
      <c r="E384" t="str">
        <f t="shared" si="41"/>
        <v>Dynamic</v>
      </c>
      <c r="F384" t="str">
        <f ca="1">IF(AND(ISNUMBER($F$1500),$B$1132=1),$F$1500,HLOOKUP(INDIRECT(ADDRESS(2,COLUMN())),OFFSET($K$2,0,0,ROW()-1,5),ROW()-1,FALSE))</f>
        <v/>
      </c>
      <c r="G384">
        <f ca="1">IF(AND(ISNUMBER($G$1500),$B$1132=1),$G$1500,HLOOKUP(INDIRECT(ADDRESS(2,COLUMN())),OFFSET($K$2,0,0,ROW()-1,5),ROW()-1,FALSE))</f>
        <v>0.215</v>
      </c>
      <c r="H384">
        <f ca="1">IF(AND(ISNUMBER($H$1500),$B$1132=1),$H$1500,HLOOKUP(INDIRECT(ADDRESS(2,COLUMN())),OFFSET($K$2,0,0,ROW()-1,5),ROW()-1,FALSE))</f>
        <v>0.213218994</v>
      </c>
      <c r="I384">
        <f ca="1">IF(AND(ISNUMBER($I$1500),$B$1132=1),$I$1500,HLOOKUP(INDIRECT(ADDRESS(2,COLUMN())),OFFSET($K$2,0,0,ROW()-1,5),ROW()-1,FALSE))</f>
        <v>0.19162300099999999</v>
      </c>
      <c r="J384">
        <f ca="1">IF(AND(ISNUMBER($J$1500),$B$1132=1),$J$1500,HLOOKUP(INDIRECT(ADDRESS(2,COLUMN())),OFFSET($K$2,0,0,ROW()-1,5),ROW()-1,FALSE))</f>
        <v>0.19763600200000001</v>
      </c>
      <c r="K384" t="str">
        <f>""</f>
        <v/>
      </c>
      <c r="L384">
        <f>0.215</f>
        <v>0.215</v>
      </c>
      <c r="M384">
        <f>0.213218994</f>
        <v>0.213218994</v>
      </c>
      <c r="N384">
        <f>0.191623001</f>
        <v>0.19162300099999999</v>
      </c>
      <c r="O384">
        <f>0.197636002</f>
        <v>0.19763600200000001</v>
      </c>
    </row>
    <row r="385" spans="1:15" x14ac:dyDescent="0.25">
      <c r="A385" t="str">
        <f>"                    HOK-Elanto Liiketoiminta Oy"</f>
        <v xml:space="preserve">                    HOK-Elanto Liiketoiminta Oy</v>
      </c>
      <c r="B385" t="str">
        <f>"6795917Z FH Equity"</f>
        <v>6795917Z FH Equity</v>
      </c>
      <c r="C385" t="str">
        <f t="shared" si="39"/>
        <v>F0946</v>
      </c>
      <c r="D385" t="str">
        <f t="shared" si="40"/>
        <v>TOTAL_GHG_CO2_EMISSIONS</v>
      </c>
      <c r="E385" t="str">
        <f t="shared" si="41"/>
        <v>Dynamic</v>
      </c>
      <c r="F385" t="str">
        <f ca="1">IF(AND(ISNUMBER($F$1501),$B$1132=1),$F$1501,HLOOKUP(INDIRECT(ADDRESS(2,COLUMN())),OFFSET($K$2,0,0,ROW()-1,5),ROW()-1,FALSE))</f>
        <v/>
      </c>
      <c r="G385" t="str">
        <f ca="1">IF(AND(ISNUMBER($G$1501),$B$1132=1),$G$1501,HLOOKUP(INDIRECT(ADDRESS(2,COLUMN())),OFFSET($K$2,0,0,ROW()-1,5),ROW()-1,FALSE))</f>
        <v/>
      </c>
      <c r="H385" t="str">
        <f ca="1">IF(AND(ISNUMBER($H$1501),$B$1132=1),$H$1501,HLOOKUP(INDIRECT(ADDRESS(2,COLUMN())),OFFSET($K$2,0,0,ROW()-1,5),ROW()-1,FALSE))</f>
        <v/>
      </c>
      <c r="I385" t="str">
        <f ca="1">IF(AND(ISNUMBER($I$1501),$B$1132=1),$I$1501,HLOOKUP(INDIRECT(ADDRESS(2,COLUMN())),OFFSET($K$2,0,0,ROW()-1,5),ROW()-1,FALSE))</f>
        <v/>
      </c>
      <c r="J385" t="str">
        <f ca="1">IF(AND(ISNUMBER($J$1501),$B$1132=1),$J$1501,HLOOKUP(INDIRECT(ADDRESS(2,COLUMN())),OFFSET($K$2,0,0,ROW()-1,5),ROW()-1,FALSE))</f>
        <v/>
      </c>
      <c r="K385" t="str">
        <f>""</f>
        <v/>
      </c>
      <c r="L385" t="str">
        <f>""</f>
        <v/>
      </c>
      <c r="M385" t="str">
        <f>""</f>
        <v/>
      </c>
      <c r="N385" t="str">
        <f>""</f>
        <v/>
      </c>
      <c r="O385" t="str">
        <f>""</f>
        <v/>
      </c>
    </row>
    <row r="386" spans="1:15" x14ac:dyDescent="0.25">
      <c r="A386" t="str">
        <f>"                    Hy-Vee Inc"</f>
        <v xml:space="preserve">                    Hy-Vee Inc</v>
      </c>
      <c r="B386" t="str">
        <f>"233987Z US Equity"</f>
        <v>233987Z US Equity</v>
      </c>
      <c r="C386" t="str">
        <f t="shared" si="39"/>
        <v>F0946</v>
      </c>
      <c r="D386" t="str">
        <f t="shared" si="40"/>
        <v>TOTAL_GHG_CO2_EMISSIONS</v>
      </c>
      <c r="E386" t="str">
        <f t="shared" si="41"/>
        <v>Dynamic</v>
      </c>
      <c r="F386" t="str">
        <f ca="1">IF(AND(ISNUMBER($F$1502),$B$1132=1),$F$1502,HLOOKUP(INDIRECT(ADDRESS(2,COLUMN())),OFFSET($K$2,0,0,ROW()-1,5),ROW()-1,FALSE))</f>
        <v/>
      </c>
      <c r="G386" t="str">
        <f ca="1">IF(AND(ISNUMBER($G$1502),$B$1132=1),$G$1502,HLOOKUP(INDIRECT(ADDRESS(2,COLUMN())),OFFSET($K$2,0,0,ROW()-1,5),ROW()-1,FALSE))</f>
        <v/>
      </c>
      <c r="H386" t="str">
        <f ca="1">IF(AND(ISNUMBER($H$1502),$B$1132=1),$H$1502,HLOOKUP(INDIRECT(ADDRESS(2,COLUMN())),OFFSET($K$2,0,0,ROW()-1,5),ROW()-1,FALSE))</f>
        <v/>
      </c>
      <c r="I386" t="str">
        <f ca="1">IF(AND(ISNUMBER($I$1502),$B$1132=1),$I$1502,HLOOKUP(INDIRECT(ADDRESS(2,COLUMN())),OFFSET($K$2,0,0,ROW()-1,5),ROW()-1,FALSE))</f>
        <v/>
      </c>
      <c r="J386" t="str">
        <f ca="1">IF(AND(ISNUMBER($J$1502),$B$1132=1),$J$1502,HLOOKUP(INDIRECT(ADDRESS(2,COLUMN())),OFFSET($K$2,0,0,ROW()-1,5),ROW()-1,FALSE))</f>
        <v/>
      </c>
      <c r="K386" t="str">
        <f>""</f>
        <v/>
      </c>
      <c r="L386" t="str">
        <f>""</f>
        <v/>
      </c>
      <c r="M386" t="str">
        <f>""</f>
        <v/>
      </c>
      <c r="N386" t="str">
        <f>""</f>
        <v/>
      </c>
      <c r="O386" t="str">
        <f>""</f>
        <v/>
      </c>
    </row>
    <row r="387" spans="1:15" x14ac:dyDescent="0.25">
      <c r="A387" t="str">
        <f>"                    Heiwado Co Ltd"</f>
        <v xml:space="preserve">                    Heiwado Co Ltd</v>
      </c>
      <c r="B387" t="str">
        <f>"8276 JP Equity"</f>
        <v>8276 JP Equity</v>
      </c>
      <c r="C387" t="str">
        <f t="shared" si="39"/>
        <v>F0946</v>
      </c>
      <c r="D387" t="str">
        <f t="shared" si="40"/>
        <v>TOTAL_GHG_CO2_EMISSIONS</v>
      </c>
      <c r="E387" t="str">
        <f t="shared" si="41"/>
        <v>Dynamic</v>
      </c>
      <c r="F387" t="str">
        <f ca="1">IF(AND(ISNUMBER($F$1503),$B$1132=1),$F$1503,HLOOKUP(INDIRECT(ADDRESS(2,COLUMN())),OFFSET($K$2,0,0,ROW()-1,5),ROW()-1,FALSE))</f>
        <v/>
      </c>
      <c r="G387" t="str">
        <f ca="1">IF(AND(ISNUMBER($G$1503),$B$1132=1),$G$1503,HLOOKUP(INDIRECT(ADDRESS(2,COLUMN())),OFFSET($K$2,0,0,ROW()-1,5),ROW()-1,FALSE))</f>
        <v/>
      </c>
      <c r="H387">
        <f ca="1">IF(AND(ISNUMBER($H$1503),$B$1132=1),$H$1503,HLOOKUP(INDIRECT(ADDRESS(2,COLUMN())),OFFSET($K$2,0,0,ROW()-1,5),ROW()-1,FALSE))</f>
        <v>0.16636700400000001</v>
      </c>
      <c r="I387" t="str">
        <f ca="1">IF(AND(ISNUMBER($I$1503),$B$1132=1),$I$1503,HLOOKUP(INDIRECT(ADDRESS(2,COLUMN())),OFFSET($K$2,0,0,ROW()-1,5),ROW()-1,FALSE))</f>
        <v/>
      </c>
      <c r="J387" t="str">
        <f ca="1">IF(AND(ISNUMBER($J$1503),$B$1132=1),$J$1503,HLOOKUP(INDIRECT(ADDRESS(2,COLUMN())),OFFSET($K$2,0,0,ROW()-1,5),ROW()-1,FALSE))</f>
        <v/>
      </c>
      <c r="K387" t="str">
        <f>""</f>
        <v/>
      </c>
      <c r="L387" t="str">
        <f>""</f>
        <v/>
      </c>
      <c r="M387">
        <f>0.166367004</f>
        <v>0.16636700400000001</v>
      </c>
      <c r="N387" t="str">
        <f>""</f>
        <v/>
      </c>
      <c r="O387" t="str">
        <f>""</f>
        <v/>
      </c>
    </row>
    <row r="388" spans="1:15" x14ac:dyDescent="0.25">
      <c r="A388" t="str">
        <f>"                    ICA AB"</f>
        <v xml:space="preserve">                    ICA AB</v>
      </c>
      <c r="B388" t="str">
        <f>"ICAG SS Equity"</f>
        <v>ICAG SS Equity</v>
      </c>
      <c r="C388" t="str">
        <f t="shared" si="39"/>
        <v>F0946</v>
      </c>
      <c r="D388" t="str">
        <f t="shared" si="40"/>
        <v>TOTAL_GHG_CO2_EMISSIONS</v>
      </c>
      <c r="E388" t="str">
        <f t="shared" si="41"/>
        <v>Dynamic</v>
      </c>
      <c r="F388" t="str">
        <f ca="1">IF(AND(ISNUMBER($F$1504),$B$1132=1),$F$1504,HLOOKUP(INDIRECT(ADDRESS(2,COLUMN())),OFFSET($K$2,0,0,ROW()-1,5),ROW()-1,FALSE))</f>
        <v/>
      </c>
      <c r="G388" t="str">
        <f ca="1">IF(AND(ISNUMBER($G$1504),$B$1132=1),$G$1504,HLOOKUP(INDIRECT(ADDRESS(2,COLUMN())),OFFSET($K$2,0,0,ROW()-1,5),ROW()-1,FALSE))</f>
        <v/>
      </c>
      <c r="H388" t="str">
        <f ca="1">IF(AND(ISNUMBER($H$1504),$B$1132=1),$H$1504,HLOOKUP(INDIRECT(ADDRESS(2,COLUMN())),OFFSET($K$2,0,0,ROW()-1,5),ROW()-1,FALSE))</f>
        <v/>
      </c>
      <c r="I388" t="str">
        <f ca="1">IF(AND(ISNUMBER($I$1504),$B$1132=1),$I$1504,HLOOKUP(INDIRECT(ADDRESS(2,COLUMN())),OFFSET($K$2,0,0,ROW()-1,5),ROW()-1,FALSE))</f>
        <v/>
      </c>
      <c r="J388" t="str">
        <f ca="1">IF(AND(ISNUMBER($J$1504),$B$1132=1),$J$1504,HLOOKUP(INDIRECT(ADDRESS(2,COLUMN())),OFFSET($K$2,0,0,ROW()-1,5),ROW()-1,FALSE))</f>
        <v/>
      </c>
      <c r="K388" t="str">
        <f>""</f>
        <v/>
      </c>
      <c r="L388" t="str">
        <f>""</f>
        <v/>
      </c>
      <c r="M388" t="str">
        <f>""</f>
        <v/>
      </c>
      <c r="N388" t="str">
        <f>""</f>
        <v/>
      </c>
      <c r="O388" t="str">
        <f>""</f>
        <v/>
      </c>
    </row>
    <row r="389" spans="1:15" x14ac:dyDescent="0.25">
      <c r="A389" t="str">
        <f>"                    Inageya Co Ltd"</f>
        <v xml:space="preserve">                    Inageya Co Ltd</v>
      </c>
      <c r="B389" t="str">
        <f>"8182 JP Equity"</f>
        <v>8182 JP Equity</v>
      </c>
      <c r="C389" t="str">
        <f t="shared" si="39"/>
        <v>F0946</v>
      </c>
      <c r="D389" t="str">
        <f t="shared" si="40"/>
        <v>TOTAL_GHG_CO2_EMISSIONS</v>
      </c>
      <c r="E389" t="str">
        <f t="shared" si="41"/>
        <v>Dynamic</v>
      </c>
      <c r="F389" t="str">
        <f ca="1">IF(AND(ISNUMBER($F$1505),$B$1132=1),$F$1505,HLOOKUP(INDIRECT(ADDRESS(2,COLUMN())),OFFSET($K$2,0,0,ROW()-1,5),ROW()-1,FALSE))</f>
        <v/>
      </c>
      <c r="G389" t="str">
        <f ca="1">IF(AND(ISNUMBER($G$1505),$B$1132=1),$G$1505,HLOOKUP(INDIRECT(ADDRESS(2,COLUMN())),OFFSET($K$2,0,0,ROW()-1,5),ROW()-1,FALSE))</f>
        <v/>
      </c>
      <c r="H389">
        <f ca="1">IF(AND(ISNUMBER($H$1505),$B$1132=1),$H$1505,HLOOKUP(INDIRECT(ADDRESS(2,COLUMN())),OFFSET($K$2,0,0,ROW()-1,5),ROW()-1,FALSE))</f>
        <v>8.4480002999999998E-2</v>
      </c>
      <c r="I389">
        <f ca="1">IF(AND(ISNUMBER($I$1505),$B$1132=1),$I$1505,HLOOKUP(INDIRECT(ADDRESS(2,COLUMN())),OFFSET($K$2,0,0,ROW()-1,5),ROW()-1,FALSE))</f>
        <v>8.6722999999999995E-2</v>
      </c>
      <c r="J389">
        <f ca="1">IF(AND(ISNUMBER($J$1505),$B$1132=1),$J$1505,HLOOKUP(INDIRECT(ADDRESS(2,COLUMN())),OFFSET($K$2,0,0,ROW()-1,5),ROW()-1,FALSE))</f>
        <v>8.4665001000000004E-2</v>
      </c>
      <c r="K389" t="str">
        <f>""</f>
        <v/>
      </c>
      <c r="L389" t="str">
        <f>""</f>
        <v/>
      </c>
      <c r="M389">
        <f>0.084480003</f>
        <v>8.4480002999999998E-2</v>
      </c>
      <c r="N389">
        <f>0.086723</f>
        <v>8.6722999999999995E-2</v>
      </c>
      <c r="O389">
        <f>0.084665001</f>
        <v>8.4665001000000004E-2</v>
      </c>
    </row>
    <row r="390" spans="1:15" x14ac:dyDescent="0.25">
      <c r="A390" t="str">
        <f>"                    Ingles Markets Inc"</f>
        <v xml:space="preserve">                    Ingles Markets Inc</v>
      </c>
      <c r="B390" t="str">
        <f>"IMKTA US Equity"</f>
        <v>IMKTA US Equity</v>
      </c>
      <c r="C390" t="str">
        <f t="shared" si="39"/>
        <v>F0946</v>
      </c>
      <c r="D390" t="str">
        <f t="shared" si="40"/>
        <v>TOTAL_GHG_CO2_EMISSIONS</v>
      </c>
      <c r="E390" t="str">
        <f t="shared" si="41"/>
        <v>Dynamic</v>
      </c>
      <c r="F390" t="str">
        <f ca="1">IF(AND(ISNUMBER($F$1506),$B$1132=1),$F$1506,HLOOKUP(INDIRECT(ADDRESS(2,COLUMN())),OFFSET($K$2,0,0,ROW()-1,5),ROW()-1,FALSE))</f>
        <v/>
      </c>
      <c r="G390" t="str">
        <f ca="1">IF(AND(ISNUMBER($G$1506),$B$1132=1),$G$1506,HLOOKUP(INDIRECT(ADDRESS(2,COLUMN())),OFFSET($K$2,0,0,ROW()-1,5),ROW()-1,FALSE))</f>
        <v/>
      </c>
      <c r="H390" t="str">
        <f ca="1">IF(AND(ISNUMBER($H$1506),$B$1132=1),$H$1506,HLOOKUP(INDIRECT(ADDRESS(2,COLUMN())),OFFSET($K$2,0,0,ROW()-1,5),ROW()-1,FALSE))</f>
        <v/>
      </c>
      <c r="I390" t="str">
        <f ca="1">IF(AND(ISNUMBER($I$1506),$B$1132=1),$I$1506,HLOOKUP(INDIRECT(ADDRESS(2,COLUMN())),OFFSET($K$2,0,0,ROW()-1,5),ROW()-1,FALSE))</f>
        <v/>
      </c>
      <c r="J390" t="str">
        <f ca="1">IF(AND(ISNUMBER($J$1506),$B$1132=1),$J$1506,HLOOKUP(INDIRECT(ADDRESS(2,COLUMN())),OFFSET($K$2,0,0,ROW()-1,5),ROW()-1,FALSE))</f>
        <v/>
      </c>
      <c r="K390" t="str">
        <f>""</f>
        <v/>
      </c>
      <c r="L390" t="str">
        <f>""</f>
        <v/>
      </c>
      <c r="M390" t="str">
        <f>""</f>
        <v/>
      </c>
      <c r="N390" t="str">
        <f>""</f>
        <v/>
      </c>
      <c r="O390" t="str">
        <f>""</f>
        <v/>
      </c>
    </row>
    <row r="391" spans="1:15" x14ac:dyDescent="0.25">
      <c r="A391" t="str">
        <f>"                    Izumi Co Ltd"</f>
        <v xml:space="preserve">                    Izumi Co Ltd</v>
      </c>
      <c r="B391" t="str">
        <f>"8273 JP Equity"</f>
        <v>8273 JP Equity</v>
      </c>
      <c r="C391" t="str">
        <f t="shared" si="39"/>
        <v>F0946</v>
      </c>
      <c r="D391" t="str">
        <f t="shared" si="40"/>
        <v>TOTAL_GHG_CO2_EMISSIONS</v>
      </c>
      <c r="E391" t="str">
        <f t="shared" si="41"/>
        <v>Dynamic</v>
      </c>
      <c r="F391" t="str">
        <f ca="1">IF(AND(ISNUMBER($F$1507),$B$1132=1),$F$1507,HLOOKUP(INDIRECT(ADDRESS(2,COLUMN())),OFFSET($K$2,0,0,ROW()-1,5),ROW()-1,FALSE))</f>
        <v/>
      </c>
      <c r="G391" t="str">
        <f ca="1">IF(AND(ISNUMBER($G$1507),$B$1132=1),$G$1507,HLOOKUP(INDIRECT(ADDRESS(2,COLUMN())),OFFSET($K$2,0,0,ROW()-1,5),ROW()-1,FALSE))</f>
        <v/>
      </c>
      <c r="H391" t="str">
        <f ca="1">IF(AND(ISNUMBER($H$1507),$B$1132=1),$H$1507,HLOOKUP(INDIRECT(ADDRESS(2,COLUMN())),OFFSET($K$2,0,0,ROW()-1,5),ROW()-1,FALSE))</f>
        <v/>
      </c>
      <c r="I391" t="str">
        <f ca="1">IF(AND(ISNUMBER($I$1507),$B$1132=1),$I$1507,HLOOKUP(INDIRECT(ADDRESS(2,COLUMN())),OFFSET($K$2,0,0,ROW()-1,5),ROW()-1,FALSE))</f>
        <v/>
      </c>
      <c r="J391" t="str">
        <f ca="1">IF(AND(ISNUMBER($J$1507),$B$1132=1),$J$1507,HLOOKUP(INDIRECT(ADDRESS(2,COLUMN())),OFFSET($K$2,0,0,ROW()-1,5),ROW()-1,FALSE))</f>
        <v/>
      </c>
      <c r="K391" t="str">
        <f>""</f>
        <v/>
      </c>
      <c r="L391" t="str">
        <f>""</f>
        <v/>
      </c>
      <c r="M391" t="str">
        <f>""</f>
        <v/>
      </c>
      <c r="N391" t="str">
        <f>""</f>
        <v/>
      </c>
      <c r="O391" t="str">
        <f>""</f>
        <v/>
      </c>
    </row>
    <row r="392" spans="1:15" x14ac:dyDescent="0.25">
      <c r="A392" t="str">
        <f>"                    J Front Retailing Co Ltd"</f>
        <v xml:space="preserve">                    J Front Retailing Co Ltd</v>
      </c>
      <c r="B392" t="str">
        <f>"3086 JP Equity"</f>
        <v>3086 JP Equity</v>
      </c>
      <c r="C392" t="str">
        <f t="shared" si="39"/>
        <v>F0946</v>
      </c>
      <c r="D392" t="str">
        <f t="shared" si="40"/>
        <v>TOTAL_GHG_CO2_EMISSIONS</v>
      </c>
      <c r="E392" t="str">
        <f t="shared" si="41"/>
        <v>Dynamic</v>
      </c>
      <c r="F392" t="str">
        <f ca="1">IF(AND(ISNUMBER($F$1508),$B$1132=1),$F$1508,HLOOKUP(INDIRECT(ADDRESS(2,COLUMN())),OFFSET($K$2,0,0,ROW()-1,5),ROW()-1,FALSE))</f>
        <v/>
      </c>
      <c r="G392">
        <f ca="1">IF(AND(ISNUMBER($G$1508),$B$1132=1),$G$1508,HLOOKUP(INDIRECT(ADDRESS(2,COLUMN())),OFFSET($K$2,0,0,ROW()-1,5),ROW()-1,FALSE))</f>
        <v>0.16369400000000001</v>
      </c>
      <c r="H392">
        <f ca="1">IF(AND(ISNUMBER($H$1508),$B$1132=1),$H$1508,HLOOKUP(INDIRECT(ADDRESS(2,COLUMN())),OFFSET($K$2,0,0,ROW()-1,5),ROW()-1,FALSE))</f>
        <v>0.14766799899999999</v>
      </c>
      <c r="I392">
        <f ca="1">IF(AND(ISNUMBER($I$1508),$B$1132=1),$I$1508,HLOOKUP(INDIRECT(ADDRESS(2,COLUMN())),OFFSET($K$2,0,0,ROW()-1,5),ROW()-1,FALSE))</f>
        <v>0.189307999</v>
      </c>
      <c r="J392">
        <f ca="1">IF(AND(ISNUMBER($J$1508),$B$1132=1),$J$1508,HLOOKUP(INDIRECT(ADDRESS(2,COLUMN())),OFFSET($K$2,0,0,ROW()-1,5),ROW()-1,FALSE))</f>
        <v>0.18042900100000001</v>
      </c>
      <c r="K392" t="str">
        <f>""</f>
        <v/>
      </c>
      <c r="L392">
        <f>0.163694</f>
        <v>0.16369400000000001</v>
      </c>
      <c r="M392">
        <f>0.147667999</f>
        <v>0.14766799899999999</v>
      </c>
      <c r="N392">
        <f>0.189307999</f>
        <v>0.189307999</v>
      </c>
      <c r="O392">
        <f>0.180429001</f>
        <v>0.18042900100000001</v>
      </c>
    </row>
    <row r="393" spans="1:15" x14ac:dyDescent="0.25">
      <c r="A393" t="str">
        <f>"                    J Sainsbury PLC"</f>
        <v xml:space="preserve">                    J Sainsbury PLC</v>
      </c>
      <c r="B393" t="str">
        <f>"SBRY LN Equity"</f>
        <v>SBRY LN Equity</v>
      </c>
      <c r="C393" t="str">
        <f t="shared" si="39"/>
        <v>F0946</v>
      </c>
      <c r="D393" t="str">
        <f t="shared" si="40"/>
        <v>TOTAL_GHG_CO2_EMISSIONS</v>
      </c>
      <c r="E393" t="str">
        <f t="shared" si="41"/>
        <v>Dynamic</v>
      </c>
      <c r="F393" t="str">
        <f ca="1">IF(AND(ISNUMBER($F$1509),$B$1132=1),$F$1509,HLOOKUP(INDIRECT(ADDRESS(2,COLUMN())),OFFSET($K$2,0,0,ROW()-1,5),ROW()-1,FALSE))</f>
        <v/>
      </c>
      <c r="G393">
        <f ca="1">IF(AND(ISNUMBER($G$1509),$B$1132=1),$G$1509,HLOOKUP(INDIRECT(ADDRESS(2,COLUMN())),OFFSET($K$2,0,0,ROW()-1,5),ROW()-1,FALSE))</f>
        <v>0.77611199900000005</v>
      </c>
      <c r="H393">
        <f ca="1">IF(AND(ISNUMBER($H$1509),$B$1132=1),$H$1509,HLOOKUP(INDIRECT(ADDRESS(2,COLUMN())),OFFSET($K$2,0,0,ROW()-1,5),ROW()-1,FALSE))</f>
        <v>0.85659802299999999</v>
      </c>
      <c r="I393">
        <f ca="1">IF(AND(ISNUMBER($I$1509),$B$1132=1),$I$1509,HLOOKUP(INDIRECT(ADDRESS(2,COLUMN())),OFFSET($K$2,0,0,ROW()-1,5),ROW()-1,FALSE))</f>
        <v>0.90783197000000004</v>
      </c>
      <c r="J393">
        <f ca="1">IF(AND(ISNUMBER($J$1509),$B$1132=1),$J$1509,HLOOKUP(INDIRECT(ADDRESS(2,COLUMN())),OFFSET($K$2,0,0,ROW()-1,5),ROW()-1,FALSE))</f>
        <v>1.014710022</v>
      </c>
      <c r="K393" t="str">
        <f>""</f>
        <v/>
      </c>
      <c r="L393">
        <f>0.776111999</f>
        <v>0.77611199900000005</v>
      </c>
      <c r="M393">
        <f>0.856598023</f>
        <v>0.85659802299999999</v>
      </c>
      <c r="N393">
        <f>0.90783197</f>
        <v>0.90783197000000004</v>
      </c>
      <c r="O393">
        <f>1.014710022</f>
        <v>1.014710022</v>
      </c>
    </row>
    <row r="394" spans="1:15" x14ac:dyDescent="0.25">
      <c r="A394" t="str">
        <f>"                    John Lewis Partnership PLC"</f>
        <v xml:space="preserve">                    John Lewis Partnership PLC</v>
      </c>
      <c r="B394" t="str">
        <f>"6097Z LN Equity"</f>
        <v>6097Z LN Equity</v>
      </c>
      <c r="C394" t="str">
        <f t="shared" si="39"/>
        <v>F0946</v>
      </c>
      <c r="D394" t="str">
        <f t="shared" si="40"/>
        <v>TOTAL_GHG_CO2_EMISSIONS</v>
      </c>
      <c r="E394" t="str">
        <f t="shared" si="41"/>
        <v>Dynamic</v>
      </c>
      <c r="F394" t="str">
        <f ca="1">IF(AND(ISNUMBER($F$1510),$B$1132=1),$F$1510,HLOOKUP(INDIRECT(ADDRESS(2,COLUMN())),OFFSET($K$2,0,0,ROW()-1,5),ROW()-1,FALSE))</f>
        <v/>
      </c>
      <c r="G394" t="str">
        <f ca="1">IF(AND(ISNUMBER($G$1510),$B$1132=1),$G$1510,HLOOKUP(INDIRECT(ADDRESS(2,COLUMN())),OFFSET($K$2,0,0,ROW()-1,5),ROW()-1,FALSE))</f>
        <v/>
      </c>
      <c r="H394" t="str">
        <f ca="1">IF(AND(ISNUMBER($H$1510),$B$1132=1),$H$1510,HLOOKUP(INDIRECT(ADDRESS(2,COLUMN())),OFFSET($K$2,0,0,ROW()-1,5),ROW()-1,FALSE))</f>
        <v/>
      </c>
      <c r="I394" t="str">
        <f ca="1">IF(AND(ISNUMBER($I$1510),$B$1132=1),$I$1510,HLOOKUP(INDIRECT(ADDRESS(2,COLUMN())),OFFSET($K$2,0,0,ROW()-1,5),ROW()-1,FALSE))</f>
        <v/>
      </c>
      <c r="J394" t="str">
        <f ca="1">IF(AND(ISNUMBER($J$1510),$B$1132=1),$J$1510,HLOOKUP(INDIRECT(ADDRESS(2,COLUMN())),OFFSET($K$2,0,0,ROW()-1,5),ROW()-1,FALSE))</f>
        <v/>
      </c>
      <c r="K394" t="str">
        <f>""</f>
        <v/>
      </c>
      <c r="L394" t="str">
        <f>""</f>
        <v/>
      </c>
      <c r="M394" t="str">
        <f>""</f>
        <v/>
      </c>
      <c r="N394" t="str">
        <f>""</f>
        <v/>
      </c>
      <c r="O394" t="str">
        <f>""</f>
        <v/>
      </c>
    </row>
    <row r="395" spans="1:15" x14ac:dyDescent="0.25">
      <c r="A395" t="str">
        <f>"                    JUMBO Groep Holding BV"</f>
        <v xml:space="preserve">                    JUMBO Groep Holding BV</v>
      </c>
      <c r="B395" t="str">
        <f>"3239926Z NA Equity"</f>
        <v>3239926Z NA Equity</v>
      </c>
      <c r="C395" t="str">
        <f t="shared" si="39"/>
        <v>F0946</v>
      </c>
      <c r="D395" t="str">
        <f t="shared" si="40"/>
        <v>TOTAL_GHG_CO2_EMISSIONS</v>
      </c>
      <c r="E395" t="str">
        <f t="shared" si="41"/>
        <v>Dynamic</v>
      </c>
      <c r="F395" t="str">
        <f ca="1">IF(AND(ISNUMBER($F$1511),$B$1132=1),$F$1511,HLOOKUP(INDIRECT(ADDRESS(2,COLUMN())),OFFSET($K$2,0,0,ROW()-1,5),ROW()-1,FALSE))</f>
        <v/>
      </c>
      <c r="G395" t="str">
        <f ca="1">IF(AND(ISNUMBER($G$1511),$B$1132=1),$G$1511,HLOOKUP(INDIRECT(ADDRESS(2,COLUMN())),OFFSET($K$2,0,0,ROW()-1,5),ROW()-1,FALSE))</f>
        <v/>
      </c>
      <c r="H395" t="str">
        <f ca="1">IF(AND(ISNUMBER($H$1511),$B$1132=1),$H$1511,HLOOKUP(INDIRECT(ADDRESS(2,COLUMN())),OFFSET($K$2,0,0,ROW()-1,5),ROW()-1,FALSE))</f>
        <v/>
      </c>
      <c r="I395" t="str">
        <f ca="1">IF(AND(ISNUMBER($I$1511),$B$1132=1),$I$1511,HLOOKUP(INDIRECT(ADDRESS(2,COLUMN())),OFFSET($K$2,0,0,ROW()-1,5),ROW()-1,FALSE))</f>
        <v/>
      </c>
      <c r="J395" t="str">
        <f ca="1">IF(AND(ISNUMBER($J$1511),$B$1132=1),$J$1511,HLOOKUP(INDIRECT(ADDRESS(2,COLUMN())),OFFSET($K$2,0,0,ROW()-1,5),ROW()-1,FALSE))</f>
        <v/>
      </c>
      <c r="K395" t="str">
        <f>""</f>
        <v/>
      </c>
      <c r="L395" t="str">
        <f>""</f>
        <v/>
      </c>
      <c r="M395" t="str">
        <f>""</f>
        <v/>
      </c>
      <c r="N395" t="str">
        <f>""</f>
        <v/>
      </c>
      <c r="O395" t="str">
        <f>""</f>
        <v/>
      </c>
    </row>
    <row r="396" spans="1:15" x14ac:dyDescent="0.25">
      <c r="A396" t="str">
        <f>"                    Jeronimo Martins SGPS SA"</f>
        <v xml:space="preserve">                    Jeronimo Martins SGPS SA</v>
      </c>
      <c r="B396" t="str">
        <f>"JMT PL Equity"</f>
        <v>JMT PL Equity</v>
      </c>
      <c r="C396" t="str">
        <f t="shared" si="39"/>
        <v>F0946</v>
      </c>
      <c r="D396" t="str">
        <f t="shared" si="40"/>
        <v>TOTAL_GHG_CO2_EMISSIONS</v>
      </c>
      <c r="E396" t="str">
        <f t="shared" si="41"/>
        <v>Dynamic</v>
      </c>
      <c r="F396">
        <f ca="1">IF(AND(ISNUMBER($F$1512),$B$1132=1),$F$1512,HLOOKUP(INDIRECT(ADDRESS(2,COLUMN())),OFFSET($K$2,0,0,ROW()-1,5),ROW()-1,FALSE))</f>
        <v>0.97779797400000001</v>
      </c>
      <c r="G396">
        <f ca="1">IF(AND(ISNUMBER($G$1512),$B$1132=1),$G$1512,HLOOKUP(INDIRECT(ADDRESS(2,COLUMN())),OFFSET($K$2,0,0,ROW()-1,5),ROW()-1,FALSE))</f>
        <v>1.0339599610000001</v>
      </c>
      <c r="H396">
        <f ca="1">IF(AND(ISNUMBER($H$1512),$B$1132=1),$H$1512,HLOOKUP(INDIRECT(ADDRESS(2,COLUMN())),OFFSET($K$2,0,0,ROW()-1,5),ROW()-1,FALSE))</f>
        <v>1.061829956</v>
      </c>
      <c r="I396">
        <f ca="1">IF(AND(ISNUMBER($I$1512),$B$1132=1),$I$1512,HLOOKUP(INDIRECT(ADDRESS(2,COLUMN())),OFFSET($K$2,0,0,ROW()-1,5),ROW()-1,FALSE))</f>
        <v>1.0605400389999999</v>
      </c>
      <c r="J396">
        <f ca="1">IF(AND(ISNUMBER($J$1512),$B$1132=1),$J$1512,HLOOKUP(INDIRECT(ADDRESS(2,COLUMN())),OFFSET($K$2,0,0,ROW()-1,5),ROW()-1,FALSE))</f>
        <v>1.0791800540000001</v>
      </c>
      <c r="K396">
        <f>0.977797974</f>
        <v>0.97779797400000001</v>
      </c>
      <c r="L396">
        <f>1.033959961</f>
        <v>1.0339599610000001</v>
      </c>
      <c r="M396">
        <f>1.061829956</f>
        <v>1.061829956</v>
      </c>
      <c r="N396">
        <f>1.060540039</f>
        <v>1.0605400389999999</v>
      </c>
      <c r="O396">
        <f>1.079180054</f>
        <v>1.0791800540000001</v>
      </c>
    </row>
    <row r="397" spans="1:15" x14ac:dyDescent="0.25">
      <c r="A397" t="str">
        <f>"                    Koninklijke Ahold Delhaize NV"</f>
        <v xml:space="preserve">                    Koninklijke Ahold Delhaize NV</v>
      </c>
      <c r="B397" t="str">
        <f>"AD NA Equity"</f>
        <v>AD NA Equity</v>
      </c>
      <c r="C397" t="str">
        <f t="shared" si="39"/>
        <v>F0946</v>
      </c>
      <c r="D397" t="str">
        <f t="shared" si="40"/>
        <v>TOTAL_GHG_CO2_EMISSIONS</v>
      </c>
      <c r="E397" t="str">
        <f t="shared" si="41"/>
        <v>Dynamic</v>
      </c>
      <c r="F397">
        <f ca="1">IF(AND(ISNUMBER($F$1513),$B$1132=1),$F$1513,HLOOKUP(INDIRECT(ADDRESS(2,COLUMN())),OFFSET($K$2,0,0,ROW()-1,5),ROW()-1,FALSE))</f>
        <v>3.4910000000000001</v>
      </c>
      <c r="G397">
        <f ca="1">IF(AND(ISNUMBER($G$1513),$B$1132=1),$G$1513,HLOOKUP(INDIRECT(ADDRESS(2,COLUMN())),OFFSET($K$2,0,0,ROW()-1,5),ROW()-1,FALSE))</f>
        <v>3.476</v>
      </c>
      <c r="H397">
        <f ca="1">IF(AND(ISNUMBER($H$1513),$B$1132=1),$H$1513,HLOOKUP(INDIRECT(ADDRESS(2,COLUMN())),OFFSET($K$2,0,0,ROW()-1,5),ROW()-1,FALSE))</f>
        <v>3.399</v>
      </c>
      <c r="I397">
        <f ca="1">IF(AND(ISNUMBER($I$1513),$B$1132=1),$I$1513,HLOOKUP(INDIRECT(ADDRESS(2,COLUMN())),OFFSET($K$2,0,0,ROW()-1,5),ROW()-1,FALSE))</f>
        <v>3.625</v>
      </c>
      <c r="J397">
        <f ca="1">IF(AND(ISNUMBER($J$1513),$B$1132=1),$J$1513,HLOOKUP(INDIRECT(ADDRESS(2,COLUMN())),OFFSET($K$2,0,0,ROW()-1,5),ROW()-1,FALSE))</f>
        <v>3.766</v>
      </c>
      <c r="K397">
        <f>3.491</f>
        <v>3.4910000000000001</v>
      </c>
      <c r="L397">
        <f>3.476</f>
        <v>3.476</v>
      </c>
      <c r="M397">
        <f>3.399</f>
        <v>3.399</v>
      </c>
      <c r="N397">
        <f>3.625</f>
        <v>3.625</v>
      </c>
      <c r="O397">
        <f>3.766</f>
        <v>3.766</v>
      </c>
    </row>
    <row r="398" spans="1:15" x14ac:dyDescent="0.25">
      <c r="A398" t="str">
        <f>"                    Kesko Oyj"</f>
        <v xml:space="preserve">                    Kesko Oyj</v>
      </c>
      <c r="B398" t="str">
        <f>"KESKOB FH Equity"</f>
        <v>KESKOB FH Equity</v>
      </c>
      <c r="C398" t="str">
        <f t="shared" si="39"/>
        <v>F0946</v>
      </c>
      <c r="D398" t="str">
        <f t="shared" si="40"/>
        <v>TOTAL_GHG_CO2_EMISSIONS</v>
      </c>
      <c r="E398" t="str">
        <f t="shared" si="41"/>
        <v>Dynamic</v>
      </c>
      <c r="F398">
        <f ca="1">IF(AND(ISNUMBER($F$1514),$B$1132=1),$F$1514,HLOOKUP(INDIRECT(ADDRESS(2,COLUMN())),OFFSET($K$2,0,0,ROW()-1,5),ROW()-1,FALSE))</f>
        <v>7.5504997000000004E-2</v>
      </c>
      <c r="G398">
        <f ca="1">IF(AND(ISNUMBER($G$1514),$B$1132=1),$G$1514,HLOOKUP(INDIRECT(ADDRESS(2,COLUMN())),OFFSET($K$2,0,0,ROW()-1,5),ROW()-1,FALSE))</f>
        <v>9.4171996999999993E-2</v>
      </c>
      <c r="H398">
        <f ca="1">IF(AND(ISNUMBER($H$1514),$B$1132=1),$H$1514,HLOOKUP(INDIRECT(ADDRESS(2,COLUMN())),OFFSET($K$2,0,0,ROW()-1,5),ROW()-1,FALSE))</f>
        <v>8.9012000999999993E-2</v>
      </c>
      <c r="I398">
        <f ca="1">IF(AND(ISNUMBER($I$1514),$B$1132=1),$I$1514,HLOOKUP(INDIRECT(ADDRESS(2,COLUMN())),OFFSET($K$2,0,0,ROW()-1,5),ROW()-1,FALSE))</f>
        <v>0.19732200599999999</v>
      </c>
      <c r="J398">
        <f ca="1">IF(AND(ISNUMBER($J$1514),$B$1132=1),$J$1514,HLOOKUP(INDIRECT(ADDRESS(2,COLUMN())),OFFSET($K$2,0,0,ROW()-1,5),ROW()-1,FALSE))</f>
        <v>0.206869995</v>
      </c>
      <c r="K398">
        <f>0.075504997</f>
        <v>7.5504997000000004E-2</v>
      </c>
      <c r="L398">
        <f>0.094171997</f>
        <v>9.4171996999999993E-2</v>
      </c>
      <c r="M398">
        <f>0.089012001</f>
        <v>8.9012000999999993E-2</v>
      </c>
      <c r="N398">
        <f>0.197322006</f>
        <v>0.19732200599999999</v>
      </c>
      <c r="O398">
        <f>0.206869995</f>
        <v>0.206869995</v>
      </c>
    </row>
    <row r="399" spans="1:15" x14ac:dyDescent="0.25">
      <c r="A399" t="str">
        <f>"                    Kroger Co/The"</f>
        <v xml:space="preserve">                    Kroger Co/The</v>
      </c>
      <c r="B399" t="str">
        <f>"KR US Equity"</f>
        <v>KR US Equity</v>
      </c>
      <c r="C399" t="str">
        <f t="shared" si="39"/>
        <v>F0946</v>
      </c>
      <c r="D399" t="str">
        <f t="shared" si="40"/>
        <v>TOTAL_GHG_CO2_EMISSIONS</v>
      </c>
      <c r="E399" t="str">
        <f t="shared" si="41"/>
        <v>Dynamic</v>
      </c>
      <c r="F399" t="str">
        <f ca="1">IF(AND(ISNUMBER($F$1515),$B$1132=1),$F$1515,HLOOKUP(INDIRECT(ADDRESS(2,COLUMN())),OFFSET($K$2,0,0,ROW()-1,5),ROW()-1,FALSE))</f>
        <v/>
      </c>
      <c r="G399">
        <f ca="1">IF(AND(ISNUMBER($G$1515),$B$1132=1),$G$1515,HLOOKUP(INDIRECT(ADDRESS(2,COLUMN())),OFFSET($K$2,0,0,ROW()-1,5),ROW()-1,FALSE))</f>
        <v>5.0505898440000001</v>
      </c>
      <c r="H399">
        <f ca="1">IF(AND(ISNUMBER($H$1515),$B$1132=1),$H$1515,HLOOKUP(INDIRECT(ADDRESS(2,COLUMN())),OFFSET($K$2,0,0,ROW()-1,5),ROW()-1,FALSE))</f>
        <v>5.090350098</v>
      </c>
      <c r="I399">
        <f ca="1">IF(AND(ISNUMBER($I$1515),$B$1132=1),$I$1515,HLOOKUP(INDIRECT(ADDRESS(2,COLUMN())),OFFSET($K$2,0,0,ROW()-1,5),ROW()-1,FALSE))</f>
        <v>5.7497597660000004</v>
      </c>
      <c r="J399">
        <f ca="1">IF(AND(ISNUMBER($J$1515),$B$1132=1),$J$1515,HLOOKUP(INDIRECT(ADDRESS(2,COLUMN())),OFFSET($K$2,0,0,ROW()-1,5),ROW()-1,FALSE))</f>
        <v>5.9174301759999999</v>
      </c>
      <c r="K399" t="str">
        <f>""</f>
        <v/>
      </c>
      <c r="L399">
        <f>5.050589844</f>
        <v>5.0505898440000001</v>
      </c>
      <c r="M399">
        <f>5.090350098</f>
        <v>5.090350098</v>
      </c>
      <c r="N399">
        <f>5.749759766</f>
        <v>5.7497597660000004</v>
      </c>
      <c r="O399">
        <f>5.917430176</f>
        <v>5.9174301759999999</v>
      </c>
    </row>
    <row r="400" spans="1:15" x14ac:dyDescent="0.25">
      <c r="A400" t="str">
        <f>"                    Lawson Inc"</f>
        <v xml:space="preserve">                    Lawson Inc</v>
      </c>
      <c r="B400" t="str">
        <f>"2651 JP Equity"</f>
        <v>2651 JP Equity</v>
      </c>
      <c r="C400" t="str">
        <f t="shared" si="39"/>
        <v>F0946</v>
      </c>
      <c r="D400" t="str">
        <f t="shared" si="40"/>
        <v>TOTAL_GHG_CO2_EMISSIONS</v>
      </c>
      <c r="E400" t="str">
        <f t="shared" si="41"/>
        <v>Dynamic</v>
      </c>
      <c r="F400" t="str">
        <f ca="1">IF(AND(ISNUMBER($F$1516),$B$1132=1),$F$1516,HLOOKUP(INDIRECT(ADDRESS(2,COLUMN())),OFFSET($K$2,0,0,ROW()-1,5),ROW()-1,FALSE))</f>
        <v/>
      </c>
      <c r="G400">
        <f ca="1">IF(AND(ISNUMBER($G$1516),$B$1132=1),$G$1516,HLOOKUP(INDIRECT(ADDRESS(2,COLUMN())),OFFSET($K$2,0,0,ROW()-1,5),ROW()-1,FALSE))</f>
        <v>1.031319946</v>
      </c>
      <c r="H400">
        <f ca="1">IF(AND(ISNUMBER($H$1516),$B$1132=1),$H$1516,HLOOKUP(INDIRECT(ADDRESS(2,COLUMN())),OFFSET($K$2,0,0,ROW()-1,5),ROW()-1,FALSE))</f>
        <v>0.98499999999999999</v>
      </c>
      <c r="I400">
        <f ca="1">IF(AND(ISNUMBER($I$1516),$B$1132=1),$I$1516,HLOOKUP(INDIRECT(ADDRESS(2,COLUMN())),OFFSET($K$2,0,0,ROW()-1,5),ROW()-1,FALSE))</f>
        <v>2.7700000999999998E-2</v>
      </c>
      <c r="J400">
        <f ca="1">IF(AND(ISNUMBER($J$1516),$B$1132=1),$J$1516,HLOOKUP(INDIRECT(ADDRESS(2,COLUMN())),OFFSET($K$2,0,0,ROW()-1,5),ROW()-1,FALSE))</f>
        <v>3.1200001000000002E-2</v>
      </c>
      <c r="K400" t="str">
        <f>""</f>
        <v/>
      </c>
      <c r="L400">
        <f>1.031319946</f>
        <v>1.031319946</v>
      </c>
      <c r="M400">
        <f>0.985</f>
        <v>0.98499999999999999</v>
      </c>
      <c r="N400">
        <f>0.027700001</f>
        <v>2.7700000999999998E-2</v>
      </c>
      <c r="O400">
        <f>0.031200001</f>
        <v>3.1200001000000002E-2</v>
      </c>
    </row>
    <row r="401" spans="1:15" x14ac:dyDescent="0.25">
      <c r="A401" t="str">
        <f>"                    Lenta International Co PJSC"</f>
        <v xml:space="preserve">                    Lenta International Co PJSC</v>
      </c>
      <c r="B401" t="str">
        <f>"LNTA LI Equity"</f>
        <v>LNTA LI Equity</v>
      </c>
      <c r="C401" t="str">
        <f t="shared" si="39"/>
        <v>F0946</v>
      </c>
      <c r="D401" t="str">
        <f t="shared" si="40"/>
        <v>TOTAL_GHG_CO2_EMISSIONS</v>
      </c>
      <c r="E401" t="str">
        <f t="shared" si="41"/>
        <v>Dynamic</v>
      </c>
      <c r="F401" t="str">
        <f ca="1">IF(AND(ISNUMBER($F$1517),$B$1132=1),$F$1517,HLOOKUP(INDIRECT(ADDRESS(2,COLUMN())),OFFSET($K$2,0,0,ROW()-1,5),ROW()-1,FALSE))</f>
        <v/>
      </c>
      <c r="G401" t="str">
        <f ca="1">IF(AND(ISNUMBER($G$1517),$B$1132=1),$G$1517,HLOOKUP(INDIRECT(ADDRESS(2,COLUMN())),OFFSET($K$2,0,0,ROW()-1,5),ROW()-1,FALSE))</f>
        <v/>
      </c>
      <c r="H401" t="str">
        <f ca="1">IF(AND(ISNUMBER($H$1517),$B$1132=1),$H$1517,HLOOKUP(INDIRECT(ADDRESS(2,COLUMN())),OFFSET($K$2,0,0,ROW()-1,5),ROW()-1,FALSE))</f>
        <v/>
      </c>
      <c r="I401" t="str">
        <f ca="1">IF(AND(ISNUMBER($I$1517),$B$1132=1),$I$1517,HLOOKUP(INDIRECT(ADDRESS(2,COLUMN())),OFFSET($K$2,0,0,ROW()-1,5),ROW()-1,FALSE))</f>
        <v/>
      </c>
      <c r="J401" t="str">
        <f ca="1">IF(AND(ISNUMBER($J$1517),$B$1132=1),$J$1517,HLOOKUP(INDIRECT(ADDRESS(2,COLUMN())),OFFSET($K$2,0,0,ROW()-1,5),ROW()-1,FALSE))</f>
        <v/>
      </c>
      <c r="K401" t="str">
        <f>""</f>
        <v/>
      </c>
      <c r="L401" t="str">
        <f>""</f>
        <v/>
      </c>
      <c r="M401" t="str">
        <f>""</f>
        <v/>
      </c>
      <c r="N401" t="str">
        <f>""</f>
        <v/>
      </c>
      <c r="O401" t="str">
        <f>""</f>
        <v/>
      </c>
    </row>
    <row r="402" spans="1:15" x14ac:dyDescent="0.25">
      <c r="A402" t="str">
        <f>"                    Lianhua Supermarket Holdings C"</f>
        <v xml:space="preserve">                    Lianhua Supermarket Holdings C</v>
      </c>
      <c r="B402" t="str">
        <f>"980 HK Equity"</f>
        <v>980 HK Equity</v>
      </c>
      <c r="C402" t="str">
        <f t="shared" si="39"/>
        <v>F0946</v>
      </c>
      <c r="D402" t="str">
        <f t="shared" si="40"/>
        <v>TOTAL_GHG_CO2_EMISSIONS</v>
      </c>
      <c r="E402" t="str">
        <f t="shared" si="41"/>
        <v>Dynamic</v>
      </c>
      <c r="F402">
        <f ca="1">IF(AND(ISNUMBER($F$1518),$B$1132=1),$F$1518,HLOOKUP(INDIRECT(ADDRESS(2,COLUMN())),OFFSET($K$2,0,0,ROW()-1,5),ROW()-1,FALSE))</f>
        <v>0.24692999299999999</v>
      </c>
      <c r="G402">
        <f ca="1">IF(AND(ISNUMBER($G$1518),$B$1132=1),$G$1518,HLOOKUP(INDIRECT(ADDRESS(2,COLUMN())),OFFSET($K$2,0,0,ROW()-1,5),ROW()-1,FALSE))</f>
        <v>0.28048199499999998</v>
      </c>
      <c r="H402">
        <f ca="1">IF(AND(ISNUMBER($H$1518),$B$1132=1),$H$1518,HLOOKUP(INDIRECT(ADDRESS(2,COLUMN())),OFFSET($K$2,0,0,ROW()-1,5),ROW()-1,FALSE))</f>
        <v>0.36415798999999999</v>
      </c>
      <c r="I402" t="str">
        <f ca="1">IF(AND(ISNUMBER($I$1518),$B$1132=1),$I$1518,HLOOKUP(INDIRECT(ADDRESS(2,COLUMN())),OFFSET($K$2,0,0,ROW()-1,5),ROW()-1,FALSE))</f>
        <v/>
      </c>
      <c r="J402">
        <f ca="1">IF(AND(ISNUMBER($J$1518),$B$1132=1),$J$1518,HLOOKUP(INDIRECT(ADDRESS(2,COLUMN())),OFFSET($K$2,0,0,ROW()-1,5),ROW()-1,FALSE))</f>
        <v>0.26558999599999999</v>
      </c>
      <c r="K402">
        <f>0.246929993</f>
        <v>0.24692999299999999</v>
      </c>
      <c r="L402">
        <f>0.280481995</f>
        <v>0.28048199499999998</v>
      </c>
      <c r="M402">
        <f>0.36415799</f>
        <v>0.36415798999999999</v>
      </c>
      <c r="N402" t="str">
        <f>""</f>
        <v/>
      </c>
      <c r="O402">
        <f>0.265589996</f>
        <v>0.26558999599999999</v>
      </c>
    </row>
    <row r="403" spans="1:15" x14ac:dyDescent="0.25">
      <c r="A403" t="str">
        <f>"                    Lotte Shopping Co Ltd"</f>
        <v xml:space="preserve">                    Lotte Shopping Co Ltd</v>
      </c>
      <c r="B403" t="str">
        <f>"023530 KS Equity"</f>
        <v>023530 KS Equity</v>
      </c>
      <c r="C403" t="str">
        <f t="shared" si="39"/>
        <v>F0946</v>
      </c>
      <c r="D403" t="str">
        <f t="shared" si="40"/>
        <v>TOTAL_GHG_CO2_EMISSIONS</v>
      </c>
      <c r="E403" t="str">
        <f t="shared" si="41"/>
        <v>Dynamic</v>
      </c>
      <c r="F403" t="str">
        <f ca="1">IF(AND(ISNUMBER($F$1519),$B$1132=1),$F$1519,HLOOKUP(INDIRECT(ADDRESS(2,COLUMN())),OFFSET($K$2,0,0,ROW()-1,5),ROW()-1,FALSE))</f>
        <v/>
      </c>
      <c r="G403" t="str">
        <f ca="1">IF(AND(ISNUMBER($G$1519),$B$1132=1),$G$1519,HLOOKUP(INDIRECT(ADDRESS(2,COLUMN())),OFFSET($K$2,0,0,ROW()-1,5),ROW()-1,FALSE))</f>
        <v/>
      </c>
      <c r="H403" t="str">
        <f ca="1">IF(AND(ISNUMBER($H$1519),$B$1132=1),$H$1519,HLOOKUP(INDIRECT(ADDRESS(2,COLUMN())),OFFSET($K$2,0,0,ROW()-1,5),ROW()-1,FALSE))</f>
        <v/>
      </c>
      <c r="I403" t="str">
        <f ca="1">IF(AND(ISNUMBER($I$1519),$B$1132=1),$I$1519,HLOOKUP(INDIRECT(ADDRESS(2,COLUMN())),OFFSET($K$2,0,0,ROW()-1,5),ROW()-1,FALSE))</f>
        <v/>
      </c>
      <c r="J403" t="str">
        <f ca="1">IF(AND(ISNUMBER($J$1519),$B$1132=1),$J$1519,HLOOKUP(INDIRECT(ADDRESS(2,COLUMN())),OFFSET($K$2,0,0,ROW()-1,5),ROW()-1,FALSE))</f>
        <v/>
      </c>
      <c r="K403" t="str">
        <f>""</f>
        <v/>
      </c>
      <c r="L403" t="str">
        <f>""</f>
        <v/>
      </c>
      <c r="M403" t="str">
        <f>""</f>
        <v/>
      </c>
      <c r="N403" t="str">
        <f>""</f>
        <v/>
      </c>
      <c r="O403" t="str">
        <f>""</f>
        <v/>
      </c>
    </row>
    <row r="404" spans="1:15" x14ac:dyDescent="0.25">
      <c r="A404" t="str">
        <f>"                    Life Corp"</f>
        <v xml:space="preserve">                    Life Corp</v>
      </c>
      <c r="B404" t="str">
        <f>"8194 JP Equity"</f>
        <v>8194 JP Equity</v>
      </c>
      <c r="C404" t="str">
        <f t="shared" si="39"/>
        <v>F0946</v>
      </c>
      <c r="D404" t="str">
        <f t="shared" si="40"/>
        <v>TOTAL_GHG_CO2_EMISSIONS</v>
      </c>
      <c r="E404" t="str">
        <f t="shared" si="41"/>
        <v>Dynamic</v>
      </c>
      <c r="F404" t="str">
        <f ca="1">IF(AND(ISNUMBER($F$1520),$B$1132=1),$F$1520,HLOOKUP(INDIRECT(ADDRESS(2,COLUMN())),OFFSET($K$2,0,0,ROW()-1,5),ROW()-1,FALSE))</f>
        <v/>
      </c>
      <c r="G404" t="str">
        <f ca="1">IF(AND(ISNUMBER($G$1520),$B$1132=1),$G$1520,HLOOKUP(INDIRECT(ADDRESS(2,COLUMN())),OFFSET($K$2,0,0,ROW()-1,5),ROW()-1,FALSE))</f>
        <v/>
      </c>
      <c r="H404" t="str">
        <f ca="1">IF(AND(ISNUMBER($H$1520),$B$1132=1),$H$1520,HLOOKUP(INDIRECT(ADDRESS(2,COLUMN())),OFFSET($K$2,0,0,ROW()-1,5),ROW()-1,FALSE))</f>
        <v/>
      </c>
      <c r="I404" t="str">
        <f ca="1">IF(AND(ISNUMBER($I$1520),$B$1132=1),$I$1520,HLOOKUP(INDIRECT(ADDRESS(2,COLUMN())),OFFSET($K$2,0,0,ROW()-1,5),ROW()-1,FALSE))</f>
        <v/>
      </c>
      <c r="J404" t="str">
        <f ca="1">IF(AND(ISNUMBER($J$1520),$B$1132=1),$J$1520,HLOOKUP(INDIRECT(ADDRESS(2,COLUMN())),OFFSET($K$2,0,0,ROW()-1,5),ROW()-1,FALSE))</f>
        <v/>
      </c>
      <c r="K404" t="str">
        <f>""</f>
        <v/>
      </c>
      <c r="L404" t="str">
        <f>""</f>
        <v/>
      </c>
      <c r="M404" t="str">
        <f>""</f>
        <v/>
      </c>
      <c r="N404" t="str">
        <f>""</f>
        <v/>
      </c>
      <c r="O404" t="str">
        <f>""</f>
        <v/>
      </c>
    </row>
    <row r="405" spans="1:15" x14ac:dyDescent="0.25">
      <c r="A405" t="str">
        <f>"                    Loblaw Cos Ltd"</f>
        <v xml:space="preserve">                    Loblaw Cos Ltd</v>
      </c>
      <c r="B405" t="str">
        <f>"L CN Equity"</f>
        <v>L CN Equity</v>
      </c>
      <c r="C405" t="str">
        <f t="shared" si="39"/>
        <v>F0946</v>
      </c>
      <c r="D405" t="str">
        <f t="shared" si="40"/>
        <v>TOTAL_GHG_CO2_EMISSIONS</v>
      </c>
      <c r="E405" t="str">
        <f t="shared" si="41"/>
        <v>Dynamic</v>
      </c>
      <c r="F405">
        <f ca="1">IF(AND(ISNUMBER($F$1521),$B$1132=1),$F$1521,HLOOKUP(INDIRECT(ADDRESS(2,COLUMN())),OFFSET($K$2,0,0,ROW()-1,5),ROW()-1,FALSE))</f>
        <v>1.0327500000000001</v>
      </c>
      <c r="G405">
        <f ca="1">IF(AND(ISNUMBER($G$1521),$B$1132=1),$G$1521,HLOOKUP(INDIRECT(ADDRESS(2,COLUMN())),OFFSET($K$2,0,0,ROW()-1,5),ROW()-1,FALSE))</f>
        <v>0.66583898900000005</v>
      </c>
      <c r="H405">
        <f ca="1">IF(AND(ISNUMBER($H$1521),$B$1132=1),$H$1521,HLOOKUP(INDIRECT(ADDRESS(2,COLUMN())),OFFSET($K$2,0,0,ROW()-1,5),ROW()-1,FALSE))</f>
        <v>0.72140197800000005</v>
      </c>
      <c r="I405">
        <f ca="1">IF(AND(ISNUMBER($I$1521),$B$1132=1),$I$1521,HLOOKUP(INDIRECT(ADDRESS(2,COLUMN())),OFFSET($K$2,0,0,ROW()-1,5),ROW()-1,FALSE))</f>
        <v>0.72878900199999996</v>
      </c>
      <c r="J405">
        <f ca="1">IF(AND(ISNUMBER($J$1521),$B$1132=1),$J$1521,HLOOKUP(INDIRECT(ADDRESS(2,COLUMN())),OFFSET($K$2,0,0,ROW()-1,5),ROW()-1,FALSE))</f>
        <v>0.76890399200000004</v>
      </c>
      <c r="K405">
        <f>1.03275</f>
        <v>1.0327500000000001</v>
      </c>
      <c r="L405">
        <f>0.665838989</f>
        <v>0.66583898900000005</v>
      </c>
      <c r="M405">
        <f>0.721401978</f>
        <v>0.72140197800000005</v>
      </c>
      <c r="N405">
        <f>0.728789002</f>
        <v>0.72878900199999996</v>
      </c>
      <c r="O405">
        <f>0.768903992</f>
        <v>0.76890399200000004</v>
      </c>
    </row>
    <row r="406" spans="1:15" x14ac:dyDescent="0.25">
      <c r="A406" t="str">
        <f>"                    Majid Al Futtaim Holding LLC"</f>
        <v xml:space="preserve">                    Majid Al Futtaim Holding LLC</v>
      </c>
      <c r="B406" t="str">
        <f>"924669Z UH Equity"</f>
        <v>924669Z UH Equity</v>
      </c>
      <c r="C406" t="str">
        <f t="shared" ref="C406:C437" si="42">"F0946"</f>
        <v>F0946</v>
      </c>
      <c r="D406" t="str">
        <f t="shared" ref="D406:D437" si="43">"TOTAL_GHG_CO2_EMISSIONS"</f>
        <v>TOTAL_GHG_CO2_EMISSIONS</v>
      </c>
      <c r="E406" t="str">
        <f t="shared" ref="E406:E437" si="44">"Dynamic"</f>
        <v>Dynamic</v>
      </c>
      <c r="F406">
        <f ca="1">IF(AND(ISNUMBER($F$1522),$B$1132=1),$F$1522,HLOOKUP(INDIRECT(ADDRESS(2,COLUMN())),OFFSET($K$2,0,0,ROW()-1,5),ROW()-1,FALSE))</f>
        <v>0.83705798300000001</v>
      </c>
      <c r="G406">
        <f ca="1">IF(AND(ISNUMBER($G$1522),$B$1132=1),$G$1522,HLOOKUP(INDIRECT(ADDRESS(2,COLUMN())),OFFSET($K$2,0,0,ROW()-1,5),ROW()-1,FALSE))</f>
        <v>0.81380602999999996</v>
      </c>
      <c r="H406">
        <f ca="1">IF(AND(ISNUMBER($H$1522),$B$1132=1),$H$1522,HLOOKUP(INDIRECT(ADDRESS(2,COLUMN())),OFFSET($K$2,0,0,ROW()-1,5),ROW()-1,FALSE))</f>
        <v>0.80940899700000002</v>
      </c>
      <c r="I406">
        <f ca="1">IF(AND(ISNUMBER($I$1522),$B$1132=1),$I$1522,HLOOKUP(INDIRECT(ADDRESS(2,COLUMN())),OFFSET($K$2,0,0,ROW()-1,5),ROW()-1,FALSE))</f>
        <v>0.91987402299999999</v>
      </c>
      <c r="J406">
        <f ca="1">IF(AND(ISNUMBER($J$1522),$B$1132=1),$J$1522,HLOOKUP(INDIRECT(ADDRESS(2,COLUMN())),OFFSET($K$2,0,0,ROW()-1,5),ROW()-1,FALSE))</f>
        <v>0.76419799799999999</v>
      </c>
      <c r="K406">
        <f>0.837057983</f>
        <v>0.83705798300000001</v>
      </c>
      <c r="L406">
        <f>0.81380603</f>
        <v>0.81380602999999996</v>
      </c>
      <c r="M406">
        <f>0.809408997</f>
        <v>0.80940899700000002</v>
      </c>
      <c r="N406">
        <f>0.919874023</f>
        <v>0.91987402299999999</v>
      </c>
      <c r="O406">
        <f>0.764197998</f>
        <v>0.76419799799999999</v>
      </c>
    </row>
    <row r="407" spans="1:15" x14ac:dyDescent="0.25">
      <c r="A407" t="str">
        <f>"                    Mercadona SA"</f>
        <v xml:space="preserve">                    Mercadona SA</v>
      </c>
      <c r="B407" t="str">
        <f>"897482Z SM Equity"</f>
        <v>897482Z SM Equity</v>
      </c>
      <c r="C407" t="str">
        <f t="shared" si="42"/>
        <v>F0946</v>
      </c>
      <c r="D407" t="str">
        <f t="shared" si="43"/>
        <v>TOTAL_GHG_CO2_EMISSIONS</v>
      </c>
      <c r="E407" t="str">
        <f t="shared" si="44"/>
        <v>Dynamic</v>
      </c>
      <c r="F407" t="str">
        <f ca="1">IF(AND(ISNUMBER($F$1523),$B$1132=1),$F$1523,HLOOKUP(INDIRECT(ADDRESS(2,COLUMN())),OFFSET($K$2,0,0,ROW()-1,5),ROW()-1,FALSE))</f>
        <v/>
      </c>
      <c r="G407" t="str">
        <f ca="1">IF(AND(ISNUMBER($G$1523),$B$1132=1),$G$1523,HLOOKUP(INDIRECT(ADDRESS(2,COLUMN())),OFFSET($K$2,0,0,ROW()-1,5),ROW()-1,FALSE))</f>
        <v/>
      </c>
      <c r="H407" t="str">
        <f ca="1">IF(AND(ISNUMBER($H$1523),$B$1132=1),$H$1523,HLOOKUP(INDIRECT(ADDRESS(2,COLUMN())),OFFSET($K$2,0,0,ROW()-1,5),ROW()-1,FALSE))</f>
        <v/>
      </c>
      <c r="I407" t="str">
        <f ca="1">IF(AND(ISNUMBER($I$1523),$B$1132=1),$I$1523,HLOOKUP(INDIRECT(ADDRESS(2,COLUMN())),OFFSET($K$2,0,0,ROW()-1,5),ROW()-1,FALSE))</f>
        <v/>
      </c>
      <c r="J407" t="str">
        <f ca="1">IF(AND(ISNUMBER($J$1523),$B$1132=1),$J$1523,HLOOKUP(INDIRECT(ADDRESS(2,COLUMN())),OFFSET($K$2,0,0,ROW()-1,5),ROW()-1,FALSE))</f>
        <v/>
      </c>
      <c r="K407" t="str">
        <f>""</f>
        <v/>
      </c>
      <c r="L407" t="str">
        <f>""</f>
        <v/>
      </c>
      <c r="M407" t="str">
        <f>""</f>
        <v/>
      </c>
      <c r="N407" t="str">
        <f>""</f>
        <v/>
      </c>
      <c r="O407" t="str">
        <f>""</f>
        <v/>
      </c>
    </row>
    <row r="408" spans="1:15" x14ac:dyDescent="0.25">
      <c r="A408" t="str">
        <f>"                    METRO AG"</f>
        <v xml:space="preserve">                    METRO AG</v>
      </c>
      <c r="B408" t="str">
        <f>"B4B GR Equity"</f>
        <v>B4B GR Equity</v>
      </c>
      <c r="C408" t="str">
        <f t="shared" si="42"/>
        <v>F0946</v>
      </c>
      <c r="D408" t="str">
        <f t="shared" si="43"/>
        <v>TOTAL_GHG_CO2_EMISSIONS</v>
      </c>
      <c r="E408" t="str">
        <f t="shared" si="44"/>
        <v>Dynamic</v>
      </c>
      <c r="F408">
        <f ca="1">IF(AND(ISNUMBER($F$1524),$B$1132=1),$F$1524,HLOOKUP(INDIRECT(ADDRESS(2,COLUMN())),OFFSET($K$2,0,0,ROW()-1,5),ROW()-1,FALSE))</f>
        <v>1.0871600340000001</v>
      </c>
      <c r="G408">
        <f ca="1">IF(AND(ISNUMBER($G$1524),$B$1132=1),$G$1524,HLOOKUP(INDIRECT(ADDRESS(2,COLUMN())),OFFSET($K$2,0,0,ROW()-1,5),ROW()-1,FALSE))</f>
        <v>1.088619995</v>
      </c>
      <c r="H408">
        <f ca="1">IF(AND(ISNUMBER($H$1524),$B$1132=1),$H$1524,HLOOKUP(INDIRECT(ADDRESS(2,COLUMN())),OFFSET($K$2,0,0,ROW()-1,5),ROW()-1,FALSE))</f>
        <v>1.145300049</v>
      </c>
      <c r="I408">
        <f ca="1">IF(AND(ISNUMBER($I$1524),$B$1132=1),$I$1524,HLOOKUP(INDIRECT(ADDRESS(2,COLUMN())),OFFSET($K$2,0,0,ROW()-1,5),ROW()-1,FALSE))</f>
        <v>1.196689941</v>
      </c>
      <c r="J408">
        <f ca="1">IF(AND(ISNUMBER($J$1524),$B$1132=1),$J$1524,HLOOKUP(INDIRECT(ADDRESS(2,COLUMN())),OFFSET($K$2,0,0,ROW()-1,5),ROW()-1,FALSE))</f>
        <v>1.727170044</v>
      </c>
      <c r="K408">
        <f>1.087160034</f>
        <v>1.0871600340000001</v>
      </c>
      <c r="L408">
        <f>1.088619995</f>
        <v>1.088619995</v>
      </c>
      <c r="M408">
        <f>1.145300049</f>
        <v>1.145300049</v>
      </c>
      <c r="N408">
        <f>1.196689941</f>
        <v>1.196689941</v>
      </c>
      <c r="O408">
        <f>1.727170044</f>
        <v>1.727170044</v>
      </c>
    </row>
    <row r="409" spans="1:15" x14ac:dyDescent="0.25">
      <c r="A409" t="str">
        <f>"                    Metro Inc/CN"</f>
        <v xml:space="preserve">                    Metro Inc/CN</v>
      </c>
      <c r="B409" t="str">
        <f>"MRU CN Equity"</f>
        <v>MRU CN Equity</v>
      </c>
      <c r="C409" t="str">
        <f t="shared" si="42"/>
        <v>F0946</v>
      </c>
      <c r="D409" t="str">
        <f t="shared" si="43"/>
        <v>TOTAL_GHG_CO2_EMISSIONS</v>
      </c>
      <c r="E409" t="str">
        <f t="shared" si="44"/>
        <v>Dynamic</v>
      </c>
      <c r="F409">
        <f ca="1">IF(AND(ISNUMBER($F$1525),$B$1132=1),$F$1525,HLOOKUP(INDIRECT(ADDRESS(2,COLUMN())),OFFSET($K$2,0,0,ROW()-1,5),ROW()-1,FALSE))</f>
        <v>0.28141699199999998</v>
      </c>
      <c r="G409">
        <f ca="1">IF(AND(ISNUMBER($G$1525),$B$1132=1),$G$1525,HLOOKUP(INDIRECT(ADDRESS(2,COLUMN())),OFFSET($K$2,0,0,ROW()-1,5),ROW()-1,FALSE))</f>
        <v>0.27932299799999999</v>
      </c>
      <c r="H409">
        <f ca="1">IF(AND(ISNUMBER($H$1525),$B$1132=1),$H$1525,HLOOKUP(INDIRECT(ADDRESS(2,COLUMN())),OFFSET($K$2,0,0,ROW()-1,5),ROW()-1,FALSE))</f>
        <v>0.28863299599999998</v>
      </c>
      <c r="I409" t="str">
        <f ca="1">IF(AND(ISNUMBER($I$1525),$B$1132=1),$I$1525,HLOOKUP(INDIRECT(ADDRESS(2,COLUMN())),OFFSET($K$2,0,0,ROW()-1,5),ROW()-1,FALSE))</f>
        <v/>
      </c>
      <c r="J409" t="str">
        <f ca="1">IF(AND(ISNUMBER($J$1525),$B$1132=1),$J$1525,HLOOKUP(INDIRECT(ADDRESS(2,COLUMN())),OFFSET($K$2,0,0,ROW()-1,5),ROW()-1,FALSE))</f>
        <v/>
      </c>
      <c r="K409">
        <f>0.281416992</f>
        <v>0.28141699199999998</v>
      </c>
      <c r="L409">
        <f>0.279322998</f>
        <v>0.27932299799999999</v>
      </c>
      <c r="M409">
        <f>0.288632996</f>
        <v>0.28863299599999998</v>
      </c>
      <c r="N409" t="str">
        <f>""</f>
        <v/>
      </c>
      <c r="O409" t="str">
        <f>""</f>
        <v/>
      </c>
    </row>
    <row r="410" spans="1:15" x14ac:dyDescent="0.25">
      <c r="A410" t="str">
        <f>"                    Migros Ticaret AS"</f>
        <v xml:space="preserve">                    Migros Ticaret AS</v>
      </c>
      <c r="B410" t="str">
        <f>"MGROSTRY EO Equity"</f>
        <v>MGROSTRY EO Equity</v>
      </c>
      <c r="C410" t="str">
        <f t="shared" si="42"/>
        <v>F0946</v>
      </c>
      <c r="D410" t="str">
        <f t="shared" si="43"/>
        <v>TOTAL_GHG_CO2_EMISSIONS</v>
      </c>
      <c r="E410" t="str">
        <f t="shared" si="44"/>
        <v>Dynamic</v>
      </c>
      <c r="F410" t="str">
        <f ca="1">IF(AND(ISNUMBER($F$1526),$B$1132=1),$F$1526,HLOOKUP(INDIRECT(ADDRESS(2,COLUMN())),OFFSET($K$2,0,0,ROW()-1,5),ROW()-1,FALSE))</f>
        <v/>
      </c>
      <c r="G410">
        <f ca="1">IF(AND(ISNUMBER($G$1526),$B$1132=1),$G$1526,HLOOKUP(INDIRECT(ADDRESS(2,COLUMN())),OFFSET($K$2,0,0,ROW()-1,5),ROW()-1,FALSE))</f>
        <v>0.50891500899999997</v>
      </c>
      <c r="H410">
        <f ca="1">IF(AND(ISNUMBER($H$1526),$B$1132=1),$H$1526,HLOOKUP(INDIRECT(ADDRESS(2,COLUMN())),OFFSET($K$2,0,0,ROW()-1,5),ROW()-1,FALSE))</f>
        <v>0.50401501500000001</v>
      </c>
      <c r="I410">
        <f ca="1">IF(AND(ISNUMBER($I$1526),$B$1132=1),$I$1526,HLOOKUP(INDIRECT(ADDRESS(2,COLUMN())),OFFSET($K$2,0,0,ROW()-1,5),ROW()-1,FALSE))</f>
        <v>0.50867498799999999</v>
      </c>
      <c r="J410">
        <f ca="1">IF(AND(ISNUMBER($J$1526),$B$1132=1),$J$1526,HLOOKUP(INDIRECT(ADDRESS(2,COLUMN())),OFFSET($K$2,0,0,ROW()-1,5),ROW()-1,FALSE))</f>
        <v>0.44682598899999998</v>
      </c>
      <c r="K410" t="str">
        <f>""</f>
        <v/>
      </c>
      <c r="L410">
        <f>0.508915009</f>
        <v>0.50891500899999997</v>
      </c>
      <c r="M410">
        <f>0.504015015</f>
        <v>0.50401501500000001</v>
      </c>
      <c r="N410">
        <f>0.508674988</f>
        <v>0.50867498799999999</v>
      </c>
      <c r="O410">
        <f>0.446825989</f>
        <v>0.44682598899999998</v>
      </c>
    </row>
    <row r="411" spans="1:15" x14ac:dyDescent="0.25">
      <c r="A411" t="str">
        <f>"                    Magnit PJSC"</f>
        <v xml:space="preserve">                    Magnit PJSC</v>
      </c>
      <c r="B411" t="str">
        <f>"MGNT RM Equity"</f>
        <v>MGNT RM Equity</v>
      </c>
      <c r="C411" t="str">
        <f t="shared" si="42"/>
        <v>F0946</v>
      </c>
      <c r="D411" t="str">
        <f t="shared" si="43"/>
        <v>TOTAL_GHG_CO2_EMISSIONS</v>
      </c>
      <c r="E411" t="str">
        <f t="shared" si="44"/>
        <v>Dynamic</v>
      </c>
      <c r="F411" t="str">
        <f ca="1">IF(AND(ISNUMBER($F$1527),$B$1132=1),$F$1527,HLOOKUP(INDIRECT(ADDRESS(2,COLUMN())),OFFSET($K$2,0,0,ROW()-1,5),ROW()-1,FALSE))</f>
        <v/>
      </c>
      <c r="G411" t="str">
        <f ca="1">IF(AND(ISNUMBER($G$1527),$B$1132=1),$G$1527,HLOOKUP(INDIRECT(ADDRESS(2,COLUMN())),OFFSET($K$2,0,0,ROW()-1,5),ROW()-1,FALSE))</f>
        <v/>
      </c>
      <c r="H411">
        <f ca="1">IF(AND(ISNUMBER($H$1527),$B$1132=1),$H$1527,HLOOKUP(INDIRECT(ADDRESS(2,COLUMN())),OFFSET($K$2,0,0,ROW()-1,5),ROW()-1,FALSE))</f>
        <v>2.6</v>
      </c>
      <c r="I411">
        <f ca="1">IF(AND(ISNUMBER($I$1527),$B$1132=1),$I$1527,HLOOKUP(INDIRECT(ADDRESS(2,COLUMN())),OFFSET($K$2,0,0,ROW()-1,5),ROW()-1,FALSE))</f>
        <v>0.9</v>
      </c>
      <c r="J411">
        <f ca="1">IF(AND(ISNUMBER($J$1527),$B$1132=1),$J$1527,HLOOKUP(INDIRECT(ADDRESS(2,COLUMN())),OFFSET($K$2,0,0,ROW()-1,5),ROW()-1,FALSE))</f>
        <v>0.8</v>
      </c>
      <c r="K411" t="str">
        <f>""</f>
        <v/>
      </c>
      <c r="L411" t="str">
        <f>""</f>
        <v/>
      </c>
      <c r="M411">
        <f>2.6</f>
        <v>2.6</v>
      </c>
      <c r="N411">
        <f>0.9</f>
        <v>0.9</v>
      </c>
      <c r="O411">
        <f>0.8</f>
        <v>0.8</v>
      </c>
    </row>
    <row r="412" spans="1:15" x14ac:dyDescent="0.25">
      <c r="A412" t="str">
        <f>"                    Meijer Inc"</f>
        <v xml:space="preserve">                    Meijer Inc</v>
      </c>
      <c r="B412" t="str">
        <f>"240163Z US Equity"</f>
        <v>240163Z US Equity</v>
      </c>
      <c r="C412" t="str">
        <f t="shared" si="42"/>
        <v>F0946</v>
      </c>
      <c r="D412" t="str">
        <f t="shared" si="43"/>
        <v>TOTAL_GHG_CO2_EMISSIONS</v>
      </c>
      <c r="E412" t="str">
        <f t="shared" si="44"/>
        <v>Dynamic</v>
      </c>
      <c r="F412" t="str">
        <f ca="1">IF(AND(ISNUMBER($F$1528),$B$1132=1),$F$1528,HLOOKUP(INDIRECT(ADDRESS(2,COLUMN())),OFFSET($K$2,0,0,ROW()-1,5),ROW()-1,FALSE))</f>
        <v/>
      </c>
      <c r="G412" t="str">
        <f ca="1">IF(AND(ISNUMBER($G$1528),$B$1132=1),$G$1528,HLOOKUP(INDIRECT(ADDRESS(2,COLUMN())),OFFSET($K$2,0,0,ROW()-1,5),ROW()-1,FALSE))</f>
        <v/>
      </c>
      <c r="H412" t="str">
        <f ca="1">IF(AND(ISNUMBER($H$1528),$B$1132=1),$H$1528,HLOOKUP(INDIRECT(ADDRESS(2,COLUMN())),OFFSET($K$2,0,0,ROW()-1,5),ROW()-1,FALSE))</f>
        <v/>
      </c>
      <c r="I412" t="str">
        <f ca="1">IF(AND(ISNUMBER($I$1528),$B$1132=1),$I$1528,HLOOKUP(INDIRECT(ADDRESS(2,COLUMN())),OFFSET($K$2,0,0,ROW()-1,5),ROW()-1,FALSE))</f>
        <v/>
      </c>
      <c r="J412" t="str">
        <f ca="1">IF(AND(ISNUMBER($J$1528),$B$1132=1),$J$1528,HLOOKUP(INDIRECT(ADDRESS(2,COLUMN())),OFFSET($K$2,0,0,ROW()-1,5),ROW()-1,FALSE))</f>
        <v/>
      </c>
      <c r="K412" t="str">
        <f>""</f>
        <v/>
      </c>
      <c r="L412" t="str">
        <f>""</f>
        <v/>
      </c>
      <c r="M412" t="str">
        <f>""</f>
        <v/>
      </c>
      <c r="N412" t="str">
        <f>""</f>
        <v/>
      </c>
      <c r="O412" t="str">
        <f>""</f>
        <v/>
      </c>
    </row>
    <row r="413" spans="1:15" x14ac:dyDescent="0.25">
      <c r="A413" t="str">
        <f>"                    Metcash Ltd"</f>
        <v xml:space="preserve">                    Metcash Ltd</v>
      </c>
      <c r="B413" t="str">
        <f>"MTS AU Equity"</f>
        <v>MTS AU Equity</v>
      </c>
      <c r="C413" t="str">
        <f t="shared" si="42"/>
        <v>F0946</v>
      </c>
      <c r="D413" t="str">
        <f t="shared" si="43"/>
        <v>TOTAL_GHG_CO2_EMISSIONS</v>
      </c>
      <c r="E413" t="str">
        <f t="shared" si="44"/>
        <v>Dynamic</v>
      </c>
      <c r="F413" t="str">
        <f ca="1">IF(AND(ISNUMBER($F$1529),$B$1132=1),$F$1529,HLOOKUP(INDIRECT(ADDRESS(2,COLUMN())),OFFSET($K$2,0,0,ROW()-1,5),ROW()-1,FALSE))</f>
        <v/>
      </c>
      <c r="G413">
        <f ca="1">IF(AND(ISNUMBER($G$1529),$B$1132=1),$G$1529,HLOOKUP(INDIRECT(ADDRESS(2,COLUMN())),OFFSET($K$2,0,0,ROW()-1,5),ROW()-1,FALSE))</f>
        <v>7.7706000999999997E-2</v>
      </c>
      <c r="H413">
        <f ca="1">IF(AND(ISNUMBER($H$1529),$B$1132=1),$H$1529,HLOOKUP(INDIRECT(ADDRESS(2,COLUMN())),OFFSET($K$2,0,0,ROW()-1,5),ROW()-1,FALSE))</f>
        <v>8.0648002999999996E-2</v>
      </c>
      <c r="I413">
        <f ca="1">IF(AND(ISNUMBER($I$1529),$B$1132=1),$I$1529,HLOOKUP(INDIRECT(ADDRESS(2,COLUMN())),OFFSET($K$2,0,0,ROW()-1,5),ROW()-1,FALSE))</f>
        <v>8.5241997E-2</v>
      </c>
      <c r="J413">
        <f ca="1">IF(AND(ISNUMBER($J$1529),$B$1132=1),$J$1529,HLOOKUP(INDIRECT(ADDRESS(2,COLUMN())),OFFSET($K$2,0,0,ROW()-1,5),ROW()-1,FALSE))</f>
        <v>8.7792998999999997E-2</v>
      </c>
      <c r="K413" t="str">
        <f>""</f>
        <v/>
      </c>
      <c r="L413">
        <f>0.077706001</f>
        <v>7.7706000999999997E-2</v>
      </c>
      <c r="M413">
        <f>0.080648003</f>
        <v>8.0648002999999996E-2</v>
      </c>
      <c r="N413">
        <f>0.085241997</f>
        <v>8.5241997E-2</v>
      </c>
      <c r="O413">
        <f>0.087792999</f>
        <v>8.7792998999999997E-2</v>
      </c>
    </row>
    <row r="414" spans="1:15" x14ac:dyDescent="0.25">
      <c r="A414" t="str">
        <f>"                    North West Co Inc/The"</f>
        <v xml:space="preserve">                    North West Co Inc/The</v>
      </c>
      <c r="B414" t="str">
        <f>"NWC CN Equity"</f>
        <v>NWC CN Equity</v>
      </c>
      <c r="C414" t="str">
        <f t="shared" si="42"/>
        <v>F0946</v>
      </c>
      <c r="D414" t="str">
        <f t="shared" si="43"/>
        <v>TOTAL_GHG_CO2_EMISSIONS</v>
      </c>
      <c r="E414" t="str">
        <f t="shared" si="44"/>
        <v>Dynamic</v>
      </c>
      <c r="F414" t="str">
        <f ca="1">IF(AND(ISNUMBER($F$1530),$B$1132=1),$F$1530,HLOOKUP(INDIRECT(ADDRESS(2,COLUMN())),OFFSET($K$2,0,0,ROW()-1,5),ROW()-1,FALSE))</f>
        <v/>
      </c>
      <c r="G414" t="str">
        <f ca="1">IF(AND(ISNUMBER($G$1530),$B$1132=1),$G$1530,HLOOKUP(INDIRECT(ADDRESS(2,COLUMN())),OFFSET($K$2,0,0,ROW()-1,5),ROW()-1,FALSE))</f>
        <v/>
      </c>
      <c r="H414" t="str">
        <f ca="1">IF(AND(ISNUMBER($H$1530),$B$1132=1),$H$1530,HLOOKUP(INDIRECT(ADDRESS(2,COLUMN())),OFFSET($K$2,0,0,ROW()-1,5),ROW()-1,FALSE))</f>
        <v/>
      </c>
      <c r="I414" t="str">
        <f ca="1">IF(AND(ISNUMBER($I$1530),$B$1132=1),$I$1530,HLOOKUP(INDIRECT(ADDRESS(2,COLUMN())),OFFSET($K$2,0,0,ROW()-1,5),ROW()-1,FALSE))</f>
        <v/>
      </c>
      <c r="J414" t="str">
        <f ca="1">IF(AND(ISNUMBER($J$1530),$B$1132=1),$J$1530,HLOOKUP(INDIRECT(ADDRESS(2,COLUMN())),OFFSET($K$2,0,0,ROW()-1,5),ROW()-1,FALSE))</f>
        <v/>
      </c>
      <c r="K414" t="str">
        <f>""</f>
        <v/>
      </c>
      <c r="L414" t="str">
        <f>""</f>
        <v/>
      </c>
      <c r="M414" t="str">
        <f>""</f>
        <v/>
      </c>
      <c r="N414" t="str">
        <f>""</f>
        <v/>
      </c>
      <c r="O414" t="str">
        <f>""</f>
        <v/>
      </c>
    </row>
    <row r="415" spans="1:15" x14ac:dyDescent="0.25">
      <c r="A415" t="str">
        <f>"                    Natural Grocers by Vitamin Cot"</f>
        <v xml:space="preserve">                    Natural Grocers by Vitamin Cot</v>
      </c>
      <c r="B415" t="str">
        <f>"NGVC US Equity"</f>
        <v>NGVC US Equity</v>
      </c>
      <c r="C415" t="str">
        <f t="shared" si="42"/>
        <v>F0946</v>
      </c>
      <c r="D415" t="str">
        <f t="shared" si="43"/>
        <v>TOTAL_GHG_CO2_EMISSIONS</v>
      </c>
      <c r="E415" t="str">
        <f t="shared" si="44"/>
        <v>Dynamic</v>
      </c>
      <c r="F415" t="str">
        <f ca="1">IF(AND(ISNUMBER($F$1531),$B$1132=1),$F$1531,HLOOKUP(INDIRECT(ADDRESS(2,COLUMN())),OFFSET($K$2,0,0,ROW()-1,5),ROW()-1,FALSE))</f>
        <v/>
      </c>
      <c r="G415" t="str">
        <f ca="1">IF(AND(ISNUMBER($G$1531),$B$1132=1),$G$1531,HLOOKUP(INDIRECT(ADDRESS(2,COLUMN())),OFFSET($K$2,0,0,ROW()-1,5),ROW()-1,FALSE))</f>
        <v/>
      </c>
      <c r="H415" t="str">
        <f ca="1">IF(AND(ISNUMBER($H$1531),$B$1132=1),$H$1531,HLOOKUP(INDIRECT(ADDRESS(2,COLUMN())),OFFSET($K$2,0,0,ROW()-1,5),ROW()-1,FALSE))</f>
        <v/>
      </c>
      <c r="I415" t="str">
        <f ca="1">IF(AND(ISNUMBER($I$1531),$B$1132=1),$I$1531,HLOOKUP(INDIRECT(ADDRESS(2,COLUMN())),OFFSET($K$2,0,0,ROW()-1,5),ROW()-1,FALSE))</f>
        <v/>
      </c>
      <c r="J415" t="str">
        <f ca="1">IF(AND(ISNUMBER($J$1531),$B$1132=1),$J$1531,HLOOKUP(INDIRECT(ADDRESS(2,COLUMN())),OFFSET($K$2,0,0,ROW()-1,5),ROW()-1,FALSE))</f>
        <v/>
      </c>
      <c r="K415" t="str">
        <f>""</f>
        <v/>
      </c>
      <c r="L415" t="str">
        <f>""</f>
        <v/>
      </c>
      <c r="M415" t="str">
        <f>""</f>
        <v/>
      </c>
      <c r="N415" t="str">
        <f>""</f>
        <v/>
      </c>
      <c r="O415" t="str">
        <f>""</f>
        <v/>
      </c>
    </row>
    <row r="416" spans="1:15" x14ac:dyDescent="0.25">
      <c r="A416" t="str">
        <f>"                    O'Key Group SA"</f>
        <v xml:space="preserve">                    O'Key Group SA</v>
      </c>
      <c r="B416" t="str">
        <f>"OKEY LI Equity"</f>
        <v>OKEY LI Equity</v>
      </c>
      <c r="C416" t="str">
        <f t="shared" si="42"/>
        <v>F0946</v>
      </c>
      <c r="D416" t="str">
        <f t="shared" si="43"/>
        <v>TOTAL_GHG_CO2_EMISSIONS</v>
      </c>
      <c r="E416" t="str">
        <f t="shared" si="44"/>
        <v>Dynamic</v>
      </c>
      <c r="F416" t="str">
        <f ca="1">IF(AND(ISNUMBER($F$1532),$B$1132=1),$F$1532,HLOOKUP(INDIRECT(ADDRESS(2,COLUMN())),OFFSET($K$2,0,0,ROW()-1,5),ROW()-1,FALSE))</f>
        <v/>
      </c>
      <c r="G416" t="str">
        <f ca="1">IF(AND(ISNUMBER($G$1532),$B$1132=1),$G$1532,HLOOKUP(INDIRECT(ADDRESS(2,COLUMN())),OFFSET($K$2,0,0,ROW()-1,5),ROW()-1,FALSE))</f>
        <v/>
      </c>
      <c r="H416" t="str">
        <f ca="1">IF(AND(ISNUMBER($H$1532),$B$1132=1),$H$1532,HLOOKUP(INDIRECT(ADDRESS(2,COLUMN())),OFFSET($K$2,0,0,ROW()-1,5),ROW()-1,FALSE))</f>
        <v/>
      </c>
      <c r="I416" t="str">
        <f ca="1">IF(AND(ISNUMBER($I$1532),$B$1132=1),$I$1532,HLOOKUP(INDIRECT(ADDRESS(2,COLUMN())),OFFSET($K$2,0,0,ROW()-1,5),ROW()-1,FALSE))</f>
        <v/>
      </c>
      <c r="J416" t="str">
        <f ca="1">IF(AND(ISNUMBER($J$1532),$B$1132=1),$J$1532,HLOOKUP(INDIRECT(ADDRESS(2,COLUMN())),OFFSET($K$2,0,0,ROW()-1,5),ROW()-1,FALSE))</f>
        <v/>
      </c>
      <c r="K416" t="str">
        <f>""</f>
        <v/>
      </c>
      <c r="L416" t="str">
        <f>""</f>
        <v/>
      </c>
      <c r="M416" t="str">
        <f>""</f>
        <v/>
      </c>
      <c r="N416" t="str">
        <f>""</f>
        <v/>
      </c>
      <c r="O416" t="str">
        <f>""</f>
        <v/>
      </c>
    </row>
    <row r="417" spans="1:15" x14ac:dyDescent="0.25">
      <c r="A417" t="str">
        <f>"                    Ocado Group PLC"</f>
        <v xml:space="preserve">                    Ocado Group PLC</v>
      </c>
      <c r="B417" t="str">
        <f>"OCDO LN Equity"</f>
        <v>OCDO LN Equity</v>
      </c>
      <c r="C417" t="str">
        <f t="shared" si="42"/>
        <v>F0946</v>
      </c>
      <c r="D417" t="str">
        <f t="shared" si="43"/>
        <v>TOTAL_GHG_CO2_EMISSIONS</v>
      </c>
      <c r="E417" t="str">
        <f t="shared" si="44"/>
        <v>Dynamic</v>
      </c>
      <c r="F417" t="str">
        <f ca="1">IF(AND(ISNUMBER($F$1533),$B$1132=1),$F$1533,HLOOKUP(INDIRECT(ADDRESS(2,COLUMN())),OFFSET($K$2,0,0,ROW()-1,5),ROW()-1,FALSE))</f>
        <v/>
      </c>
      <c r="G417">
        <f ca="1">IF(AND(ISNUMBER($G$1533),$B$1132=1),$G$1533,HLOOKUP(INDIRECT(ADDRESS(2,COLUMN())),OFFSET($K$2,0,0,ROW()-1,5),ROW()-1,FALSE))</f>
        <v>0.117460999</v>
      </c>
      <c r="H417">
        <f ca="1">IF(AND(ISNUMBER($H$1533),$B$1132=1),$H$1533,HLOOKUP(INDIRECT(ADDRESS(2,COLUMN())),OFFSET($K$2,0,0,ROW()-1,5),ROW()-1,FALSE))</f>
        <v>0.108681999</v>
      </c>
      <c r="I417">
        <f ca="1">IF(AND(ISNUMBER($I$1533),$B$1132=1),$I$1533,HLOOKUP(INDIRECT(ADDRESS(2,COLUMN())),OFFSET($K$2,0,0,ROW()-1,5),ROW()-1,FALSE))</f>
        <v>0.10931300400000001</v>
      </c>
      <c r="J417">
        <f ca="1">IF(AND(ISNUMBER($J$1533),$B$1132=1),$J$1533,HLOOKUP(INDIRECT(ADDRESS(2,COLUMN())),OFFSET($K$2,0,0,ROW()-1,5),ROW()-1,FALSE))</f>
        <v>0.112728996</v>
      </c>
      <c r="K417" t="str">
        <f>""</f>
        <v/>
      </c>
      <c r="L417">
        <f>0.117460999</f>
        <v>0.117460999</v>
      </c>
      <c r="M417">
        <f>0.108681999</f>
        <v>0.108681999</v>
      </c>
      <c r="N417">
        <f>0.109313004</f>
        <v>0.10931300400000001</v>
      </c>
      <c r="O417">
        <f>0.112728996</f>
        <v>0.112728996</v>
      </c>
    </row>
    <row r="418" spans="1:15" x14ac:dyDescent="0.25">
      <c r="A418" t="str">
        <f>"                    Pan Pacific International Hold"</f>
        <v xml:space="preserve">                    Pan Pacific International Hold</v>
      </c>
      <c r="B418" t="str">
        <f>"7532 JP Equity"</f>
        <v>7532 JP Equity</v>
      </c>
      <c r="C418" t="str">
        <f t="shared" si="42"/>
        <v>F0946</v>
      </c>
      <c r="D418" t="str">
        <f t="shared" si="43"/>
        <v>TOTAL_GHG_CO2_EMISSIONS</v>
      </c>
      <c r="E418" t="str">
        <f t="shared" si="44"/>
        <v>Dynamic</v>
      </c>
      <c r="F418" t="str">
        <f ca="1">IF(AND(ISNUMBER($F$1534),$B$1132=1),$F$1534,HLOOKUP(INDIRECT(ADDRESS(2,COLUMN())),OFFSET($K$2,0,0,ROW()-1,5),ROW()-1,FALSE))</f>
        <v/>
      </c>
      <c r="G418" t="str">
        <f ca="1">IF(AND(ISNUMBER($G$1534),$B$1132=1),$G$1534,HLOOKUP(INDIRECT(ADDRESS(2,COLUMN())),OFFSET($K$2,0,0,ROW()-1,5),ROW()-1,FALSE))</f>
        <v/>
      </c>
      <c r="H418">
        <f ca="1">IF(AND(ISNUMBER($H$1534),$B$1132=1),$H$1534,HLOOKUP(INDIRECT(ADDRESS(2,COLUMN())),OFFSET($K$2,0,0,ROW()-1,5),ROW()-1,FALSE))</f>
        <v>0.55542297399999996</v>
      </c>
      <c r="I418">
        <f ca="1">IF(AND(ISNUMBER($I$1534),$B$1132=1),$I$1534,HLOOKUP(INDIRECT(ADDRESS(2,COLUMN())),OFFSET($K$2,0,0,ROW()-1,5),ROW()-1,FALSE))</f>
        <v>0.58657299799999996</v>
      </c>
      <c r="J418">
        <f ca="1">IF(AND(ISNUMBER($J$1534),$B$1132=1),$J$1534,HLOOKUP(INDIRECT(ADDRESS(2,COLUMN())),OFFSET($K$2,0,0,ROW()-1,5),ROW()-1,FALSE))</f>
        <v>0.36479998800000002</v>
      </c>
      <c r="K418" t="str">
        <f>""</f>
        <v/>
      </c>
      <c r="L418" t="str">
        <f>""</f>
        <v/>
      </c>
      <c r="M418">
        <f>0.555422974</f>
        <v>0.55542297399999996</v>
      </c>
      <c r="N418">
        <f>0.586572998</f>
        <v>0.58657299799999996</v>
      </c>
      <c r="O418">
        <f>0.364799988</f>
        <v>0.36479998800000002</v>
      </c>
    </row>
    <row r="419" spans="1:15" x14ac:dyDescent="0.25">
      <c r="A419" t="str">
        <f>"                    President Chain Store Corp"</f>
        <v xml:space="preserve">                    President Chain Store Corp</v>
      </c>
      <c r="B419" t="str">
        <f>"2912 TT Equity"</f>
        <v>2912 TT Equity</v>
      </c>
      <c r="C419" t="str">
        <f t="shared" si="42"/>
        <v>F0946</v>
      </c>
      <c r="D419" t="str">
        <f t="shared" si="43"/>
        <v>TOTAL_GHG_CO2_EMISSIONS</v>
      </c>
      <c r="E419" t="str">
        <f t="shared" si="44"/>
        <v>Dynamic</v>
      </c>
      <c r="F419" t="str">
        <f ca="1">IF(AND(ISNUMBER($F$1535),$B$1132=1),$F$1535,HLOOKUP(INDIRECT(ADDRESS(2,COLUMN())),OFFSET($K$2,0,0,ROW()-1,5),ROW()-1,FALSE))</f>
        <v/>
      </c>
      <c r="G419">
        <f ca="1">IF(AND(ISNUMBER($G$1535),$B$1132=1),$G$1535,HLOOKUP(INDIRECT(ADDRESS(2,COLUMN())),OFFSET($K$2,0,0,ROW()-1,5),ROW()-1,FALSE))</f>
        <v>0.49618600499999999</v>
      </c>
      <c r="H419">
        <f ca="1">IF(AND(ISNUMBER($H$1535),$B$1132=1),$H$1535,HLOOKUP(INDIRECT(ADDRESS(2,COLUMN())),OFFSET($K$2,0,0,ROW()-1,5),ROW()-1,FALSE))</f>
        <v>0.50327600100000003</v>
      </c>
      <c r="I419">
        <f ca="1">IF(AND(ISNUMBER($I$1535),$B$1132=1),$I$1535,HLOOKUP(INDIRECT(ADDRESS(2,COLUMN())),OFFSET($K$2,0,0,ROW()-1,5),ROW()-1,FALSE))</f>
        <v>0.47676800499999999</v>
      </c>
      <c r="J419">
        <f ca="1">IF(AND(ISNUMBER($J$1535),$B$1132=1),$J$1535,HLOOKUP(INDIRECT(ADDRESS(2,COLUMN())),OFFSET($K$2,0,0,ROW()-1,5),ROW()-1,FALSE))</f>
        <v>0.601911011</v>
      </c>
      <c r="K419" t="str">
        <f>""</f>
        <v/>
      </c>
      <c r="L419">
        <f>0.496186005</f>
        <v>0.49618600499999999</v>
      </c>
      <c r="M419">
        <f>0.503276001</f>
        <v>0.50327600100000003</v>
      </c>
      <c r="N419">
        <f>0.476768005</f>
        <v>0.47676800499999999</v>
      </c>
      <c r="O419">
        <f>0.601911011</f>
        <v>0.601911011</v>
      </c>
    </row>
    <row r="420" spans="1:15" x14ac:dyDescent="0.25">
      <c r="A420" t="str">
        <f>"                    Puljanka dd Pula"</f>
        <v xml:space="preserve">                    Puljanka dd Pula</v>
      </c>
      <c r="B420" t="str">
        <f>"PLJKRA CZ Equity"</f>
        <v>PLJKRA CZ Equity</v>
      </c>
      <c r="C420" t="str">
        <f t="shared" si="42"/>
        <v>F0946</v>
      </c>
      <c r="D420" t="str">
        <f t="shared" si="43"/>
        <v>TOTAL_GHG_CO2_EMISSIONS</v>
      </c>
      <c r="E420" t="str">
        <f t="shared" si="44"/>
        <v>Dynamic</v>
      </c>
      <c r="F420" t="str">
        <f ca="1">IF(AND(ISNUMBER($F$1536),$B$1132=1),$F$1536,HLOOKUP(INDIRECT(ADDRESS(2,COLUMN())),OFFSET($K$2,0,0,ROW()-1,5),ROW()-1,FALSE))</f>
        <v/>
      </c>
      <c r="G420" t="str">
        <f ca="1">IF(AND(ISNUMBER($G$1536),$B$1132=1),$G$1536,HLOOKUP(INDIRECT(ADDRESS(2,COLUMN())),OFFSET($K$2,0,0,ROW()-1,5),ROW()-1,FALSE))</f>
        <v/>
      </c>
      <c r="H420" t="str">
        <f ca="1">IF(AND(ISNUMBER($H$1536),$B$1132=1),$H$1536,HLOOKUP(INDIRECT(ADDRESS(2,COLUMN())),OFFSET($K$2,0,0,ROW()-1,5),ROW()-1,FALSE))</f>
        <v/>
      </c>
      <c r="I420" t="str">
        <f ca="1">IF(AND(ISNUMBER($I$1536),$B$1132=1),$I$1536,HLOOKUP(INDIRECT(ADDRESS(2,COLUMN())),OFFSET($K$2,0,0,ROW()-1,5),ROW()-1,FALSE))</f>
        <v/>
      </c>
      <c r="J420" t="str">
        <f ca="1">IF(AND(ISNUMBER($J$1536),$B$1132=1),$J$1536,HLOOKUP(INDIRECT(ADDRESS(2,COLUMN())),OFFSET($K$2,0,0,ROW()-1,5),ROW()-1,FALSE))</f>
        <v/>
      </c>
      <c r="K420" t="str">
        <f>""</f>
        <v/>
      </c>
      <c r="L420" t="str">
        <f>""</f>
        <v/>
      </c>
      <c r="M420" t="str">
        <f>""</f>
        <v/>
      </c>
      <c r="N420" t="str">
        <f>""</f>
        <v/>
      </c>
      <c r="O420" t="str">
        <f>""</f>
        <v/>
      </c>
    </row>
    <row r="421" spans="1:15" x14ac:dyDescent="0.25">
      <c r="A421" t="str">
        <f>"                    Pick n Pay Stores Ltd"</f>
        <v xml:space="preserve">                    Pick n Pay Stores Ltd</v>
      </c>
      <c r="B421" t="str">
        <f>"PIK SJ Equity"</f>
        <v>PIK SJ Equity</v>
      </c>
      <c r="C421" t="str">
        <f t="shared" si="42"/>
        <v>F0946</v>
      </c>
      <c r="D421" t="str">
        <f t="shared" si="43"/>
        <v>TOTAL_GHG_CO2_EMISSIONS</v>
      </c>
      <c r="E421" t="str">
        <f t="shared" si="44"/>
        <v>Dynamic</v>
      </c>
      <c r="F421">
        <f ca="1">IF(AND(ISNUMBER($F$1537),$B$1132=1),$F$1537,HLOOKUP(INDIRECT(ADDRESS(2,COLUMN())),OFFSET($K$2,0,0,ROW()-1,5),ROW()-1,FALSE))</f>
        <v>1.1433399660000001</v>
      </c>
      <c r="G421">
        <f ca="1">IF(AND(ISNUMBER($G$1537),$B$1132=1),$G$1537,HLOOKUP(INDIRECT(ADDRESS(2,COLUMN())),OFFSET($K$2,0,0,ROW()-1,5),ROW()-1,FALSE))</f>
        <v>0.97136700399999998</v>
      </c>
      <c r="H421">
        <f ca="1">IF(AND(ISNUMBER($H$1537),$B$1132=1),$H$1537,HLOOKUP(INDIRECT(ADDRESS(2,COLUMN())),OFFSET($K$2,0,0,ROW()-1,5),ROW()-1,FALSE))</f>
        <v>0.88959497099999996</v>
      </c>
      <c r="I421">
        <f ca="1">IF(AND(ISNUMBER($I$1537),$B$1132=1),$I$1537,HLOOKUP(INDIRECT(ADDRESS(2,COLUMN())),OFFSET($K$2,0,0,ROW()-1,5),ROW()-1,FALSE))</f>
        <v>0.98722997999999995</v>
      </c>
      <c r="J421">
        <f ca="1">IF(AND(ISNUMBER($J$1537),$B$1132=1),$J$1537,HLOOKUP(INDIRECT(ADDRESS(2,COLUMN())),OFFSET($K$2,0,0,ROW()-1,5),ROW()-1,FALSE))</f>
        <v>0.82656402600000001</v>
      </c>
      <c r="K421">
        <f>1.143339966</f>
        <v>1.1433399660000001</v>
      </c>
      <c r="L421">
        <f>0.971367004</f>
        <v>0.97136700399999998</v>
      </c>
      <c r="M421">
        <f>0.889594971</f>
        <v>0.88959497099999996</v>
      </c>
      <c r="N421">
        <f>0.98722998</f>
        <v>0.98722997999999995</v>
      </c>
      <c r="O421">
        <f>0.826564026</f>
        <v>0.82656402600000001</v>
      </c>
    </row>
    <row r="422" spans="1:15" x14ac:dyDescent="0.25">
      <c r="A422" t="str">
        <f>"                    Renrenle Commercial Group Co L"</f>
        <v xml:space="preserve">                    Renrenle Commercial Group Co L</v>
      </c>
      <c r="B422" t="str">
        <f>"002336 CH Equity"</f>
        <v>002336 CH Equity</v>
      </c>
      <c r="C422" t="str">
        <f t="shared" si="42"/>
        <v>F0946</v>
      </c>
      <c r="D422" t="str">
        <f t="shared" si="43"/>
        <v>TOTAL_GHG_CO2_EMISSIONS</v>
      </c>
      <c r="E422" t="str">
        <f t="shared" si="44"/>
        <v>Dynamic</v>
      </c>
      <c r="F422" t="str">
        <f ca="1">IF(AND(ISNUMBER($F$1538),$B$1132=1),$F$1538,HLOOKUP(INDIRECT(ADDRESS(2,COLUMN())),OFFSET($K$2,0,0,ROW()-1,5),ROW()-1,FALSE))</f>
        <v/>
      </c>
      <c r="G422" t="str">
        <f ca="1">IF(AND(ISNUMBER($G$1538),$B$1132=1),$G$1538,HLOOKUP(INDIRECT(ADDRESS(2,COLUMN())),OFFSET($K$2,0,0,ROW()-1,5),ROW()-1,FALSE))</f>
        <v/>
      </c>
      <c r="H422" t="str">
        <f ca="1">IF(AND(ISNUMBER($H$1538),$B$1132=1),$H$1538,HLOOKUP(INDIRECT(ADDRESS(2,COLUMN())),OFFSET($K$2,0,0,ROW()-1,5),ROW()-1,FALSE))</f>
        <v/>
      </c>
      <c r="I422" t="str">
        <f ca="1">IF(AND(ISNUMBER($I$1538),$B$1132=1),$I$1538,HLOOKUP(INDIRECT(ADDRESS(2,COLUMN())),OFFSET($K$2,0,0,ROW()-1,5),ROW()-1,FALSE))</f>
        <v/>
      </c>
      <c r="J422" t="str">
        <f ca="1">IF(AND(ISNUMBER($J$1538),$B$1132=1),$J$1538,HLOOKUP(INDIRECT(ADDRESS(2,COLUMN())),OFFSET($K$2,0,0,ROW()-1,5),ROW()-1,FALSE))</f>
        <v/>
      </c>
      <c r="K422" t="str">
        <f>""</f>
        <v/>
      </c>
      <c r="L422" t="str">
        <f>""</f>
        <v/>
      </c>
      <c r="M422" t="str">
        <f>""</f>
        <v/>
      </c>
      <c r="N422" t="str">
        <f>""</f>
        <v/>
      </c>
      <c r="O422" t="str">
        <f>""</f>
        <v/>
      </c>
    </row>
    <row r="423" spans="1:15" x14ac:dyDescent="0.25">
      <c r="A423" t="str">
        <f>"                    REWE-Handelsgruppe Gmbh"</f>
        <v xml:space="preserve">                    REWE-Handelsgruppe Gmbh</v>
      </c>
      <c r="B423" t="str">
        <f>"1002Z GR Equity"</f>
        <v>1002Z GR Equity</v>
      </c>
      <c r="C423" t="str">
        <f t="shared" si="42"/>
        <v>F0946</v>
      </c>
      <c r="D423" t="str">
        <f t="shared" si="43"/>
        <v>TOTAL_GHG_CO2_EMISSIONS</v>
      </c>
      <c r="E423" t="str">
        <f t="shared" si="44"/>
        <v>Dynamic</v>
      </c>
      <c r="F423" t="str">
        <f ca="1">IF(AND(ISNUMBER($F$1539),$B$1132=1),$F$1539,HLOOKUP(INDIRECT(ADDRESS(2,COLUMN())),OFFSET($K$2,0,0,ROW()-1,5),ROW()-1,FALSE))</f>
        <v/>
      </c>
      <c r="G423" t="str">
        <f ca="1">IF(AND(ISNUMBER($G$1539),$B$1132=1),$G$1539,HLOOKUP(INDIRECT(ADDRESS(2,COLUMN())),OFFSET($K$2,0,0,ROW()-1,5),ROW()-1,FALSE))</f>
        <v/>
      </c>
      <c r="H423" t="str">
        <f ca="1">IF(AND(ISNUMBER($H$1539),$B$1132=1),$H$1539,HLOOKUP(INDIRECT(ADDRESS(2,COLUMN())),OFFSET($K$2,0,0,ROW()-1,5),ROW()-1,FALSE))</f>
        <v/>
      </c>
      <c r="I423" t="str">
        <f ca="1">IF(AND(ISNUMBER($I$1539),$B$1132=1),$I$1539,HLOOKUP(INDIRECT(ADDRESS(2,COLUMN())),OFFSET($K$2,0,0,ROW()-1,5),ROW()-1,FALSE))</f>
        <v/>
      </c>
      <c r="J423" t="str">
        <f ca="1">IF(AND(ISNUMBER($J$1539),$B$1132=1),$J$1539,HLOOKUP(INDIRECT(ADDRESS(2,COLUMN())),OFFSET($K$2,0,0,ROW()-1,5),ROW()-1,FALSE))</f>
        <v/>
      </c>
      <c r="K423" t="str">
        <f>""</f>
        <v/>
      </c>
      <c r="L423" t="str">
        <f>""</f>
        <v/>
      </c>
      <c r="M423" t="str">
        <f>""</f>
        <v/>
      </c>
      <c r="N423" t="str">
        <f>""</f>
        <v/>
      </c>
      <c r="O423" t="str">
        <f>""</f>
        <v/>
      </c>
    </row>
    <row r="424" spans="1:15" x14ac:dyDescent="0.25">
      <c r="A424" t="str">
        <f>"                    Robinsons Retail Holdings Inc"</f>
        <v xml:space="preserve">                    Robinsons Retail Holdings Inc</v>
      </c>
      <c r="B424" t="str">
        <f>"RRHI PM Equity"</f>
        <v>RRHI PM Equity</v>
      </c>
      <c r="C424" t="str">
        <f t="shared" si="42"/>
        <v>F0946</v>
      </c>
      <c r="D424" t="str">
        <f t="shared" si="43"/>
        <v>TOTAL_GHG_CO2_EMISSIONS</v>
      </c>
      <c r="E424" t="str">
        <f t="shared" si="44"/>
        <v>Dynamic</v>
      </c>
      <c r="F424" t="str">
        <f ca="1">IF(AND(ISNUMBER($F$1540),$B$1132=1),$F$1540,HLOOKUP(INDIRECT(ADDRESS(2,COLUMN())),OFFSET($K$2,0,0,ROW()-1,5),ROW()-1,FALSE))</f>
        <v/>
      </c>
      <c r="G424">
        <f ca="1">IF(AND(ISNUMBER($G$1540),$B$1132=1),$G$1540,HLOOKUP(INDIRECT(ADDRESS(2,COLUMN())),OFFSET($K$2,0,0,ROW()-1,5),ROW()-1,FALSE))</f>
        <v>0.36916400199999999</v>
      </c>
      <c r="H424" t="str">
        <f ca="1">IF(AND(ISNUMBER($H$1540),$B$1132=1),$H$1540,HLOOKUP(INDIRECT(ADDRESS(2,COLUMN())),OFFSET($K$2,0,0,ROW()-1,5),ROW()-1,FALSE))</f>
        <v/>
      </c>
      <c r="I424" t="str">
        <f ca="1">IF(AND(ISNUMBER($I$1540),$B$1132=1),$I$1540,HLOOKUP(INDIRECT(ADDRESS(2,COLUMN())),OFFSET($K$2,0,0,ROW()-1,5),ROW()-1,FALSE))</f>
        <v/>
      </c>
      <c r="J424">
        <f ca="1">IF(AND(ISNUMBER($J$1540),$B$1132=1),$J$1540,HLOOKUP(INDIRECT(ADDRESS(2,COLUMN())),OFFSET($K$2,0,0,ROW()-1,5),ROW()-1,FALSE))</f>
        <v>0.17317500299999999</v>
      </c>
      <c r="K424" t="str">
        <f>""</f>
        <v/>
      </c>
      <c r="L424">
        <f>0.369164002</f>
        <v>0.36916400199999999</v>
      </c>
      <c r="M424" t="str">
        <f>""</f>
        <v/>
      </c>
      <c r="N424" t="str">
        <f>""</f>
        <v/>
      </c>
      <c r="O424">
        <f>0.173175003</f>
        <v>0.17317500299999999</v>
      </c>
    </row>
    <row r="425" spans="1:15" x14ac:dyDescent="0.25">
      <c r="A425" t="str">
        <f>"                    Roundy's Inc"</f>
        <v xml:space="preserve">                    Roundy's Inc</v>
      </c>
      <c r="B425" t="str">
        <f>"RNDY US Equity"</f>
        <v>RNDY US Equity</v>
      </c>
      <c r="C425" t="str">
        <f t="shared" si="42"/>
        <v>F0946</v>
      </c>
      <c r="D425" t="str">
        <f t="shared" si="43"/>
        <v>TOTAL_GHG_CO2_EMISSIONS</v>
      </c>
      <c r="E425" t="str">
        <f t="shared" si="44"/>
        <v>Dynamic</v>
      </c>
      <c r="F425" t="str">
        <f ca="1">IF(AND(ISNUMBER($F$1541),$B$1132=1),$F$1541,HLOOKUP(INDIRECT(ADDRESS(2,COLUMN())),OFFSET($K$2,0,0,ROW()-1,5),ROW()-1,FALSE))</f>
        <v/>
      </c>
      <c r="G425" t="str">
        <f ca="1">IF(AND(ISNUMBER($G$1541),$B$1132=1),$G$1541,HLOOKUP(INDIRECT(ADDRESS(2,COLUMN())),OFFSET($K$2,0,0,ROW()-1,5),ROW()-1,FALSE))</f>
        <v/>
      </c>
      <c r="H425" t="str">
        <f ca="1">IF(AND(ISNUMBER($H$1541),$B$1132=1),$H$1541,HLOOKUP(INDIRECT(ADDRESS(2,COLUMN())),OFFSET($K$2,0,0,ROW()-1,5),ROW()-1,FALSE))</f>
        <v/>
      </c>
      <c r="I425" t="str">
        <f ca="1">IF(AND(ISNUMBER($I$1541),$B$1132=1),$I$1541,HLOOKUP(INDIRECT(ADDRESS(2,COLUMN())),OFFSET($K$2,0,0,ROW()-1,5),ROW()-1,FALSE))</f>
        <v/>
      </c>
      <c r="J425" t="str">
        <f ca="1">IF(AND(ISNUMBER($J$1541),$B$1132=1),$J$1541,HLOOKUP(INDIRECT(ADDRESS(2,COLUMN())),OFFSET($K$2,0,0,ROW()-1,5),ROW()-1,FALSE))</f>
        <v/>
      </c>
      <c r="K425" t="str">
        <f>""</f>
        <v/>
      </c>
      <c r="L425" t="str">
        <f>""</f>
        <v/>
      </c>
      <c r="M425" t="str">
        <f>""</f>
        <v/>
      </c>
      <c r="N425" t="str">
        <f>""</f>
        <v/>
      </c>
      <c r="O425" t="str">
        <f>""</f>
        <v/>
      </c>
    </row>
    <row r="426" spans="1:15" x14ac:dyDescent="0.25">
      <c r="A426" t="str">
        <f>"                    Sendas Distribuidora S/A"</f>
        <v xml:space="preserve">                    Sendas Distribuidora S/A</v>
      </c>
      <c r="B426" t="str">
        <f>"ASAI3 BZ Equity"</f>
        <v>ASAI3 BZ Equity</v>
      </c>
      <c r="C426" t="str">
        <f t="shared" si="42"/>
        <v>F0946</v>
      </c>
      <c r="D426" t="str">
        <f t="shared" si="43"/>
        <v>TOTAL_GHG_CO2_EMISSIONS</v>
      </c>
      <c r="E426" t="str">
        <f t="shared" si="44"/>
        <v>Dynamic</v>
      </c>
      <c r="F426">
        <f ca="1">IF(AND(ISNUMBER($F$1542),$B$1132=1),$F$1542,HLOOKUP(INDIRECT(ADDRESS(2,COLUMN())),OFFSET($K$2,0,0,ROW()-1,5),ROW()-1,FALSE))</f>
        <v>0.113592003</v>
      </c>
      <c r="G426">
        <f ca="1">IF(AND(ISNUMBER($G$1542),$B$1132=1),$G$1542,HLOOKUP(INDIRECT(ADDRESS(2,COLUMN())),OFFSET($K$2,0,0,ROW()-1,5),ROW()-1,FALSE))</f>
        <v>0.15711999500000001</v>
      </c>
      <c r="H426">
        <f ca="1">IF(AND(ISNUMBER($H$1542),$B$1132=1),$H$1542,HLOOKUP(INDIRECT(ADDRESS(2,COLUMN())),OFFSET($K$2,0,0,ROW()-1,5),ROW()-1,FALSE))</f>
        <v>0.14114300499999999</v>
      </c>
      <c r="I426" t="str">
        <f ca="1">IF(AND(ISNUMBER($I$1542),$B$1132=1),$I$1542,HLOOKUP(INDIRECT(ADDRESS(2,COLUMN())),OFFSET($K$2,0,0,ROW()-1,5),ROW()-1,FALSE))</f>
        <v/>
      </c>
      <c r="J426" t="str">
        <f ca="1">IF(AND(ISNUMBER($J$1542),$B$1132=1),$J$1542,HLOOKUP(INDIRECT(ADDRESS(2,COLUMN())),OFFSET($K$2,0,0,ROW()-1,5),ROW()-1,FALSE))</f>
        <v/>
      </c>
      <c r="K426">
        <f>0.113592003</f>
        <v>0.113592003</v>
      </c>
      <c r="L426">
        <f>0.157119995</f>
        <v>0.15711999500000001</v>
      </c>
      <c r="M426">
        <f>0.141143005</f>
        <v>0.14114300499999999</v>
      </c>
      <c r="N426" t="str">
        <f>""</f>
        <v/>
      </c>
      <c r="O426" t="str">
        <f>""</f>
        <v/>
      </c>
    </row>
    <row r="427" spans="1:15" x14ac:dyDescent="0.25">
      <c r="A427" t="str">
        <f>"                    Shanghai Bailian Group Co Ltd"</f>
        <v xml:space="preserve">                    Shanghai Bailian Group Co Ltd</v>
      </c>
      <c r="B427" t="str">
        <f>"900923 CH Equity"</f>
        <v>900923 CH Equity</v>
      </c>
      <c r="C427" t="str">
        <f t="shared" si="42"/>
        <v>F0946</v>
      </c>
      <c r="D427" t="str">
        <f t="shared" si="43"/>
        <v>TOTAL_GHG_CO2_EMISSIONS</v>
      </c>
      <c r="E427" t="str">
        <f t="shared" si="44"/>
        <v>Dynamic</v>
      </c>
      <c r="F427" t="str">
        <f ca="1">IF(AND(ISNUMBER($F$1543),$B$1132=1),$F$1543,HLOOKUP(INDIRECT(ADDRESS(2,COLUMN())),OFFSET($K$2,0,0,ROW()-1,5),ROW()-1,FALSE))</f>
        <v/>
      </c>
      <c r="G427" t="str">
        <f ca="1">IF(AND(ISNUMBER($G$1543),$B$1132=1),$G$1543,HLOOKUP(INDIRECT(ADDRESS(2,COLUMN())),OFFSET($K$2,0,0,ROW()-1,5),ROW()-1,FALSE))</f>
        <v/>
      </c>
      <c r="H427" t="str">
        <f ca="1">IF(AND(ISNUMBER($H$1543),$B$1132=1),$H$1543,HLOOKUP(INDIRECT(ADDRESS(2,COLUMN())),OFFSET($K$2,0,0,ROW()-1,5),ROW()-1,FALSE))</f>
        <v/>
      </c>
      <c r="I427" t="str">
        <f ca="1">IF(AND(ISNUMBER($I$1543),$B$1132=1),$I$1543,HLOOKUP(INDIRECT(ADDRESS(2,COLUMN())),OFFSET($K$2,0,0,ROW()-1,5),ROW()-1,FALSE))</f>
        <v/>
      </c>
      <c r="J427" t="str">
        <f ca="1">IF(AND(ISNUMBER($J$1543),$B$1132=1),$J$1543,HLOOKUP(INDIRECT(ADDRESS(2,COLUMN())),OFFSET($K$2,0,0,ROW()-1,5),ROW()-1,FALSE))</f>
        <v/>
      </c>
      <c r="K427" t="str">
        <f>""</f>
        <v/>
      </c>
      <c r="L427" t="str">
        <f>""</f>
        <v/>
      </c>
      <c r="M427" t="str">
        <f>""</f>
        <v/>
      </c>
      <c r="N427" t="str">
        <f>""</f>
        <v/>
      </c>
      <c r="O427" t="str">
        <f>""</f>
        <v/>
      </c>
    </row>
    <row r="428" spans="1:15" x14ac:dyDescent="0.25">
      <c r="A428" t="str">
        <f>"                    Shanghai Bailian Group Co Ltd"</f>
        <v xml:space="preserve">                    Shanghai Bailian Group Co Ltd</v>
      </c>
      <c r="B428" t="str">
        <f>"600827 CH Equity"</f>
        <v>600827 CH Equity</v>
      </c>
      <c r="C428" t="str">
        <f t="shared" si="42"/>
        <v>F0946</v>
      </c>
      <c r="D428" t="str">
        <f t="shared" si="43"/>
        <v>TOTAL_GHG_CO2_EMISSIONS</v>
      </c>
      <c r="E428" t="str">
        <f t="shared" si="44"/>
        <v>Dynamic</v>
      </c>
      <c r="F428" t="str">
        <f ca="1">IF(AND(ISNUMBER($F$1544),$B$1132=1),$F$1544,HLOOKUP(INDIRECT(ADDRESS(2,COLUMN())),OFFSET($K$2,0,0,ROW()-1,5),ROW()-1,FALSE))</f>
        <v/>
      </c>
      <c r="G428" t="str">
        <f ca="1">IF(AND(ISNUMBER($G$1544),$B$1132=1),$G$1544,HLOOKUP(INDIRECT(ADDRESS(2,COLUMN())),OFFSET($K$2,0,0,ROW()-1,5),ROW()-1,FALSE))</f>
        <v/>
      </c>
      <c r="H428" t="str">
        <f ca="1">IF(AND(ISNUMBER($H$1544),$B$1132=1),$H$1544,HLOOKUP(INDIRECT(ADDRESS(2,COLUMN())),OFFSET($K$2,0,0,ROW()-1,5),ROW()-1,FALSE))</f>
        <v/>
      </c>
      <c r="I428" t="str">
        <f ca="1">IF(AND(ISNUMBER($I$1544),$B$1132=1),$I$1544,HLOOKUP(INDIRECT(ADDRESS(2,COLUMN())),OFFSET($K$2,0,0,ROW()-1,5),ROW()-1,FALSE))</f>
        <v/>
      </c>
      <c r="J428" t="str">
        <f ca="1">IF(AND(ISNUMBER($J$1544),$B$1132=1),$J$1544,HLOOKUP(INDIRECT(ADDRESS(2,COLUMN())),OFFSET($K$2,0,0,ROW()-1,5),ROW()-1,FALSE))</f>
        <v/>
      </c>
      <c r="K428" t="str">
        <f>""</f>
        <v/>
      </c>
      <c r="L428" t="str">
        <f>""</f>
        <v/>
      </c>
      <c r="M428" t="str">
        <f>""</f>
        <v/>
      </c>
      <c r="N428" t="str">
        <f>""</f>
        <v/>
      </c>
      <c r="O428" t="str">
        <f>""</f>
        <v/>
      </c>
    </row>
    <row r="429" spans="1:15" x14ac:dyDescent="0.25">
      <c r="A429" t="str">
        <f>"                    Shoprite Holdings Ltd"</f>
        <v xml:space="preserve">                    Shoprite Holdings Ltd</v>
      </c>
      <c r="B429" t="str">
        <f>"SHP SJ Equity"</f>
        <v>SHP SJ Equity</v>
      </c>
      <c r="C429" t="str">
        <f t="shared" si="42"/>
        <v>F0946</v>
      </c>
      <c r="D429" t="str">
        <f t="shared" si="43"/>
        <v>TOTAL_GHG_CO2_EMISSIONS</v>
      </c>
      <c r="E429" t="str">
        <f t="shared" si="44"/>
        <v>Dynamic</v>
      </c>
      <c r="F429" t="str">
        <f ca="1">IF(AND(ISNUMBER($F$1545),$B$1132=1),$F$1545,HLOOKUP(INDIRECT(ADDRESS(2,COLUMN())),OFFSET($K$2,0,0,ROW()-1,5),ROW()-1,FALSE))</f>
        <v/>
      </c>
      <c r="G429">
        <f ca="1">IF(AND(ISNUMBER($G$1545),$B$1132=1),$G$1545,HLOOKUP(INDIRECT(ADDRESS(2,COLUMN())),OFFSET($K$2,0,0,ROW()-1,5),ROW()-1,FALSE))</f>
        <v>2.460899902</v>
      </c>
      <c r="H429">
        <f ca="1">IF(AND(ISNUMBER($H$1545),$B$1132=1),$H$1545,HLOOKUP(INDIRECT(ADDRESS(2,COLUMN())),OFFSET($K$2,0,0,ROW()-1,5),ROW()-1,FALSE))</f>
        <v>2.4421000980000001</v>
      </c>
      <c r="I429">
        <f ca="1">IF(AND(ISNUMBER($I$1545),$B$1132=1),$I$1545,HLOOKUP(INDIRECT(ADDRESS(2,COLUMN())),OFFSET($K$2,0,0,ROW()-1,5),ROW()-1,FALSE))</f>
        <v>2.569709961</v>
      </c>
      <c r="J429">
        <f ca="1">IF(AND(ISNUMBER($J$1545),$B$1132=1),$J$1545,HLOOKUP(INDIRECT(ADDRESS(2,COLUMN())),OFFSET($K$2,0,0,ROW()-1,5),ROW()-1,FALSE))</f>
        <v>2.2823601070000001</v>
      </c>
      <c r="K429" t="str">
        <f>""</f>
        <v/>
      </c>
      <c r="L429">
        <f>2.460899902</f>
        <v>2.460899902</v>
      </c>
      <c r="M429">
        <f>2.442100098</f>
        <v>2.4421000980000001</v>
      </c>
      <c r="N429">
        <f>2.569709961</f>
        <v>2.569709961</v>
      </c>
      <c r="O429">
        <f>2.282360107</f>
        <v>2.2823601070000001</v>
      </c>
    </row>
    <row r="430" spans="1:15" x14ac:dyDescent="0.25">
      <c r="A430" t="str">
        <f>"                    Siam Makro PCL"</f>
        <v xml:space="preserve">                    Siam Makro PCL</v>
      </c>
      <c r="B430" t="str">
        <f>"MAKRO TB Equity"</f>
        <v>MAKRO TB Equity</v>
      </c>
      <c r="C430" t="str">
        <f t="shared" si="42"/>
        <v>F0946</v>
      </c>
      <c r="D430" t="str">
        <f t="shared" si="43"/>
        <v>TOTAL_GHG_CO2_EMISSIONS</v>
      </c>
      <c r="E430" t="str">
        <f t="shared" si="44"/>
        <v>Dynamic</v>
      </c>
      <c r="F430">
        <f ca="1">IF(AND(ISNUMBER($F$1546),$B$1132=1),$F$1546,HLOOKUP(INDIRECT(ADDRESS(2,COLUMN())),OFFSET($K$2,0,0,ROW()-1,5),ROW()-1,FALSE))</f>
        <v>0.71808697499999996</v>
      </c>
      <c r="G430">
        <f ca="1">IF(AND(ISNUMBER($G$1546),$B$1132=1),$G$1546,HLOOKUP(INDIRECT(ADDRESS(2,COLUMN())),OFFSET($K$2,0,0,ROW()-1,5),ROW()-1,FALSE))</f>
        <v>0.25151699799999999</v>
      </c>
      <c r="H430">
        <f ca="1">IF(AND(ISNUMBER($H$1546),$B$1132=1),$H$1546,HLOOKUP(INDIRECT(ADDRESS(2,COLUMN())),OFFSET($K$2,0,0,ROW()-1,5),ROW()-1,FALSE))</f>
        <v>0.23347599799999999</v>
      </c>
      <c r="I430">
        <f ca="1">IF(AND(ISNUMBER($I$1546),$B$1132=1),$I$1546,HLOOKUP(INDIRECT(ADDRESS(2,COLUMN())),OFFSET($K$2,0,0,ROW()-1,5),ROW()-1,FALSE))</f>
        <v>0.26287500000000003</v>
      </c>
      <c r="J430">
        <f ca="1">IF(AND(ISNUMBER($J$1546),$B$1132=1),$J$1546,HLOOKUP(INDIRECT(ADDRESS(2,COLUMN())),OFFSET($K$2,0,0,ROW()-1,5),ROW()-1,FALSE))</f>
        <v>0.259622986</v>
      </c>
      <c r="K430">
        <f>0.718086975</f>
        <v>0.71808697499999996</v>
      </c>
      <c r="L430">
        <f>0.251516998</f>
        <v>0.25151699799999999</v>
      </c>
      <c r="M430">
        <f>0.233475998</f>
        <v>0.23347599799999999</v>
      </c>
      <c r="N430">
        <f>0.262875</f>
        <v>0.26287500000000003</v>
      </c>
      <c r="O430">
        <f>0.259622986</f>
        <v>0.259622986</v>
      </c>
    </row>
    <row r="431" spans="1:15" x14ac:dyDescent="0.25">
      <c r="A431" t="str">
        <f>"                    SpartanNash Co"</f>
        <v xml:space="preserve">                    SpartanNash Co</v>
      </c>
      <c r="B431" t="str">
        <f>"SPTN US Equity"</f>
        <v>SPTN US Equity</v>
      </c>
      <c r="C431" t="str">
        <f t="shared" si="42"/>
        <v>F0946</v>
      </c>
      <c r="D431" t="str">
        <f t="shared" si="43"/>
        <v>TOTAL_GHG_CO2_EMISSIONS</v>
      </c>
      <c r="E431" t="str">
        <f t="shared" si="44"/>
        <v>Dynamic</v>
      </c>
      <c r="F431" t="str">
        <f ca="1">IF(AND(ISNUMBER($F$1547),$B$1132=1),$F$1547,HLOOKUP(INDIRECT(ADDRESS(2,COLUMN())),OFFSET($K$2,0,0,ROW()-1,5),ROW()-1,FALSE))</f>
        <v/>
      </c>
      <c r="G431" t="str">
        <f ca="1">IF(AND(ISNUMBER($G$1547),$B$1132=1),$G$1547,HLOOKUP(INDIRECT(ADDRESS(2,COLUMN())),OFFSET($K$2,0,0,ROW()-1,5),ROW()-1,FALSE))</f>
        <v/>
      </c>
      <c r="H431" t="str">
        <f ca="1">IF(AND(ISNUMBER($H$1547),$B$1132=1),$H$1547,HLOOKUP(INDIRECT(ADDRESS(2,COLUMN())),OFFSET($K$2,0,0,ROW()-1,5),ROW()-1,FALSE))</f>
        <v/>
      </c>
      <c r="I431" t="str">
        <f ca="1">IF(AND(ISNUMBER($I$1547),$B$1132=1),$I$1547,HLOOKUP(INDIRECT(ADDRESS(2,COLUMN())),OFFSET($K$2,0,0,ROW()-1,5),ROW()-1,FALSE))</f>
        <v/>
      </c>
      <c r="J431" t="str">
        <f ca="1">IF(AND(ISNUMBER($J$1547),$B$1132=1),$J$1547,HLOOKUP(INDIRECT(ADDRESS(2,COLUMN())),OFFSET($K$2,0,0,ROW()-1,5),ROW()-1,FALSE))</f>
        <v/>
      </c>
      <c r="K431" t="str">
        <f>""</f>
        <v/>
      </c>
      <c r="L431" t="str">
        <f>""</f>
        <v/>
      </c>
      <c r="M431" t="str">
        <f>""</f>
        <v/>
      </c>
      <c r="N431" t="str">
        <f>""</f>
        <v/>
      </c>
      <c r="O431" t="str">
        <f>""</f>
        <v/>
      </c>
    </row>
    <row r="432" spans="1:15" x14ac:dyDescent="0.25">
      <c r="A432" t="str">
        <f>"                    Sumber Alfaria Trijaya Tbk PT"</f>
        <v xml:space="preserve">                    Sumber Alfaria Trijaya Tbk PT</v>
      </c>
      <c r="B432" t="str">
        <f>"AMRT IJ Equity"</f>
        <v>AMRT IJ Equity</v>
      </c>
      <c r="C432" t="str">
        <f t="shared" si="42"/>
        <v>F0946</v>
      </c>
      <c r="D432" t="str">
        <f t="shared" si="43"/>
        <v>TOTAL_GHG_CO2_EMISSIONS</v>
      </c>
      <c r="E432" t="str">
        <f t="shared" si="44"/>
        <v>Dynamic</v>
      </c>
      <c r="F432">
        <f ca="1">IF(AND(ISNUMBER($F$1548),$B$1132=1),$F$1548,HLOOKUP(INDIRECT(ADDRESS(2,COLUMN())),OFFSET($K$2,0,0,ROW()-1,5),ROW()-1,FALSE))</f>
        <v>6.8444500000000002E-3</v>
      </c>
      <c r="G432">
        <f ca="1">IF(AND(ISNUMBER($G$1548),$B$1132=1),$G$1548,HLOOKUP(INDIRECT(ADDRESS(2,COLUMN())),OFFSET($K$2,0,0,ROW()-1,5),ROW()-1,FALSE))</f>
        <v>6.2876199999999998E-3</v>
      </c>
      <c r="H432">
        <f ca="1">IF(AND(ISNUMBER($H$1548),$B$1132=1),$H$1548,HLOOKUP(INDIRECT(ADDRESS(2,COLUMN())),OFFSET($K$2,0,0,ROW()-1,5),ROW()-1,FALSE))</f>
        <v>6.3629799999999999E-3</v>
      </c>
      <c r="I432" t="str">
        <f ca="1">IF(AND(ISNUMBER($I$1548),$B$1132=1),$I$1548,HLOOKUP(INDIRECT(ADDRESS(2,COLUMN())),OFFSET($K$2,0,0,ROW()-1,5),ROW()-1,FALSE))</f>
        <v/>
      </c>
      <c r="J432" t="str">
        <f ca="1">IF(AND(ISNUMBER($J$1548),$B$1132=1),$J$1548,HLOOKUP(INDIRECT(ADDRESS(2,COLUMN())),OFFSET($K$2,0,0,ROW()-1,5),ROW()-1,FALSE))</f>
        <v/>
      </c>
      <c r="K432">
        <f>0.00684445</f>
        <v>6.8444500000000002E-3</v>
      </c>
      <c r="L432">
        <f>0.00628762</f>
        <v>6.2876199999999998E-3</v>
      </c>
      <c r="M432">
        <f>0.00636298</f>
        <v>6.3629799999999999E-3</v>
      </c>
      <c r="N432" t="str">
        <f>""</f>
        <v/>
      </c>
      <c r="O432" t="str">
        <f>""</f>
        <v/>
      </c>
    </row>
    <row r="433" spans="1:15" x14ac:dyDescent="0.25">
      <c r="A433" t="str">
        <f>"                    Sun Art Retail Group Ltd"</f>
        <v xml:space="preserve">                    Sun Art Retail Group Ltd</v>
      </c>
      <c r="B433" t="str">
        <f>"6808 HK Equity"</f>
        <v>6808 HK Equity</v>
      </c>
      <c r="C433" t="str">
        <f t="shared" si="42"/>
        <v>F0946</v>
      </c>
      <c r="D433" t="str">
        <f t="shared" si="43"/>
        <v>TOTAL_GHG_CO2_EMISSIONS</v>
      </c>
      <c r="E433" t="str">
        <f t="shared" si="44"/>
        <v>Dynamic</v>
      </c>
      <c r="F433" t="str">
        <f ca="1">IF(AND(ISNUMBER($F$1549),$B$1132=1),$F$1549,HLOOKUP(INDIRECT(ADDRESS(2,COLUMN())),OFFSET($K$2,0,0,ROW()-1,5),ROW()-1,FALSE))</f>
        <v/>
      </c>
      <c r="G433" t="str">
        <f ca="1">IF(AND(ISNUMBER($G$1549),$B$1132=1),$G$1549,HLOOKUP(INDIRECT(ADDRESS(2,COLUMN())),OFFSET($K$2,0,0,ROW()-1,5),ROW()-1,FALSE))</f>
        <v/>
      </c>
      <c r="H433">
        <f ca="1">IF(AND(ISNUMBER($H$1549),$B$1132=1),$H$1549,HLOOKUP(INDIRECT(ADDRESS(2,COLUMN())),OFFSET($K$2,0,0,ROW()-1,5),ROW()-1,FALSE))</f>
        <v>2.155340088</v>
      </c>
      <c r="I433">
        <f ca="1">IF(AND(ISNUMBER($I$1549),$B$1132=1),$I$1549,HLOOKUP(INDIRECT(ADDRESS(2,COLUMN())),OFFSET($K$2,0,0,ROW()-1,5),ROW()-1,FALSE))</f>
        <v>2.5606599120000002</v>
      </c>
      <c r="J433">
        <f ca="1">IF(AND(ISNUMBER($J$1549),$B$1132=1),$J$1549,HLOOKUP(INDIRECT(ADDRESS(2,COLUMN())),OFFSET($K$2,0,0,ROW()-1,5),ROW()-1,FALSE))</f>
        <v>2.41897998</v>
      </c>
      <c r="K433" t="str">
        <f>""</f>
        <v/>
      </c>
      <c r="L433" t="str">
        <f>""</f>
        <v/>
      </c>
      <c r="M433">
        <f>2.155340088</f>
        <v>2.155340088</v>
      </c>
      <c r="N433">
        <f>2.560659912</f>
        <v>2.5606599120000002</v>
      </c>
      <c r="O433">
        <f>2.41897998</f>
        <v>2.41897998</v>
      </c>
    </row>
    <row r="434" spans="1:15" x14ac:dyDescent="0.25">
      <c r="A434" t="str">
        <f>"                    Sonae SGPS SA"</f>
        <v xml:space="preserve">                    Sonae SGPS SA</v>
      </c>
      <c r="B434" t="str">
        <f>"SON PL Equity"</f>
        <v>SON PL Equity</v>
      </c>
      <c r="C434" t="str">
        <f t="shared" si="42"/>
        <v>F0946</v>
      </c>
      <c r="D434" t="str">
        <f t="shared" si="43"/>
        <v>TOTAL_GHG_CO2_EMISSIONS</v>
      </c>
      <c r="E434" t="str">
        <f t="shared" si="44"/>
        <v>Dynamic</v>
      </c>
      <c r="F434">
        <f ca="1">IF(AND(ISNUMBER($F$1550),$B$1132=1),$F$1550,HLOOKUP(INDIRECT(ADDRESS(2,COLUMN())),OFFSET($K$2,0,0,ROW()-1,5),ROW()-1,FALSE))</f>
        <v>0.216164993</v>
      </c>
      <c r="G434">
        <f ca="1">IF(AND(ISNUMBER($G$1550),$B$1132=1),$G$1550,HLOOKUP(INDIRECT(ADDRESS(2,COLUMN())),OFFSET($K$2,0,0,ROW()-1,5),ROW()-1,FALSE))</f>
        <v>0.13448500099999999</v>
      </c>
      <c r="H434">
        <f ca="1">IF(AND(ISNUMBER($H$1550),$B$1132=1),$H$1550,HLOOKUP(INDIRECT(ADDRESS(2,COLUMN())),OFFSET($K$2,0,0,ROW()-1,5),ROW()-1,FALSE))</f>
        <v>0.16330600000000001</v>
      </c>
      <c r="I434">
        <f ca="1">IF(AND(ISNUMBER($I$1550),$B$1132=1),$I$1550,HLOOKUP(INDIRECT(ADDRESS(2,COLUMN())),OFFSET($K$2,0,0,ROW()-1,5),ROW()-1,FALSE))</f>
        <v>0.200656006</v>
      </c>
      <c r="J434">
        <f ca="1">IF(AND(ISNUMBER($J$1550),$B$1132=1),$J$1550,HLOOKUP(INDIRECT(ADDRESS(2,COLUMN())),OFFSET($K$2,0,0,ROW()-1,5),ROW()-1,FALSE))</f>
        <v>0.245253006</v>
      </c>
      <c r="K434">
        <f>0.216164993</f>
        <v>0.216164993</v>
      </c>
      <c r="L434">
        <f>0.134485001</f>
        <v>0.13448500099999999</v>
      </c>
      <c r="M434">
        <f>0.163306</f>
        <v>0.16330600000000001</v>
      </c>
      <c r="N434">
        <f>0.200656006</f>
        <v>0.200656006</v>
      </c>
      <c r="O434">
        <f>0.245253006</f>
        <v>0.245253006</v>
      </c>
    </row>
    <row r="435" spans="1:15" x14ac:dyDescent="0.25">
      <c r="A435" t="str">
        <f>"                    Stater Bros Holdings Inc"</f>
        <v xml:space="preserve">                    Stater Bros Holdings Inc</v>
      </c>
      <c r="B435" t="str">
        <f>"5733Z US Equity"</f>
        <v>5733Z US Equity</v>
      </c>
      <c r="C435" t="str">
        <f t="shared" si="42"/>
        <v>F0946</v>
      </c>
      <c r="D435" t="str">
        <f t="shared" si="43"/>
        <v>TOTAL_GHG_CO2_EMISSIONS</v>
      </c>
      <c r="E435" t="str">
        <f t="shared" si="44"/>
        <v>Dynamic</v>
      </c>
      <c r="F435" t="str">
        <f ca="1">IF(AND(ISNUMBER($F$1551),$B$1132=1),$F$1551,HLOOKUP(INDIRECT(ADDRESS(2,COLUMN())),OFFSET($K$2,0,0,ROW()-1,5),ROW()-1,FALSE))</f>
        <v/>
      </c>
      <c r="G435" t="str">
        <f ca="1">IF(AND(ISNUMBER($G$1551),$B$1132=1),$G$1551,HLOOKUP(INDIRECT(ADDRESS(2,COLUMN())),OFFSET($K$2,0,0,ROW()-1,5),ROW()-1,FALSE))</f>
        <v/>
      </c>
      <c r="H435" t="str">
        <f ca="1">IF(AND(ISNUMBER($H$1551),$B$1132=1),$H$1551,HLOOKUP(INDIRECT(ADDRESS(2,COLUMN())),OFFSET($K$2,0,0,ROW()-1,5),ROW()-1,FALSE))</f>
        <v/>
      </c>
      <c r="I435" t="str">
        <f ca="1">IF(AND(ISNUMBER($I$1551),$B$1132=1),$I$1551,HLOOKUP(INDIRECT(ADDRESS(2,COLUMN())),OFFSET($K$2,0,0,ROW()-1,5),ROW()-1,FALSE))</f>
        <v/>
      </c>
      <c r="J435" t="str">
        <f ca="1">IF(AND(ISNUMBER($J$1551),$B$1132=1),$J$1551,HLOOKUP(INDIRECT(ADDRESS(2,COLUMN())),OFFSET($K$2,0,0,ROW()-1,5),ROW()-1,FALSE))</f>
        <v/>
      </c>
      <c r="K435" t="str">
        <f>""</f>
        <v/>
      </c>
      <c r="L435" t="str">
        <f>""</f>
        <v/>
      </c>
      <c r="M435" t="str">
        <f>""</f>
        <v/>
      </c>
      <c r="N435" t="str">
        <f>""</f>
        <v/>
      </c>
      <c r="O435" t="str">
        <f>""</f>
        <v/>
      </c>
    </row>
    <row r="436" spans="1:15" x14ac:dyDescent="0.25">
      <c r="A436" t="str">
        <f>"                    Tallinna Kaubamaja Grupp AS"</f>
        <v xml:space="preserve">                    Tallinna Kaubamaja Grupp AS</v>
      </c>
      <c r="B436" t="str">
        <f>"TKM1T ET Equity"</f>
        <v>TKM1T ET Equity</v>
      </c>
      <c r="C436" t="str">
        <f t="shared" si="42"/>
        <v>F0946</v>
      </c>
      <c r="D436" t="str">
        <f t="shared" si="43"/>
        <v>TOTAL_GHG_CO2_EMISSIONS</v>
      </c>
      <c r="E436" t="str">
        <f t="shared" si="44"/>
        <v>Dynamic</v>
      </c>
      <c r="F436">
        <f ca="1">IF(AND(ISNUMBER($F$1552),$B$1132=1),$F$1552,HLOOKUP(INDIRECT(ADDRESS(2,COLUMN())),OFFSET($K$2,0,0,ROW()-1,5),ROW()-1,FALSE))</f>
        <v>5.2799999E-2</v>
      </c>
      <c r="G436">
        <f ca="1">IF(AND(ISNUMBER($G$1552),$B$1132=1),$G$1552,HLOOKUP(INDIRECT(ADDRESS(2,COLUMN())),OFFSET($K$2,0,0,ROW()-1,5),ROW()-1,FALSE))</f>
        <v>5.5599997999999998E-2</v>
      </c>
      <c r="H436">
        <f ca="1">IF(AND(ISNUMBER($H$1552),$B$1132=1),$H$1552,HLOOKUP(INDIRECT(ADDRESS(2,COLUMN())),OFFSET($K$2,0,0,ROW()-1,5),ROW()-1,FALSE))</f>
        <v>8.1248001E-2</v>
      </c>
      <c r="I436">
        <f ca="1">IF(AND(ISNUMBER($I$1552),$B$1132=1),$I$1552,HLOOKUP(INDIRECT(ADDRESS(2,COLUMN())),OFFSET($K$2,0,0,ROW()-1,5),ROW()-1,FALSE))</f>
        <v>7.1800003000000001E-2</v>
      </c>
      <c r="J436">
        <f ca="1">IF(AND(ISNUMBER($J$1552),$B$1132=1),$J$1552,HLOOKUP(INDIRECT(ADDRESS(2,COLUMN())),OFFSET($K$2,0,0,ROW()-1,5),ROW()-1,FALSE))</f>
        <v>9.4800002999999994E-2</v>
      </c>
      <c r="K436">
        <f>0.052799999</f>
        <v>5.2799999E-2</v>
      </c>
      <c r="L436">
        <f>0.055599998</f>
        <v>5.5599997999999998E-2</v>
      </c>
      <c r="M436">
        <f>0.081248001</f>
        <v>8.1248001E-2</v>
      </c>
      <c r="N436">
        <f>0.071800003</f>
        <v>7.1800003000000001E-2</v>
      </c>
      <c r="O436">
        <f>0.094800003</f>
        <v>9.4800002999999994E-2</v>
      </c>
    </row>
    <row r="437" spans="1:15" x14ac:dyDescent="0.25">
      <c r="A437" t="str">
        <f>"                    Target Corp"</f>
        <v xml:space="preserve">                    Target Corp</v>
      </c>
      <c r="B437" t="str">
        <f>"TGT US Equity"</f>
        <v>TGT US Equity</v>
      </c>
      <c r="C437" t="str">
        <f t="shared" si="42"/>
        <v>F0946</v>
      </c>
      <c r="D437" t="str">
        <f t="shared" si="43"/>
        <v>TOTAL_GHG_CO2_EMISSIONS</v>
      </c>
      <c r="E437" t="str">
        <f t="shared" si="44"/>
        <v>Dynamic</v>
      </c>
      <c r="F437" t="str">
        <f ca="1">IF(AND(ISNUMBER($F$1553),$B$1132=1),$F$1553,HLOOKUP(INDIRECT(ADDRESS(2,COLUMN())),OFFSET($K$2,0,0,ROW()-1,5),ROW()-1,FALSE))</f>
        <v/>
      </c>
      <c r="G437">
        <f ca="1">IF(AND(ISNUMBER($G$1553),$B$1132=1),$G$1553,HLOOKUP(INDIRECT(ADDRESS(2,COLUMN())),OFFSET($K$2,0,0,ROW()-1,5),ROW()-1,FALSE))</f>
        <v>2.159459961</v>
      </c>
      <c r="H437">
        <f ca="1">IF(AND(ISNUMBER($H$1553),$B$1132=1),$H$1553,HLOOKUP(INDIRECT(ADDRESS(2,COLUMN())),OFFSET($K$2,0,0,ROW()-1,5),ROW()-1,FALSE))</f>
        <v>2.192080078</v>
      </c>
      <c r="I437">
        <f ca="1">IF(AND(ISNUMBER($I$1553),$B$1132=1),$I$1553,HLOOKUP(INDIRECT(ADDRESS(2,COLUMN())),OFFSET($K$2,0,0,ROW()-1,5),ROW()-1,FALSE))</f>
        <v>2.4332299800000001</v>
      </c>
      <c r="J437">
        <f ca="1">IF(AND(ISNUMBER($J$1553),$B$1132=1),$J$1553,HLOOKUP(INDIRECT(ADDRESS(2,COLUMN())),OFFSET($K$2,0,0,ROW()-1,5),ROW()-1,FALSE))</f>
        <v>2.9175500489999999</v>
      </c>
      <c r="K437" t="str">
        <f>""</f>
        <v/>
      </c>
      <c r="L437">
        <f>2.159459961</f>
        <v>2.159459961</v>
      </c>
      <c r="M437">
        <f>2.192080078</f>
        <v>2.192080078</v>
      </c>
      <c r="N437">
        <f>2.43322998</f>
        <v>2.4332299800000001</v>
      </c>
      <c r="O437">
        <f>2.917550049</f>
        <v>2.9175500489999999</v>
      </c>
    </row>
    <row r="438" spans="1:15" x14ac:dyDescent="0.25">
      <c r="A438" t="str">
        <f>"                    Tops Holding LLC/DE"</f>
        <v xml:space="preserve">                    Tops Holding LLC/DE</v>
      </c>
      <c r="B438" t="str">
        <f>"3867081Z US Equity"</f>
        <v>3867081Z US Equity</v>
      </c>
      <c r="C438" t="str">
        <f t="shared" ref="C438:C453" si="45">"F0946"</f>
        <v>F0946</v>
      </c>
      <c r="D438" t="str">
        <f t="shared" ref="D438:D453" si="46">"TOTAL_GHG_CO2_EMISSIONS"</f>
        <v>TOTAL_GHG_CO2_EMISSIONS</v>
      </c>
      <c r="E438" t="str">
        <f t="shared" ref="E438:E453" si="47">"Dynamic"</f>
        <v>Dynamic</v>
      </c>
      <c r="F438" t="str">
        <f ca="1">IF(AND(ISNUMBER($F$1554),$B$1132=1),$F$1554,HLOOKUP(INDIRECT(ADDRESS(2,COLUMN())),OFFSET($K$2,0,0,ROW()-1,5),ROW()-1,FALSE))</f>
        <v/>
      </c>
      <c r="G438" t="str">
        <f ca="1">IF(AND(ISNUMBER($G$1554),$B$1132=1),$G$1554,HLOOKUP(INDIRECT(ADDRESS(2,COLUMN())),OFFSET($K$2,0,0,ROW()-1,5),ROW()-1,FALSE))</f>
        <v/>
      </c>
      <c r="H438" t="str">
        <f ca="1">IF(AND(ISNUMBER($H$1554),$B$1132=1),$H$1554,HLOOKUP(INDIRECT(ADDRESS(2,COLUMN())),OFFSET($K$2,0,0,ROW()-1,5),ROW()-1,FALSE))</f>
        <v/>
      </c>
      <c r="I438" t="str">
        <f ca="1">IF(AND(ISNUMBER($I$1554),$B$1132=1),$I$1554,HLOOKUP(INDIRECT(ADDRESS(2,COLUMN())),OFFSET($K$2,0,0,ROW()-1,5),ROW()-1,FALSE))</f>
        <v/>
      </c>
      <c r="J438" t="str">
        <f ca="1">IF(AND(ISNUMBER($J$1554),$B$1132=1),$J$1554,HLOOKUP(INDIRECT(ADDRESS(2,COLUMN())),OFFSET($K$2,0,0,ROW()-1,5),ROW()-1,FALSE))</f>
        <v/>
      </c>
      <c r="K438" t="str">
        <f>""</f>
        <v/>
      </c>
      <c r="L438" t="str">
        <f>""</f>
        <v/>
      </c>
      <c r="M438" t="str">
        <f>""</f>
        <v/>
      </c>
      <c r="N438" t="str">
        <f>""</f>
        <v/>
      </c>
      <c r="O438" t="str">
        <f>""</f>
        <v/>
      </c>
    </row>
    <row r="439" spans="1:15" x14ac:dyDescent="0.25">
      <c r="A439" t="str">
        <f>"                    Tengelmann Warenhandelsgesells"</f>
        <v xml:space="preserve">                    Tengelmann Warenhandelsgesells</v>
      </c>
      <c r="B439" t="str">
        <f>"TGLW GR Equity"</f>
        <v>TGLW GR Equity</v>
      </c>
      <c r="C439" t="str">
        <f t="shared" si="45"/>
        <v>F0946</v>
      </c>
      <c r="D439" t="str">
        <f t="shared" si="46"/>
        <v>TOTAL_GHG_CO2_EMISSIONS</v>
      </c>
      <c r="E439" t="str">
        <f t="shared" si="47"/>
        <v>Dynamic</v>
      </c>
      <c r="F439" t="str">
        <f ca="1">IF(AND(ISNUMBER($F$1555),$B$1132=1),$F$1555,HLOOKUP(INDIRECT(ADDRESS(2,COLUMN())),OFFSET($K$2,0,0,ROW()-1,5),ROW()-1,FALSE))</f>
        <v/>
      </c>
      <c r="G439" t="str">
        <f ca="1">IF(AND(ISNUMBER($G$1555),$B$1132=1),$G$1555,HLOOKUP(INDIRECT(ADDRESS(2,COLUMN())),OFFSET($K$2,0,0,ROW()-1,5),ROW()-1,FALSE))</f>
        <v/>
      </c>
      <c r="H439" t="str">
        <f ca="1">IF(AND(ISNUMBER($H$1555),$B$1132=1),$H$1555,HLOOKUP(INDIRECT(ADDRESS(2,COLUMN())),OFFSET($K$2,0,0,ROW()-1,5),ROW()-1,FALSE))</f>
        <v/>
      </c>
      <c r="I439" t="str">
        <f ca="1">IF(AND(ISNUMBER($I$1555),$B$1132=1),$I$1555,HLOOKUP(INDIRECT(ADDRESS(2,COLUMN())),OFFSET($K$2,0,0,ROW()-1,5),ROW()-1,FALSE))</f>
        <v/>
      </c>
      <c r="J439" t="str">
        <f ca="1">IF(AND(ISNUMBER($J$1555),$B$1132=1),$J$1555,HLOOKUP(INDIRECT(ADDRESS(2,COLUMN())),OFFSET($K$2,0,0,ROW()-1,5),ROW()-1,FALSE))</f>
        <v/>
      </c>
      <c r="K439" t="str">
        <f>""</f>
        <v/>
      </c>
      <c r="L439" t="str">
        <f>""</f>
        <v/>
      </c>
      <c r="M439" t="str">
        <f>""</f>
        <v/>
      </c>
      <c r="N439" t="str">
        <f>""</f>
        <v/>
      </c>
      <c r="O439" t="str">
        <f>""</f>
        <v/>
      </c>
    </row>
    <row r="440" spans="1:15" x14ac:dyDescent="0.25">
      <c r="A440" t="str">
        <f>"                    Tesco PLC"</f>
        <v xml:space="preserve">                    Tesco PLC</v>
      </c>
      <c r="B440" t="str">
        <f>"TSCO LN Equity"</f>
        <v>TSCO LN Equity</v>
      </c>
      <c r="C440" t="str">
        <f t="shared" si="45"/>
        <v>F0946</v>
      </c>
      <c r="D440" t="str">
        <f t="shared" si="46"/>
        <v>TOTAL_GHG_CO2_EMISSIONS</v>
      </c>
      <c r="E440" t="str">
        <f t="shared" si="47"/>
        <v>Dynamic</v>
      </c>
      <c r="F440">
        <f ca="1">IF(AND(ISNUMBER($F$1556),$B$1132=1),$F$1556,HLOOKUP(INDIRECT(ADDRESS(2,COLUMN())),OFFSET($K$2,0,0,ROW()-1,5),ROW()-1,FALSE))</f>
        <v>1.6148100590000001</v>
      </c>
      <c r="G440">
        <f ca="1">IF(AND(ISNUMBER($G$1556),$B$1132=1),$G$1556,HLOOKUP(INDIRECT(ADDRESS(2,COLUMN())),OFFSET($K$2,0,0,ROW()-1,5),ROW()-1,FALSE))</f>
        <v>1.752439941</v>
      </c>
      <c r="H440">
        <f ca="1">IF(AND(ISNUMBER($H$1556),$B$1132=1),$H$1556,HLOOKUP(INDIRECT(ADDRESS(2,COLUMN())),OFFSET($K$2,0,0,ROW()-1,5),ROW()-1,FALSE))</f>
        <v>1.7713699949999999</v>
      </c>
      <c r="I440">
        <f ca="1">IF(AND(ISNUMBER($I$1556),$B$1132=1),$I$1556,HLOOKUP(INDIRECT(ADDRESS(2,COLUMN())),OFFSET($K$2,0,0,ROW()-1,5),ROW()-1,FALSE))</f>
        <v>2.8491799320000002</v>
      </c>
      <c r="J440">
        <f ca="1">IF(AND(ISNUMBER($J$1556),$B$1132=1),$J$1556,HLOOKUP(INDIRECT(ADDRESS(2,COLUMN())),OFFSET($K$2,0,0,ROW()-1,5),ROW()-1,FALSE))</f>
        <v>3.1603798830000001</v>
      </c>
      <c r="K440">
        <f>1.614810059</f>
        <v>1.6148100590000001</v>
      </c>
      <c r="L440">
        <f>1.752439941</f>
        <v>1.752439941</v>
      </c>
      <c r="M440">
        <f>1.771369995</f>
        <v>1.7713699949999999</v>
      </c>
      <c r="N440">
        <f>2.849179932</f>
        <v>2.8491799320000002</v>
      </c>
      <c r="O440">
        <f>3.160379883</f>
        <v>3.1603798830000001</v>
      </c>
    </row>
    <row r="441" spans="1:15" x14ac:dyDescent="0.25">
      <c r="A441" t="str">
        <f>"                    Valor Holdings Co Ltd"</f>
        <v xml:space="preserve">                    Valor Holdings Co Ltd</v>
      </c>
      <c r="B441" t="str">
        <f>"9956 JP Equity"</f>
        <v>9956 JP Equity</v>
      </c>
      <c r="C441" t="str">
        <f t="shared" si="45"/>
        <v>F0946</v>
      </c>
      <c r="D441" t="str">
        <f t="shared" si="46"/>
        <v>TOTAL_GHG_CO2_EMISSIONS</v>
      </c>
      <c r="E441" t="str">
        <f t="shared" si="47"/>
        <v>Dynamic</v>
      </c>
      <c r="F441" t="str">
        <f ca="1">IF(AND(ISNUMBER($F$1557),$B$1132=1),$F$1557,HLOOKUP(INDIRECT(ADDRESS(2,COLUMN())),OFFSET($K$2,0,0,ROW()-1,5),ROW()-1,FALSE))</f>
        <v/>
      </c>
      <c r="G441" t="str">
        <f ca="1">IF(AND(ISNUMBER($G$1557),$B$1132=1),$G$1557,HLOOKUP(INDIRECT(ADDRESS(2,COLUMN())),OFFSET($K$2,0,0,ROW()-1,5),ROW()-1,FALSE))</f>
        <v/>
      </c>
      <c r="H441" t="str">
        <f ca="1">IF(AND(ISNUMBER($H$1557),$B$1132=1),$H$1557,HLOOKUP(INDIRECT(ADDRESS(2,COLUMN())),OFFSET($K$2,0,0,ROW()-1,5),ROW()-1,FALSE))</f>
        <v/>
      </c>
      <c r="I441" t="str">
        <f ca="1">IF(AND(ISNUMBER($I$1557),$B$1132=1),$I$1557,HLOOKUP(INDIRECT(ADDRESS(2,COLUMN())),OFFSET($K$2,0,0,ROW()-1,5),ROW()-1,FALSE))</f>
        <v/>
      </c>
      <c r="J441" t="str">
        <f ca="1">IF(AND(ISNUMBER($J$1557),$B$1132=1),$J$1557,HLOOKUP(INDIRECT(ADDRESS(2,COLUMN())),OFFSET($K$2,0,0,ROW()-1,5),ROW()-1,FALSE))</f>
        <v/>
      </c>
      <c r="K441" t="str">
        <f>""</f>
        <v/>
      </c>
      <c r="L441" t="str">
        <f>""</f>
        <v/>
      </c>
      <c r="M441" t="str">
        <f>""</f>
        <v/>
      </c>
      <c r="N441" t="str">
        <f>""</f>
        <v/>
      </c>
      <c r="O441" t="str">
        <f>""</f>
        <v/>
      </c>
    </row>
    <row r="442" spans="1:15" x14ac:dyDescent="0.25">
      <c r="A442" t="str">
        <f>"                    Village Super Market Inc"</f>
        <v xml:space="preserve">                    Village Super Market Inc</v>
      </c>
      <c r="B442" t="str">
        <f>"VLGEA US Equity"</f>
        <v>VLGEA US Equity</v>
      </c>
      <c r="C442" t="str">
        <f t="shared" si="45"/>
        <v>F0946</v>
      </c>
      <c r="D442" t="str">
        <f t="shared" si="46"/>
        <v>TOTAL_GHG_CO2_EMISSIONS</v>
      </c>
      <c r="E442" t="str">
        <f t="shared" si="47"/>
        <v>Dynamic</v>
      </c>
      <c r="F442" t="str">
        <f ca="1">IF(AND(ISNUMBER($F$1558),$B$1132=1),$F$1558,HLOOKUP(INDIRECT(ADDRESS(2,COLUMN())),OFFSET($K$2,0,0,ROW()-1,5),ROW()-1,FALSE))</f>
        <v/>
      </c>
      <c r="G442" t="str">
        <f ca="1">IF(AND(ISNUMBER($G$1558),$B$1132=1),$G$1558,HLOOKUP(INDIRECT(ADDRESS(2,COLUMN())),OFFSET($K$2,0,0,ROW()-1,5),ROW()-1,FALSE))</f>
        <v/>
      </c>
      <c r="H442" t="str">
        <f ca="1">IF(AND(ISNUMBER($H$1558),$B$1132=1),$H$1558,HLOOKUP(INDIRECT(ADDRESS(2,COLUMN())),OFFSET($K$2,0,0,ROW()-1,5),ROW()-1,FALSE))</f>
        <v/>
      </c>
      <c r="I442" t="str">
        <f ca="1">IF(AND(ISNUMBER($I$1558),$B$1132=1),$I$1558,HLOOKUP(INDIRECT(ADDRESS(2,COLUMN())),OFFSET($K$2,0,0,ROW()-1,5),ROW()-1,FALSE))</f>
        <v/>
      </c>
      <c r="J442" t="str">
        <f ca="1">IF(AND(ISNUMBER($J$1558),$B$1132=1),$J$1558,HLOOKUP(INDIRECT(ADDRESS(2,COLUMN())),OFFSET($K$2,0,0,ROW()-1,5),ROW()-1,FALSE))</f>
        <v/>
      </c>
      <c r="K442" t="str">
        <f>""</f>
        <v/>
      </c>
      <c r="L442" t="str">
        <f>""</f>
        <v/>
      </c>
      <c r="M442" t="str">
        <f>""</f>
        <v/>
      </c>
      <c r="N442" t="str">
        <f>""</f>
        <v/>
      </c>
      <c r="O442" t="str">
        <f>""</f>
        <v/>
      </c>
    </row>
    <row r="443" spans="1:15" x14ac:dyDescent="0.25">
      <c r="A443" t="str">
        <f>"                    Wal-Mart de Mexico SAB de CV"</f>
        <v xml:space="preserve">                    Wal-Mart de Mexico SAB de CV</v>
      </c>
      <c r="B443" t="str">
        <f>"WALMEX* MM Equity"</f>
        <v>WALMEX* MM Equity</v>
      </c>
      <c r="C443" t="str">
        <f t="shared" si="45"/>
        <v>F0946</v>
      </c>
      <c r="D443" t="str">
        <f t="shared" si="46"/>
        <v>TOTAL_GHG_CO2_EMISSIONS</v>
      </c>
      <c r="E443" t="str">
        <f t="shared" si="47"/>
        <v>Dynamic</v>
      </c>
      <c r="F443">
        <f ca="1">IF(AND(ISNUMBER($F$1559),$B$1132=1),$F$1559,HLOOKUP(INDIRECT(ADDRESS(2,COLUMN())),OFFSET($K$2,0,0,ROW()-1,5),ROW()-1,FALSE))</f>
        <v>1.333</v>
      </c>
      <c r="G443">
        <f ca="1">IF(AND(ISNUMBER($G$1559),$B$1132=1),$G$1559,HLOOKUP(INDIRECT(ADDRESS(2,COLUMN())),OFFSET($K$2,0,0,ROW()-1,5),ROW()-1,FALSE))</f>
        <v>1.41</v>
      </c>
      <c r="H443">
        <f ca="1">IF(AND(ISNUMBER($H$1559),$B$1132=1),$H$1559,HLOOKUP(INDIRECT(ADDRESS(2,COLUMN())),OFFSET($K$2,0,0,ROW()-1,5),ROW()-1,FALSE))</f>
        <v>1.4661300049999999</v>
      </c>
      <c r="I443">
        <f ca="1">IF(AND(ISNUMBER($I$1559),$B$1132=1),$I$1559,HLOOKUP(INDIRECT(ADDRESS(2,COLUMN())),OFFSET($K$2,0,0,ROW()-1,5),ROW()-1,FALSE))</f>
        <v>1.6319999999999999</v>
      </c>
      <c r="J443">
        <f ca="1">IF(AND(ISNUMBER($J$1559),$B$1132=1),$J$1559,HLOOKUP(INDIRECT(ADDRESS(2,COLUMN())),OFFSET($K$2,0,0,ROW()-1,5),ROW()-1,FALSE))</f>
        <v>1.1636300049999999</v>
      </c>
      <c r="K443">
        <f>1.333</f>
        <v>1.333</v>
      </c>
      <c r="L443">
        <f>1.41</f>
        <v>1.41</v>
      </c>
      <c r="M443">
        <f>1.466130005</f>
        <v>1.4661300049999999</v>
      </c>
      <c r="N443">
        <f>1.632</f>
        <v>1.6319999999999999</v>
      </c>
      <c r="O443">
        <f>1.163630005</f>
        <v>1.1636300049999999</v>
      </c>
    </row>
    <row r="444" spans="1:15" x14ac:dyDescent="0.25">
      <c r="A444" t="str">
        <f>"                    Walmart Inc"</f>
        <v xml:space="preserve">                    Walmart Inc</v>
      </c>
      <c r="B444" t="str">
        <f>"WMT US Equity"</f>
        <v>WMT US Equity</v>
      </c>
      <c r="C444" t="str">
        <f t="shared" si="45"/>
        <v>F0946</v>
      </c>
      <c r="D444" t="str">
        <f t="shared" si="46"/>
        <v>TOTAL_GHG_CO2_EMISSIONS</v>
      </c>
      <c r="E444" t="str">
        <f t="shared" si="47"/>
        <v>Dynamic</v>
      </c>
      <c r="F444" t="str">
        <f ca="1">IF(AND(ISNUMBER($F$1560),$B$1132=1),$F$1560,HLOOKUP(INDIRECT(ADDRESS(2,COLUMN())),OFFSET($K$2,0,0,ROW()-1,5),ROW()-1,FALSE))</f>
        <v/>
      </c>
      <c r="G444">
        <f ca="1">IF(AND(ISNUMBER($G$1560),$B$1132=1),$G$1560,HLOOKUP(INDIRECT(ADDRESS(2,COLUMN())),OFFSET($K$2,0,0,ROW()-1,5),ROW()-1,FALSE))</f>
        <v>16.787400389999998</v>
      </c>
      <c r="H444">
        <f ca="1">IF(AND(ISNUMBER($H$1560),$B$1132=1),$H$1560,HLOOKUP(INDIRECT(ADDRESS(2,COLUMN())),OFFSET($K$2,0,0,ROW()-1,5),ROW()-1,FALSE))</f>
        <v>18.268300780000001</v>
      </c>
      <c r="I444">
        <f ca="1">IF(AND(ISNUMBER($I$1560),$B$1132=1),$I$1560,HLOOKUP(INDIRECT(ADDRESS(2,COLUMN())),OFFSET($K$2,0,0,ROW()-1,5),ROW()-1,FALSE))</f>
        <v>18.6755</v>
      </c>
      <c r="J444">
        <f ca="1">IF(AND(ISNUMBER($J$1560),$B$1132=1),$J$1560,HLOOKUP(INDIRECT(ADDRESS(2,COLUMN())),OFFSET($K$2,0,0,ROW()-1,5),ROW()-1,FALSE))</f>
        <v>19.158999999999999</v>
      </c>
      <c r="K444" t="str">
        <f>""</f>
        <v/>
      </c>
      <c r="L444">
        <f>16.78740039</f>
        <v>16.787400389999998</v>
      </c>
      <c r="M444">
        <f>18.26830078</f>
        <v>18.268300780000001</v>
      </c>
      <c r="N444">
        <f>18.6755</f>
        <v>18.6755</v>
      </c>
      <c r="O444">
        <f>19.159</f>
        <v>19.158999999999999</v>
      </c>
    </row>
    <row r="445" spans="1:15" x14ac:dyDescent="0.25">
      <c r="A445" t="str">
        <f>"                    Wegmans Food Markets Inc"</f>
        <v xml:space="preserve">                    Wegmans Food Markets Inc</v>
      </c>
      <c r="B445" t="str">
        <f>"4449Z US Equity"</f>
        <v>4449Z US Equity</v>
      </c>
      <c r="C445" t="str">
        <f t="shared" si="45"/>
        <v>F0946</v>
      </c>
      <c r="D445" t="str">
        <f t="shared" si="46"/>
        <v>TOTAL_GHG_CO2_EMISSIONS</v>
      </c>
      <c r="E445" t="str">
        <f t="shared" si="47"/>
        <v>Dynamic</v>
      </c>
      <c r="F445" t="str">
        <f ca="1">IF(AND(ISNUMBER($F$1561),$B$1132=1),$F$1561,HLOOKUP(INDIRECT(ADDRESS(2,COLUMN())),OFFSET($K$2,0,0,ROW()-1,5),ROW()-1,FALSE))</f>
        <v/>
      </c>
      <c r="G445" t="str">
        <f ca="1">IF(AND(ISNUMBER($G$1561),$B$1132=1),$G$1561,HLOOKUP(INDIRECT(ADDRESS(2,COLUMN())),OFFSET($K$2,0,0,ROW()-1,5),ROW()-1,FALSE))</f>
        <v/>
      </c>
      <c r="H445" t="str">
        <f ca="1">IF(AND(ISNUMBER($H$1561),$B$1132=1),$H$1561,HLOOKUP(INDIRECT(ADDRESS(2,COLUMN())),OFFSET($K$2,0,0,ROW()-1,5),ROW()-1,FALSE))</f>
        <v/>
      </c>
      <c r="I445" t="str">
        <f ca="1">IF(AND(ISNUMBER($I$1561),$B$1132=1),$I$1561,HLOOKUP(INDIRECT(ADDRESS(2,COLUMN())),OFFSET($K$2,0,0,ROW()-1,5),ROW()-1,FALSE))</f>
        <v/>
      </c>
      <c r="J445" t="str">
        <f ca="1">IF(AND(ISNUMBER($J$1561),$B$1132=1),$J$1561,HLOOKUP(INDIRECT(ADDRESS(2,COLUMN())),OFFSET($K$2,0,0,ROW()-1,5),ROW()-1,FALSE))</f>
        <v/>
      </c>
      <c r="K445" t="str">
        <f>""</f>
        <v/>
      </c>
      <c r="L445" t="str">
        <f>""</f>
        <v/>
      </c>
      <c r="M445" t="str">
        <f>""</f>
        <v/>
      </c>
      <c r="N445" t="str">
        <f>""</f>
        <v/>
      </c>
      <c r="O445" t="str">
        <f>""</f>
        <v/>
      </c>
    </row>
    <row r="446" spans="1:15" x14ac:dyDescent="0.25">
      <c r="A446" t="str">
        <f>"                    Woolworths Group Ltd"</f>
        <v xml:space="preserve">                    Woolworths Group Ltd</v>
      </c>
      <c r="B446" t="str">
        <f>"WOW AU Equity"</f>
        <v>WOW AU Equity</v>
      </c>
      <c r="C446" t="str">
        <f t="shared" si="45"/>
        <v>F0946</v>
      </c>
      <c r="D446" t="str">
        <f t="shared" si="46"/>
        <v>TOTAL_GHG_CO2_EMISSIONS</v>
      </c>
      <c r="E446" t="str">
        <f t="shared" si="47"/>
        <v>Dynamic</v>
      </c>
      <c r="F446" t="str">
        <f ca="1">IF(AND(ISNUMBER($F$1562),$B$1132=1),$F$1562,HLOOKUP(INDIRECT(ADDRESS(2,COLUMN())),OFFSET($K$2,0,0,ROW()-1,5),ROW()-1,FALSE))</f>
        <v/>
      </c>
      <c r="G446">
        <f ca="1">IF(AND(ISNUMBER($G$1562),$B$1132=1),$G$1562,HLOOKUP(INDIRECT(ADDRESS(2,COLUMN())),OFFSET($K$2,0,0,ROW()-1,5),ROW()-1,FALSE))</f>
        <v>2.0100400390000002</v>
      </c>
      <c r="H446">
        <f ca="1">IF(AND(ISNUMBER($H$1562),$B$1132=1),$H$1562,HLOOKUP(INDIRECT(ADDRESS(2,COLUMN())),OFFSET($K$2,0,0,ROW()-1,5),ROW()-1,FALSE))</f>
        <v>2.3374799799999999</v>
      </c>
      <c r="I446">
        <f ca="1">IF(AND(ISNUMBER($I$1562),$B$1132=1),$I$1562,HLOOKUP(INDIRECT(ADDRESS(2,COLUMN())),OFFSET($K$2,0,0,ROW()-1,5),ROW()-1,FALSE))</f>
        <v>2.5551799320000002</v>
      </c>
      <c r="J446">
        <f ca="1">IF(AND(ISNUMBER($J$1562),$B$1132=1),$J$1562,HLOOKUP(INDIRECT(ADDRESS(2,COLUMN())),OFFSET($K$2,0,0,ROW()-1,5),ROW()-1,FALSE))</f>
        <v>2.8009899900000002</v>
      </c>
      <c r="K446" t="str">
        <f>""</f>
        <v/>
      </c>
      <c r="L446">
        <f>2.010040039</f>
        <v>2.0100400390000002</v>
      </c>
      <c r="M446">
        <f>2.33747998</f>
        <v>2.3374799799999999</v>
      </c>
      <c r="N446">
        <f>2.555179932</f>
        <v>2.5551799320000002</v>
      </c>
      <c r="O446">
        <f>2.80098999</f>
        <v>2.8009899900000002</v>
      </c>
    </row>
    <row r="447" spans="1:15" x14ac:dyDescent="0.25">
      <c r="A447" t="str">
        <f>"                    Woolworths Holdings Ltd/South"</f>
        <v xml:space="preserve">                    Woolworths Holdings Ltd/South</v>
      </c>
      <c r="B447" t="str">
        <f>"WHL SJ Equity"</f>
        <v>WHL SJ Equity</v>
      </c>
      <c r="C447" t="str">
        <f t="shared" si="45"/>
        <v>F0946</v>
      </c>
      <c r="D447" t="str">
        <f t="shared" si="46"/>
        <v>TOTAL_GHG_CO2_EMISSIONS</v>
      </c>
      <c r="E447" t="str">
        <f t="shared" si="47"/>
        <v>Dynamic</v>
      </c>
      <c r="F447" t="str">
        <f ca="1">IF(AND(ISNUMBER($F$1563),$B$1132=1),$F$1563,HLOOKUP(INDIRECT(ADDRESS(2,COLUMN())),OFFSET($K$2,0,0,ROW()-1,5),ROW()-1,FALSE))</f>
        <v/>
      </c>
      <c r="G447" t="str">
        <f ca="1">IF(AND(ISNUMBER($G$1563),$B$1132=1),$G$1563,HLOOKUP(INDIRECT(ADDRESS(2,COLUMN())),OFFSET($K$2,0,0,ROW()-1,5),ROW()-1,FALSE))</f>
        <v/>
      </c>
      <c r="H447">
        <f ca="1">IF(AND(ISNUMBER($H$1563),$B$1132=1),$H$1563,HLOOKUP(INDIRECT(ADDRESS(2,COLUMN())),OFFSET($K$2,0,0,ROW()-1,5),ROW()-1,FALSE))</f>
        <v>0.47107901000000002</v>
      </c>
      <c r="I447">
        <f ca="1">IF(AND(ISNUMBER($I$1563),$B$1132=1),$I$1563,HLOOKUP(INDIRECT(ADDRESS(2,COLUMN())),OFFSET($K$2,0,0,ROW()-1,5),ROW()-1,FALSE))</f>
        <v>0.49795199600000001</v>
      </c>
      <c r="J447">
        <f ca="1">IF(AND(ISNUMBER($J$1563),$B$1132=1),$J$1563,HLOOKUP(INDIRECT(ADDRESS(2,COLUMN())),OFFSET($K$2,0,0,ROW()-1,5),ROW()-1,FALSE))</f>
        <v>0.53656298800000002</v>
      </c>
      <c r="K447" t="str">
        <f>""</f>
        <v/>
      </c>
      <c r="L447" t="str">
        <f>""</f>
        <v/>
      </c>
      <c r="M447">
        <f>0.47107901</f>
        <v>0.47107901000000002</v>
      </c>
      <c r="N447">
        <f>0.497951996</f>
        <v>0.49795199600000001</v>
      </c>
      <c r="O447">
        <f>0.536562988</f>
        <v>0.53656298800000002</v>
      </c>
    </row>
    <row r="448" spans="1:15" x14ac:dyDescent="0.25">
      <c r="A448" t="str">
        <f>"                    Weis Markets Inc"</f>
        <v xml:space="preserve">                    Weis Markets Inc</v>
      </c>
      <c r="B448" t="str">
        <f>"WMK US Equity"</f>
        <v>WMK US Equity</v>
      </c>
      <c r="C448" t="str">
        <f t="shared" si="45"/>
        <v>F0946</v>
      </c>
      <c r="D448" t="str">
        <f t="shared" si="46"/>
        <v>TOTAL_GHG_CO2_EMISSIONS</v>
      </c>
      <c r="E448" t="str">
        <f t="shared" si="47"/>
        <v>Dynamic</v>
      </c>
      <c r="F448" t="str">
        <f ca="1">IF(AND(ISNUMBER($F$1564),$B$1132=1),$F$1564,HLOOKUP(INDIRECT(ADDRESS(2,COLUMN())),OFFSET($K$2,0,0,ROW()-1,5),ROW()-1,FALSE))</f>
        <v/>
      </c>
      <c r="G448">
        <f ca="1">IF(AND(ISNUMBER($G$1564),$B$1132=1),$G$1564,HLOOKUP(INDIRECT(ADDRESS(2,COLUMN())),OFFSET($K$2,0,0,ROW()-1,5),ROW()-1,FALSE))</f>
        <v>0.25288900800000003</v>
      </c>
      <c r="H448">
        <f ca="1">IF(AND(ISNUMBER($H$1564),$B$1132=1),$H$1564,HLOOKUP(INDIRECT(ADDRESS(2,COLUMN())),OFFSET($K$2,0,0,ROW()-1,5),ROW()-1,FALSE))</f>
        <v>0.26326098599999997</v>
      </c>
      <c r="I448">
        <f ca="1">IF(AND(ISNUMBER($I$1564),$B$1132=1),$I$1564,HLOOKUP(INDIRECT(ADDRESS(2,COLUMN())),OFFSET($K$2,0,0,ROW()-1,5),ROW()-1,FALSE))</f>
        <v>0.26618798799999999</v>
      </c>
      <c r="J448">
        <f ca="1">IF(AND(ISNUMBER($J$1564),$B$1132=1),$J$1564,HLOOKUP(INDIRECT(ADDRESS(2,COLUMN())),OFFSET($K$2,0,0,ROW()-1,5),ROW()-1,FALSE))</f>
        <v>0.29005999799999999</v>
      </c>
      <c r="K448" t="str">
        <f>""</f>
        <v/>
      </c>
      <c r="L448">
        <f>0.252889008</f>
        <v>0.25288900800000003</v>
      </c>
      <c r="M448">
        <f>0.263260986</f>
        <v>0.26326098599999997</v>
      </c>
      <c r="N448">
        <f>0.266187988</f>
        <v>0.26618798799999999</v>
      </c>
      <c r="O448">
        <f>0.290059998</f>
        <v>0.29005999799999999</v>
      </c>
    </row>
    <row r="449" spans="1:15" x14ac:dyDescent="0.25">
      <c r="A449" t="str">
        <f>"                    Wesfarmers Ltd"</f>
        <v xml:space="preserve">                    Wesfarmers Ltd</v>
      </c>
      <c r="B449" t="str">
        <f>"WES AU Equity"</f>
        <v>WES AU Equity</v>
      </c>
      <c r="C449" t="str">
        <f t="shared" si="45"/>
        <v>F0946</v>
      </c>
      <c r="D449" t="str">
        <f t="shared" si="46"/>
        <v>TOTAL_GHG_CO2_EMISSIONS</v>
      </c>
      <c r="E449" t="str">
        <f t="shared" si="47"/>
        <v>Dynamic</v>
      </c>
      <c r="F449" t="str">
        <f ca="1">IF(AND(ISNUMBER($F$1565),$B$1132=1),$F$1565,HLOOKUP(INDIRECT(ADDRESS(2,COLUMN())),OFFSET($K$2,0,0,ROW()-1,5),ROW()-1,FALSE))</f>
        <v/>
      </c>
      <c r="G449" t="str">
        <f ca="1">IF(AND(ISNUMBER($G$1565),$B$1132=1),$G$1565,HLOOKUP(INDIRECT(ADDRESS(2,COLUMN())),OFFSET($K$2,0,0,ROW()-1,5),ROW()-1,FALSE))</f>
        <v/>
      </c>
      <c r="H449">
        <f ca="1">IF(AND(ISNUMBER($H$1565),$B$1132=1),$H$1565,HLOOKUP(INDIRECT(ADDRESS(2,COLUMN())),OFFSET($K$2,0,0,ROW()-1,5),ROW()-1,FALSE))</f>
        <v>1.476</v>
      </c>
      <c r="I449">
        <f ca="1">IF(AND(ISNUMBER($I$1565),$B$1132=1),$I$1565,HLOOKUP(INDIRECT(ADDRESS(2,COLUMN())),OFFSET($K$2,0,0,ROW()-1,5),ROW()-1,FALSE))</f>
        <v>1.601849976</v>
      </c>
      <c r="J449">
        <f ca="1">IF(AND(ISNUMBER($J$1565),$B$1132=1),$J$1565,HLOOKUP(INDIRECT(ADDRESS(2,COLUMN())),OFFSET($K$2,0,0,ROW()-1,5),ROW()-1,FALSE))</f>
        <v>1.5580000000000001</v>
      </c>
      <c r="K449" t="str">
        <f>""</f>
        <v/>
      </c>
      <c r="L449" t="str">
        <f>""</f>
        <v/>
      </c>
      <c r="M449">
        <f>1.476</f>
        <v>1.476</v>
      </c>
      <c r="N449">
        <f>1.601849976</f>
        <v>1.601849976</v>
      </c>
      <c r="O449">
        <f>1.558</f>
        <v>1.5580000000000001</v>
      </c>
    </row>
    <row r="450" spans="1:15" x14ac:dyDescent="0.25">
      <c r="A450" t="str">
        <f>"                    X5 Retail Group NV"</f>
        <v xml:space="preserve">                    X5 Retail Group NV</v>
      </c>
      <c r="B450" t="str">
        <f>"FIVE LI Equity"</f>
        <v>FIVE LI Equity</v>
      </c>
      <c r="C450" t="str">
        <f t="shared" si="45"/>
        <v>F0946</v>
      </c>
      <c r="D450" t="str">
        <f t="shared" si="46"/>
        <v>TOTAL_GHG_CO2_EMISSIONS</v>
      </c>
      <c r="E450" t="str">
        <f t="shared" si="47"/>
        <v>Dynamic</v>
      </c>
      <c r="F450">
        <f ca="1">IF(AND(ISNUMBER($F$1566),$B$1132=1),$F$1566,HLOOKUP(INDIRECT(ADDRESS(2,COLUMN())),OFFSET($K$2,0,0,ROW()-1,5),ROW()-1,FALSE))</f>
        <v>3.5286699220000002</v>
      </c>
      <c r="G450">
        <f ca="1">IF(AND(ISNUMBER($G$1566),$B$1132=1),$G$1566,HLOOKUP(INDIRECT(ADDRESS(2,COLUMN())),OFFSET($K$2,0,0,ROW()-1,5),ROW()-1,FALSE))</f>
        <v>3.551080078</v>
      </c>
      <c r="H450">
        <f ca="1">IF(AND(ISNUMBER($H$1566),$B$1132=1),$H$1566,HLOOKUP(INDIRECT(ADDRESS(2,COLUMN())),OFFSET($K$2,0,0,ROW()-1,5),ROW()-1,FALSE))</f>
        <v>2.808629883</v>
      </c>
      <c r="I450">
        <f ca="1">IF(AND(ISNUMBER($I$1566),$B$1132=1),$I$1566,HLOOKUP(INDIRECT(ADDRESS(2,COLUMN())),OFFSET($K$2,0,0,ROW()-1,5),ROW()-1,FALSE))</f>
        <v>2.8740000000000001</v>
      </c>
      <c r="J450">
        <f ca="1">IF(AND(ISNUMBER($J$1566),$B$1132=1),$J$1566,HLOOKUP(INDIRECT(ADDRESS(2,COLUMN())),OFFSET($K$2,0,0,ROW()-1,5),ROW()-1,FALSE))</f>
        <v>2.5830000000000002</v>
      </c>
      <c r="K450">
        <f>3.528669922</f>
        <v>3.5286699220000002</v>
      </c>
      <c r="L450">
        <f>3.551080078</f>
        <v>3.551080078</v>
      </c>
      <c r="M450">
        <f>2.808629883</f>
        <v>2.808629883</v>
      </c>
      <c r="N450">
        <f>2.874</f>
        <v>2.8740000000000001</v>
      </c>
      <c r="O450">
        <f>2.583</f>
        <v>2.5830000000000002</v>
      </c>
    </row>
    <row r="451" spans="1:15" x14ac:dyDescent="0.25">
      <c r="A451" t="str">
        <f>"                    Yaoko Co Ltd"</f>
        <v xml:space="preserve">                    Yaoko Co Ltd</v>
      </c>
      <c r="B451" t="str">
        <f>"8279 JP Equity"</f>
        <v>8279 JP Equity</v>
      </c>
      <c r="C451" t="str">
        <f t="shared" si="45"/>
        <v>F0946</v>
      </c>
      <c r="D451" t="str">
        <f t="shared" si="46"/>
        <v>TOTAL_GHG_CO2_EMISSIONS</v>
      </c>
      <c r="E451" t="str">
        <f t="shared" si="47"/>
        <v>Dynamic</v>
      </c>
      <c r="F451" t="str">
        <f ca="1">IF(AND(ISNUMBER($F$1567),$B$1132=1),$F$1567,HLOOKUP(INDIRECT(ADDRESS(2,COLUMN())),OFFSET($K$2,0,0,ROW()-1,5),ROW()-1,FALSE))</f>
        <v/>
      </c>
      <c r="G451" t="str">
        <f ca="1">IF(AND(ISNUMBER($G$1567),$B$1132=1),$G$1567,HLOOKUP(INDIRECT(ADDRESS(2,COLUMN())),OFFSET($K$2,0,0,ROW()-1,5),ROW()-1,FALSE))</f>
        <v/>
      </c>
      <c r="H451" t="str">
        <f ca="1">IF(AND(ISNUMBER($H$1567),$B$1132=1),$H$1567,HLOOKUP(INDIRECT(ADDRESS(2,COLUMN())),OFFSET($K$2,0,0,ROW()-1,5),ROW()-1,FALSE))</f>
        <v/>
      </c>
      <c r="I451" t="str">
        <f ca="1">IF(AND(ISNUMBER($I$1567),$B$1132=1),$I$1567,HLOOKUP(INDIRECT(ADDRESS(2,COLUMN())),OFFSET($K$2,0,0,ROW()-1,5),ROW()-1,FALSE))</f>
        <v/>
      </c>
      <c r="J451" t="str">
        <f ca="1">IF(AND(ISNUMBER($J$1567),$B$1132=1),$J$1567,HLOOKUP(INDIRECT(ADDRESS(2,COLUMN())),OFFSET($K$2,0,0,ROW()-1,5),ROW()-1,FALSE))</f>
        <v/>
      </c>
      <c r="K451" t="str">
        <f>""</f>
        <v/>
      </c>
      <c r="L451" t="str">
        <f>""</f>
        <v/>
      </c>
      <c r="M451" t="str">
        <f>""</f>
        <v/>
      </c>
      <c r="N451" t="str">
        <f>""</f>
        <v/>
      </c>
      <c r="O451" t="str">
        <f>""</f>
        <v/>
      </c>
    </row>
    <row r="452" spans="1:15" x14ac:dyDescent="0.25">
      <c r="A452" t="str">
        <f>"                    Yonghui Superstores Co Ltd"</f>
        <v xml:space="preserve">                    Yonghui Superstores Co Ltd</v>
      </c>
      <c r="B452" t="str">
        <f>"601933 CH Equity"</f>
        <v>601933 CH Equity</v>
      </c>
      <c r="C452" t="str">
        <f t="shared" si="45"/>
        <v>F0946</v>
      </c>
      <c r="D452" t="str">
        <f t="shared" si="46"/>
        <v>TOTAL_GHG_CO2_EMISSIONS</v>
      </c>
      <c r="E452" t="str">
        <f t="shared" si="47"/>
        <v>Dynamic</v>
      </c>
      <c r="F452" t="str">
        <f ca="1">IF(AND(ISNUMBER($F$1568),$B$1132=1),$F$1568,HLOOKUP(INDIRECT(ADDRESS(2,COLUMN())),OFFSET($K$2,0,0,ROW()-1,5),ROW()-1,FALSE))</f>
        <v/>
      </c>
      <c r="G452" t="str">
        <f ca="1">IF(AND(ISNUMBER($G$1568),$B$1132=1),$G$1568,HLOOKUP(INDIRECT(ADDRESS(2,COLUMN())),OFFSET($K$2,0,0,ROW()-1,5),ROW()-1,FALSE))</f>
        <v/>
      </c>
      <c r="H452" t="str">
        <f ca="1">IF(AND(ISNUMBER($H$1568),$B$1132=1),$H$1568,HLOOKUP(INDIRECT(ADDRESS(2,COLUMN())),OFFSET($K$2,0,0,ROW()-1,5),ROW()-1,FALSE))</f>
        <v/>
      </c>
      <c r="I452" t="str">
        <f ca="1">IF(AND(ISNUMBER($I$1568),$B$1132=1),$I$1568,HLOOKUP(INDIRECT(ADDRESS(2,COLUMN())),OFFSET($K$2,0,0,ROW()-1,5),ROW()-1,FALSE))</f>
        <v/>
      </c>
      <c r="J452" t="str">
        <f ca="1">IF(AND(ISNUMBER($J$1568),$B$1132=1),$J$1568,HLOOKUP(INDIRECT(ADDRESS(2,COLUMN())),OFFSET($K$2,0,0,ROW()-1,5),ROW()-1,FALSE))</f>
        <v/>
      </c>
      <c r="K452" t="str">
        <f>""</f>
        <v/>
      </c>
      <c r="L452" t="str">
        <f>""</f>
        <v/>
      </c>
      <c r="M452" t="str">
        <f>""</f>
        <v/>
      </c>
      <c r="N452" t="str">
        <f>""</f>
        <v/>
      </c>
      <c r="O452" t="str">
        <f>""</f>
        <v/>
      </c>
    </row>
    <row r="453" spans="1:15" x14ac:dyDescent="0.25">
      <c r="A453" t="str">
        <f>"                    Zhongbai Holdings Group Co Ltd"</f>
        <v xml:space="preserve">                    Zhongbai Holdings Group Co Ltd</v>
      </c>
      <c r="B453" t="str">
        <f>"000759 CH Equity"</f>
        <v>000759 CH Equity</v>
      </c>
      <c r="C453" t="str">
        <f t="shared" si="45"/>
        <v>F0946</v>
      </c>
      <c r="D453" t="str">
        <f t="shared" si="46"/>
        <v>TOTAL_GHG_CO2_EMISSIONS</v>
      </c>
      <c r="E453" t="str">
        <f t="shared" si="47"/>
        <v>Dynamic</v>
      </c>
      <c r="F453" t="str">
        <f ca="1">IF(AND(ISNUMBER($F$1569),$B$1132=1),$F$1569,HLOOKUP(INDIRECT(ADDRESS(2,COLUMN())),OFFSET($K$2,0,0,ROW()-1,5),ROW()-1,FALSE))</f>
        <v/>
      </c>
      <c r="G453" t="str">
        <f ca="1">IF(AND(ISNUMBER($G$1569),$B$1132=1),$G$1569,HLOOKUP(INDIRECT(ADDRESS(2,COLUMN())),OFFSET($K$2,0,0,ROW()-1,5),ROW()-1,FALSE))</f>
        <v/>
      </c>
      <c r="H453" t="str">
        <f ca="1">IF(AND(ISNUMBER($H$1569),$B$1132=1),$H$1569,HLOOKUP(INDIRECT(ADDRESS(2,COLUMN())),OFFSET($K$2,0,0,ROW()-1,5),ROW()-1,FALSE))</f>
        <v/>
      </c>
      <c r="I453" t="str">
        <f ca="1">IF(AND(ISNUMBER($I$1569),$B$1132=1),$I$1569,HLOOKUP(INDIRECT(ADDRESS(2,COLUMN())),OFFSET($K$2,0,0,ROW()-1,5),ROW()-1,FALSE))</f>
        <v/>
      </c>
      <c r="J453" t="str">
        <f ca="1">IF(AND(ISNUMBER($J$1569),$B$1132=1),$J$1569,HLOOKUP(INDIRECT(ADDRESS(2,COLUMN())),OFFSET($K$2,0,0,ROW()-1,5),ROW()-1,FALSE))</f>
        <v/>
      </c>
      <c r="K453" t="str">
        <f>""</f>
        <v/>
      </c>
      <c r="L453" t="str">
        <f>""</f>
        <v/>
      </c>
      <c r="M453" t="str">
        <f>""</f>
        <v/>
      </c>
      <c r="N453" t="str">
        <f>""</f>
        <v/>
      </c>
      <c r="O453" t="str">
        <f>""</f>
        <v/>
      </c>
    </row>
    <row r="454" spans="1:15" x14ac:dyDescent="0.25">
      <c r="A454" t="str">
        <f>"        Energy"</f>
        <v xml:space="preserve">        Energy</v>
      </c>
      <c r="B454" t="str">
        <f>""</f>
        <v/>
      </c>
      <c r="E454" t="str">
        <f>"Sum"</f>
        <v>Sum</v>
      </c>
      <c r="F454" t="str">
        <f>IF(ISERROR(IF(SUM($F$455:$F$455) = 0, "", SUM($F$455:$F$455))), "", (IF(SUM($F$455:$F$455) = 0, "", SUM($F$455:$F$455))))</f>
        <v/>
      </c>
      <c r="G454" t="str">
        <f>IF(ISERROR(IF(SUM($G$455:$G$455) = 0, "", SUM($G$455:$G$455))), "", (IF(SUM($G$455:$G$455) = 0, "", SUM($G$455:$G$455))))</f>
        <v/>
      </c>
      <c r="H454" t="str">
        <f>IF(ISERROR(IF(SUM($H$455:$H$455) = 0, "", SUM($H$455:$H$455))), "", (IF(SUM($H$455:$H$455) = 0, "", SUM($H$455:$H$455))))</f>
        <v/>
      </c>
      <c r="I454" t="str">
        <f>IF(ISERROR(IF(SUM($I$455:$I$455) = 0, "", SUM($I$455:$I$455))), "", (IF(SUM($I$455:$I$455) = 0, "", SUM($I$455:$I$455))))</f>
        <v/>
      </c>
      <c r="J454" t="str">
        <f>IF(ISERROR(IF(SUM($J$455:$J$455) = 0, "", SUM($J$455:$J$455))), "", (IF(SUM($J$455:$J$455) = 0, "", SUM($J$455:$J$455))))</f>
        <v/>
      </c>
      <c r="K454" t="str">
        <f>""</f>
        <v/>
      </c>
      <c r="L454" t="str">
        <f>""</f>
        <v/>
      </c>
      <c r="M454" t="str">
        <f>""</f>
        <v/>
      </c>
      <c r="N454" t="str">
        <f>""</f>
        <v/>
      </c>
      <c r="O454" t="str">
        <f>""</f>
        <v/>
      </c>
    </row>
    <row r="455" spans="1:15" x14ac:dyDescent="0.25">
      <c r="A455" t="str">
        <f>"            Oil &amp; Gas"</f>
        <v xml:space="preserve">            Oil &amp; Gas</v>
      </c>
      <c r="B455" t="str">
        <f>""</f>
        <v/>
      </c>
      <c r="E455" t="str">
        <f>"Sum"</f>
        <v>Sum</v>
      </c>
      <c r="F455" t="str">
        <f>"(BI export error occurred)"</f>
        <v>(BI export error occurred)</v>
      </c>
      <c r="G455" t="str">
        <f>"(BI export error occurred)"</f>
        <v>(BI export error occurred)</v>
      </c>
      <c r="H455" t="str">
        <f>"(BI export error occurred)"</f>
        <v>(BI export error occurred)</v>
      </c>
      <c r="I455" t="str">
        <f>"(BI export error occurred)"</f>
        <v>(BI export error occurred)</v>
      </c>
      <c r="J455" t="str">
        <f>"(BI export error occurred)"</f>
        <v>(BI export error occurred)</v>
      </c>
      <c r="K455" t="str">
        <f>""</f>
        <v/>
      </c>
      <c r="L455" t="str">
        <f>""</f>
        <v/>
      </c>
      <c r="M455" t="str">
        <f>""</f>
        <v/>
      </c>
      <c r="N455" t="str">
        <f>""</f>
        <v/>
      </c>
      <c r="O455" t="str">
        <f>""</f>
        <v/>
      </c>
    </row>
    <row r="456" spans="1:15" x14ac:dyDescent="0.25">
      <c r="A456" t="str">
        <f>"        Financials"</f>
        <v xml:space="preserve">        Financials</v>
      </c>
      <c r="B456" t="str">
        <f>""</f>
        <v/>
      </c>
      <c r="E456" t="str">
        <f>"Sum"</f>
        <v>Sum</v>
      </c>
      <c r="F456">
        <f ca="1">IF(ISERROR(IF(SUM($F$457:$F$457) = 0, "", SUM($F$457:$F$457))), "", (IF(SUM($F$457:$F$457) = 0, "", SUM($F$457:$F$457))))</f>
        <v>2.3662440190000007</v>
      </c>
      <c r="G456">
        <f ca="1">IF(ISERROR(IF(SUM($G$457:$G$457) = 0, "", SUM($G$457:$G$457))), "", (IF(SUM($G$457:$G$457) = 0, "", SUM($G$457:$G$457))))</f>
        <v>4.8063159640000004</v>
      </c>
      <c r="H456">
        <f ca="1">IF(ISERROR(IF(SUM($H$457:$H$457) = 0, "", SUM($H$457:$H$457))), "", (IF(SUM($H$457:$H$457) = 0, "", SUM($H$457:$H$457))))</f>
        <v>4.9603239589999992</v>
      </c>
      <c r="I456">
        <f ca="1">IF(ISERROR(IF(SUM($I$457:$I$457) = 0, "", SUM($I$457:$I$457))), "", (IF(SUM($I$457:$I$457) = 0, "", SUM($I$457:$I$457))))</f>
        <v>5.7051321680000004</v>
      </c>
      <c r="J456">
        <f ca="1">IF(ISERROR(IF(SUM($J$457:$J$457) = 0, "", SUM($J$457:$J$457))), "", (IF(SUM($J$457:$J$457) = 0, "", SUM($J$457:$J$457))))</f>
        <v>6.1995196020000005</v>
      </c>
      <c r="K456">
        <f>2.366244019</f>
        <v>2.3662440189999998</v>
      </c>
      <c r="L456">
        <f>4.806315964</f>
        <v>4.8063159640000004</v>
      </c>
      <c r="M456">
        <f>4.960323959</f>
        <v>4.9603239590000001</v>
      </c>
      <c r="N456">
        <f>5.705132168</f>
        <v>5.7051321679999996</v>
      </c>
      <c r="O456">
        <f>6.1995196</f>
        <v>6.1995196000000004</v>
      </c>
    </row>
    <row r="457" spans="1:15" x14ac:dyDescent="0.25">
      <c r="A457" t="str">
        <f>"            Banks"</f>
        <v xml:space="preserve">            Banks</v>
      </c>
      <c r="B457" t="str">
        <f>""</f>
        <v/>
      </c>
      <c r="E457" t="str">
        <f>"Sum"</f>
        <v>Sum</v>
      </c>
      <c r="F457">
        <f ca="1">IF(ISERROR(IF(SUM($F$458:$F$458) = 0, "", SUM($F$458:$F$458))), "", (IF(SUM($F$458:$F$458) = 0, "", SUM($F$458:$F$458))))</f>
        <v>2.3662440190000007</v>
      </c>
      <c r="G457">
        <f ca="1">IF(ISERROR(IF(SUM($G$458:$G$458) = 0, "", SUM($G$458:$G$458))), "", (IF(SUM($G$458:$G$458) = 0, "", SUM($G$458:$G$458))))</f>
        <v>4.8063159640000004</v>
      </c>
      <c r="H457">
        <f ca="1">IF(ISERROR(IF(SUM($H$458:$H$458) = 0, "", SUM($H$458:$H$458))), "", (IF(SUM($H$458:$H$458) = 0, "", SUM($H$458:$H$458))))</f>
        <v>4.9603239589999992</v>
      </c>
      <c r="I457">
        <f ca="1">IF(ISERROR(IF(SUM($I$458:$I$458) = 0, "", SUM($I$458:$I$458))), "", (IF(SUM($I$458:$I$458) = 0, "", SUM($I$458:$I$458))))</f>
        <v>5.7051321680000004</v>
      </c>
      <c r="J457">
        <f ca="1">IF(ISERROR(IF(SUM($J$458:$J$458) = 0, "", SUM($J$458:$J$458))), "", (IF(SUM($J$458:$J$458) = 0, "", SUM($J$458:$J$458))))</f>
        <v>6.1995196020000005</v>
      </c>
      <c r="K457">
        <f>2.366244019</f>
        <v>2.3662440189999998</v>
      </c>
      <c r="L457">
        <f>4.806315964</f>
        <v>4.8063159640000004</v>
      </c>
      <c r="M457">
        <f>4.960323959</f>
        <v>4.9603239590000001</v>
      </c>
      <c r="N457">
        <f>5.705132168</f>
        <v>5.7051321679999996</v>
      </c>
      <c r="O457">
        <f>6.1995196</f>
        <v>6.1995196000000004</v>
      </c>
    </row>
    <row r="458" spans="1:15" x14ac:dyDescent="0.25">
      <c r="A458" t="str">
        <f>"                Diversified Banks"</f>
        <v xml:space="preserve">                Diversified Banks</v>
      </c>
      <c r="B458" t="str">
        <f>""</f>
        <v/>
      </c>
      <c r="E458" t="str">
        <f>"Sum"</f>
        <v>Sum</v>
      </c>
      <c r="F458">
        <f ca="1">IF(ISERROR(IF(SUM($F$459:$F$478) = 0, "", SUM($F$459:$F$478))), "", (IF(SUM($F$459:$F$478) = 0, "", SUM($F$459:$F$478))))</f>
        <v>2.3662440190000007</v>
      </c>
      <c r="G458">
        <f ca="1">IF(ISERROR(IF(SUM($G$459:$G$478) = 0, "", SUM($G$459:$G$478))), "", (IF(SUM($G$459:$G$478) = 0, "", SUM($G$459:$G$478))))</f>
        <v>4.8063159640000004</v>
      </c>
      <c r="H458">
        <f ca="1">IF(ISERROR(IF(SUM($H$459:$H$478) = 0, "", SUM($H$459:$H$478))), "", (IF(SUM($H$459:$H$478) = 0, "", SUM($H$459:$H$478))))</f>
        <v>4.9603239589999992</v>
      </c>
      <c r="I458">
        <f ca="1">IF(ISERROR(IF(SUM($I$459:$I$478) = 0, "", SUM($I$459:$I$478))), "", (IF(SUM($I$459:$I$478) = 0, "", SUM($I$459:$I$478))))</f>
        <v>5.7051321680000004</v>
      </c>
      <c r="J458">
        <f ca="1">IF(ISERROR(IF(SUM($J$459:$J$478) = 0, "", SUM($J$459:$J$478))), "", (IF(SUM($J$459:$J$478) = 0, "", SUM($J$459:$J$478))))</f>
        <v>6.1995196020000005</v>
      </c>
      <c r="K458">
        <f>2.366244019</f>
        <v>2.3662440189999998</v>
      </c>
      <c r="L458">
        <f>4.806315964</f>
        <v>4.8063159640000004</v>
      </c>
      <c r="M458">
        <f>4.960323959</f>
        <v>4.9603239590000001</v>
      </c>
      <c r="N458">
        <f>5.705132168</f>
        <v>5.7051321679999996</v>
      </c>
      <c r="O458">
        <f>6.1995196</f>
        <v>6.1995196000000004</v>
      </c>
    </row>
    <row r="459" spans="1:15" x14ac:dyDescent="0.25">
      <c r="A459" t="str">
        <f>"                    Banco Santander SA"</f>
        <v xml:space="preserve">                    Banco Santander SA</v>
      </c>
      <c r="B459" t="str">
        <f>"SAN SM Equity"</f>
        <v>SAN SM Equity</v>
      </c>
      <c r="C459" t="str">
        <f t="shared" ref="C459:C478" si="48">"F0946"</f>
        <v>F0946</v>
      </c>
      <c r="D459" t="str">
        <f t="shared" ref="D459:D478" si="49">"TOTAL_GHG_CO2_EMISSIONS"</f>
        <v>TOTAL_GHG_CO2_EMISSIONS</v>
      </c>
      <c r="E459" t="str">
        <f t="shared" ref="E459:E478" si="50">"Dynamic"</f>
        <v>Dynamic</v>
      </c>
      <c r="F459">
        <f ca="1">IF(AND(ISNUMBER($F$1570),$B$1132=1),$F$1570,HLOOKUP(INDIRECT(ADDRESS(2,COLUMN())),OFFSET($K$2,0,0,ROW()-1,5),ROW()-1,FALSE))</f>
        <v>0.239873001</v>
      </c>
      <c r="G459">
        <f ca="1">IF(AND(ISNUMBER($G$1570),$B$1132=1),$G$1570,HLOOKUP(INDIRECT(ADDRESS(2,COLUMN())),OFFSET($K$2,0,0,ROW()-1,5),ROW()-1,FALSE))</f>
        <v>0.295286987</v>
      </c>
      <c r="H459">
        <f ca="1">IF(AND(ISNUMBER($H$1570),$B$1132=1),$H$1570,HLOOKUP(INDIRECT(ADDRESS(2,COLUMN())),OFFSET($K$2,0,0,ROW()-1,5),ROW()-1,FALSE))</f>
        <v>0.307033997</v>
      </c>
      <c r="I459">
        <f ca="1">IF(AND(ISNUMBER($I$1570),$B$1132=1),$I$1570,HLOOKUP(INDIRECT(ADDRESS(2,COLUMN())),OFFSET($K$2,0,0,ROW()-1,5),ROW()-1,FALSE))</f>
        <v>0.34472900400000001</v>
      </c>
      <c r="J459">
        <f ca="1">IF(AND(ISNUMBER($J$1570),$B$1132=1),$J$1570,HLOOKUP(INDIRECT(ADDRESS(2,COLUMN())),OFFSET($K$2,0,0,ROW()-1,5),ROW()-1,FALSE))</f>
        <v>0.39590899699999998</v>
      </c>
      <c r="K459">
        <f>0.239873001</f>
        <v>0.239873001</v>
      </c>
      <c r="L459">
        <f>0.295286987</f>
        <v>0.295286987</v>
      </c>
      <c r="M459">
        <f>0.307033997</f>
        <v>0.307033997</v>
      </c>
      <c r="N459">
        <f>0.344729004</f>
        <v>0.34472900400000001</v>
      </c>
      <c r="O459">
        <f>0.395908997</f>
        <v>0.39590899699999998</v>
      </c>
    </row>
    <row r="460" spans="1:15" x14ac:dyDescent="0.25">
      <c r="A460" t="str">
        <f>"                    Bank of America Corp"</f>
        <v xml:space="preserve">                    Bank of America Corp</v>
      </c>
      <c r="B460" t="str">
        <f>"BAC US Equity"</f>
        <v>BAC US Equity</v>
      </c>
      <c r="C460" t="str">
        <f t="shared" si="48"/>
        <v>F0946</v>
      </c>
      <c r="D460" t="str">
        <f t="shared" si="49"/>
        <v>TOTAL_GHG_CO2_EMISSIONS</v>
      </c>
      <c r="E460" t="str">
        <f t="shared" si="50"/>
        <v>Dynamic</v>
      </c>
      <c r="F460" t="str">
        <f ca="1">IF(AND(ISNUMBER($F$1571),$B$1132=1),$F$1571,HLOOKUP(INDIRECT(ADDRESS(2,COLUMN())),OFFSET($K$2,0,0,ROW()-1,5),ROW()-1,FALSE))</f>
        <v/>
      </c>
      <c r="G460">
        <f ca="1">IF(AND(ISNUMBER($G$1571),$B$1132=1),$G$1571,HLOOKUP(INDIRECT(ADDRESS(2,COLUMN())),OFFSET($K$2,0,0,ROW()-1,5),ROW()-1,FALSE))</f>
        <v>0.65898199499999999</v>
      </c>
      <c r="H460">
        <f ca="1">IF(AND(ISNUMBER($H$1571),$B$1132=1),$H$1571,HLOOKUP(INDIRECT(ADDRESS(2,COLUMN())),OFFSET($K$2,0,0,ROW()-1,5),ROW()-1,FALSE))</f>
        <v>0.71102502400000001</v>
      </c>
      <c r="I460">
        <f ca="1">IF(AND(ISNUMBER($I$1571),$B$1132=1),$I$1571,HLOOKUP(INDIRECT(ADDRESS(2,COLUMN())),OFFSET($K$2,0,0,ROW()-1,5),ROW()-1,FALSE))</f>
        <v>0.79140997300000004</v>
      </c>
      <c r="J460">
        <f ca="1">IF(AND(ISNUMBER($J$1571),$B$1132=1),$J$1571,HLOOKUP(INDIRECT(ADDRESS(2,COLUMN())),OFFSET($K$2,0,0,ROW()-1,5),ROW()-1,FALSE))</f>
        <v>0.87631097400000002</v>
      </c>
      <c r="K460" t="str">
        <f>""</f>
        <v/>
      </c>
      <c r="L460">
        <f>0.658981995</f>
        <v>0.65898199499999999</v>
      </c>
      <c r="M460">
        <f>0.711025024</f>
        <v>0.71102502400000001</v>
      </c>
      <c r="N460">
        <f>0.791409973</f>
        <v>0.79140997300000004</v>
      </c>
      <c r="O460">
        <f>0.876310974</f>
        <v>0.87631097400000002</v>
      </c>
    </row>
    <row r="461" spans="1:15" x14ac:dyDescent="0.25">
      <c r="A461" t="str">
        <f>"                    Barclays PLC"</f>
        <v xml:space="preserve">                    Barclays PLC</v>
      </c>
      <c r="B461" t="str">
        <f>"BARC LN Equity"</f>
        <v>BARC LN Equity</v>
      </c>
      <c r="C461" t="str">
        <f t="shared" si="48"/>
        <v>F0946</v>
      </c>
      <c r="D461" t="str">
        <f t="shared" si="49"/>
        <v>TOTAL_GHG_CO2_EMISSIONS</v>
      </c>
      <c r="E461" t="str">
        <f t="shared" si="50"/>
        <v>Dynamic</v>
      </c>
      <c r="F461">
        <f ca="1">IF(AND(ISNUMBER($F$1572),$B$1132=1),$F$1572,HLOOKUP(INDIRECT(ADDRESS(2,COLUMN())),OFFSET($K$2,0,0,ROW()-1,5),ROW()-1,FALSE))</f>
        <v>0.12340000199999999</v>
      </c>
      <c r="G461">
        <f ca="1">IF(AND(ISNUMBER($G$1572),$B$1132=1),$G$1572,HLOOKUP(INDIRECT(ADDRESS(2,COLUMN())),OFFSET($K$2,0,0,ROW()-1,5),ROW()-1,FALSE))</f>
        <v>0.14621200600000001</v>
      </c>
      <c r="H461">
        <f ca="1">IF(AND(ISNUMBER($H$1572),$B$1132=1),$H$1572,HLOOKUP(INDIRECT(ADDRESS(2,COLUMN())),OFFSET($K$2,0,0,ROW()-1,5),ROW()-1,FALSE))</f>
        <v>0.178371002</v>
      </c>
      <c r="I461">
        <f ca="1">IF(AND(ISNUMBER($I$1572),$B$1132=1),$I$1572,HLOOKUP(INDIRECT(ADDRESS(2,COLUMN())),OFFSET($K$2,0,0,ROW()-1,5),ROW()-1,FALSE))</f>
        <v>0.21001899700000001</v>
      </c>
      <c r="J461">
        <f ca="1">IF(AND(ISNUMBER($J$1572),$B$1132=1),$J$1572,HLOOKUP(INDIRECT(ADDRESS(2,COLUMN())),OFFSET($K$2,0,0,ROW()-1,5),ROW()-1,FALSE))</f>
        <v>0.22289799499999999</v>
      </c>
      <c r="K461">
        <f>0.123400002</f>
        <v>0.12340000199999999</v>
      </c>
      <c r="L461">
        <f>0.146212006</f>
        <v>0.14621200600000001</v>
      </c>
      <c r="M461">
        <f>0.178371002</f>
        <v>0.178371002</v>
      </c>
      <c r="N461">
        <f>0.210018997</f>
        <v>0.21001899700000001</v>
      </c>
      <c r="O461">
        <f>0.222897995</f>
        <v>0.22289799499999999</v>
      </c>
    </row>
    <row r="462" spans="1:15" x14ac:dyDescent="0.25">
      <c r="A462" t="str">
        <f>"                    BNP Paribas SA"</f>
        <v xml:space="preserve">                    BNP Paribas SA</v>
      </c>
      <c r="B462" t="str">
        <f>"BNP FP Equity"</f>
        <v>BNP FP Equity</v>
      </c>
      <c r="C462" t="str">
        <f t="shared" si="48"/>
        <v>F0946</v>
      </c>
      <c r="D462" t="str">
        <f t="shared" si="49"/>
        <v>TOTAL_GHG_CO2_EMISSIONS</v>
      </c>
      <c r="E462" t="str">
        <f t="shared" si="50"/>
        <v>Dynamic</v>
      </c>
      <c r="F462">
        <f ca="1">IF(AND(ISNUMBER($F$1573),$B$1132=1),$F$1573,HLOOKUP(INDIRECT(ADDRESS(2,COLUMN())),OFFSET($K$2,0,0,ROW()-1,5),ROW()-1,FALSE))</f>
        <v>0.24263900799999999</v>
      </c>
      <c r="G462">
        <f ca="1">IF(AND(ISNUMBER($G$1573),$B$1132=1),$G$1573,HLOOKUP(INDIRECT(ADDRESS(2,COLUMN())),OFFSET($K$2,0,0,ROW()-1,5),ROW()-1,FALSE))</f>
        <v>0.25161700399999998</v>
      </c>
      <c r="H462">
        <f ca="1">IF(AND(ISNUMBER($H$1573),$B$1132=1),$H$1573,HLOOKUP(INDIRECT(ADDRESS(2,COLUMN())),OFFSET($K$2,0,0,ROW()-1,5),ROW()-1,FALSE))</f>
        <v>0.28287200899999998</v>
      </c>
      <c r="I462">
        <f ca="1">IF(AND(ISNUMBER($I$1573),$B$1132=1),$I$1573,HLOOKUP(INDIRECT(ADDRESS(2,COLUMN())),OFFSET($K$2,0,0,ROW()-1,5),ROW()-1,FALSE))</f>
        <v>0.34197601300000002</v>
      </c>
      <c r="J462">
        <f ca="1">IF(AND(ISNUMBER($J$1573),$B$1132=1),$J$1573,HLOOKUP(INDIRECT(ADDRESS(2,COLUMN())),OFFSET($K$2,0,0,ROW()-1,5),ROW()-1,FALSE))</f>
        <v>0.35105099499999998</v>
      </c>
      <c r="K462">
        <f>0.242639008</f>
        <v>0.24263900799999999</v>
      </c>
      <c r="L462">
        <f>0.251617004</f>
        <v>0.25161700399999998</v>
      </c>
      <c r="M462">
        <f>0.282872009</f>
        <v>0.28287200899999998</v>
      </c>
      <c r="N462">
        <f>0.341976013</f>
        <v>0.34197601300000002</v>
      </c>
      <c r="O462">
        <f>0.351050995</f>
        <v>0.35105099499999998</v>
      </c>
    </row>
    <row r="463" spans="1:15" x14ac:dyDescent="0.25">
      <c r="A463" t="str">
        <f>"                    Citigroup Inc"</f>
        <v xml:space="preserve">                    Citigroup Inc</v>
      </c>
      <c r="B463" t="str">
        <f>"C US Equity"</f>
        <v>C US Equity</v>
      </c>
      <c r="C463" t="str">
        <f t="shared" si="48"/>
        <v>F0946</v>
      </c>
      <c r="D463" t="str">
        <f t="shared" si="49"/>
        <v>TOTAL_GHG_CO2_EMISSIONS</v>
      </c>
      <c r="E463" t="str">
        <f t="shared" si="50"/>
        <v>Dynamic</v>
      </c>
      <c r="F463">
        <f ca="1">IF(AND(ISNUMBER($F$1574),$B$1132=1),$F$1574,HLOOKUP(INDIRECT(ADDRESS(2,COLUMN())),OFFSET($K$2,0,0,ROW()-1,5),ROW()-1,FALSE))</f>
        <v>0.510553009</v>
      </c>
      <c r="G463">
        <f ca="1">IF(AND(ISNUMBER($G$1574),$B$1132=1),$G$1574,HLOOKUP(INDIRECT(ADDRESS(2,COLUMN())),OFFSET($K$2,0,0,ROW()-1,5),ROW()-1,FALSE))</f>
        <v>0.50799398799999995</v>
      </c>
      <c r="H463">
        <f ca="1">IF(AND(ISNUMBER($H$1574),$B$1132=1),$H$1574,HLOOKUP(INDIRECT(ADDRESS(2,COLUMN())),OFFSET($K$2,0,0,ROW()-1,5),ROW()-1,FALSE))</f>
        <v>0.52645898400000002</v>
      </c>
      <c r="I463">
        <f ca="1">IF(AND(ISNUMBER($I$1574),$B$1132=1),$I$1574,HLOOKUP(INDIRECT(ADDRESS(2,COLUMN())),OFFSET($K$2,0,0,ROW()-1,5),ROW()-1,FALSE))</f>
        <v>0.61690002399999999</v>
      </c>
      <c r="J463">
        <f ca="1">IF(AND(ISNUMBER($J$1574),$B$1132=1),$J$1574,HLOOKUP(INDIRECT(ADDRESS(2,COLUMN())),OFFSET($K$2,0,0,ROW()-1,5),ROW()-1,FALSE))</f>
        <v>0.65765197799999997</v>
      </c>
      <c r="K463">
        <f>0.510553009</f>
        <v>0.510553009</v>
      </c>
      <c r="L463">
        <f>0.507993988</f>
        <v>0.50799398799999995</v>
      </c>
      <c r="M463">
        <f>0.526458984</f>
        <v>0.52645898400000002</v>
      </c>
      <c r="N463">
        <f>0.616900024</f>
        <v>0.61690002399999999</v>
      </c>
      <c r="O463">
        <f>0.657651978</f>
        <v>0.65765197799999997</v>
      </c>
    </row>
    <row r="464" spans="1:15" x14ac:dyDescent="0.25">
      <c r="A464" t="str">
        <f>"                    Credit Suisse Group AG"</f>
        <v xml:space="preserve">                    Credit Suisse Group AG</v>
      </c>
      <c r="B464" t="str">
        <f>"CSGN SW Equity"</f>
        <v>CSGN SW Equity</v>
      </c>
      <c r="C464" t="str">
        <f t="shared" si="48"/>
        <v>F0946</v>
      </c>
      <c r="D464" t="str">
        <f t="shared" si="49"/>
        <v>TOTAL_GHG_CO2_EMISSIONS</v>
      </c>
      <c r="E464" t="str">
        <f t="shared" si="50"/>
        <v>Dynamic</v>
      </c>
      <c r="F464">
        <f ca="1">IF(AND(ISNUMBER($F$1575),$B$1132=1),$F$1575,HLOOKUP(INDIRECT(ADDRESS(2,COLUMN())),OFFSET($K$2,0,0,ROW()-1,5),ROW()-1,FALSE))</f>
        <v>8.3097000000000004E-2</v>
      </c>
      <c r="G464">
        <f ca="1">IF(AND(ISNUMBER($G$1575),$B$1132=1),$G$1575,HLOOKUP(INDIRECT(ADDRESS(2,COLUMN())),OFFSET($K$2,0,0,ROW()-1,5),ROW()-1,FALSE))</f>
        <v>9.2473999000000001E-2</v>
      </c>
      <c r="H464">
        <f ca="1">IF(AND(ISNUMBER($H$1575),$B$1132=1),$H$1575,HLOOKUP(INDIRECT(ADDRESS(2,COLUMN())),OFFSET($K$2,0,0,ROW()-1,5),ROW()-1,FALSE))</f>
        <v>0.11184999900000001</v>
      </c>
      <c r="I464">
        <f ca="1">IF(AND(ISNUMBER($I$1575),$B$1132=1),$I$1575,HLOOKUP(INDIRECT(ADDRESS(2,COLUMN())),OFFSET($K$2,0,0,ROW()-1,5),ROW()-1,FALSE))</f>
        <v>0.158</v>
      </c>
      <c r="J464">
        <f ca="1">IF(AND(ISNUMBER($J$1575),$B$1132=1),$J$1575,HLOOKUP(INDIRECT(ADDRESS(2,COLUMN())),OFFSET($K$2,0,0,ROW()-1,5),ROW()-1,FALSE))</f>
        <v>0.16957000699999999</v>
      </c>
      <c r="K464">
        <f>0.083097</f>
        <v>8.3097000000000004E-2</v>
      </c>
      <c r="L464">
        <f>0.092473999</f>
        <v>9.2473999000000001E-2</v>
      </c>
      <c r="M464">
        <f>0.111849999</f>
        <v>0.11184999900000001</v>
      </c>
      <c r="N464">
        <f>0.158</f>
        <v>0.158</v>
      </c>
      <c r="O464">
        <f>0.169570007</f>
        <v>0.16957000699999999</v>
      </c>
    </row>
    <row r="465" spans="1:15" x14ac:dyDescent="0.25">
      <c r="A465" t="str">
        <f>"                    Deutsche Bank AG"</f>
        <v xml:space="preserve">                    Deutsche Bank AG</v>
      </c>
      <c r="B465" t="str">
        <f>"DBK GR Equity"</f>
        <v>DBK GR Equity</v>
      </c>
      <c r="C465" t="str">
        <f t="shared" si="48"/>
        <v>F0946</v>
      </c>
      <c r="D465" t="str">
        <f t="shared" si="49"/>
        <v>TOTAL_GHG_CO2_EMISSIONS</v>
      </c>
      <c r="E465" t="str">
        <f t="shared" si="50"/>
        <v>Dynamic</v>
      </c>
      <c r="F465">
        <f ca="1">IF(AND(ISNUMBER($F$1576),$B$1132=1),$F$1576,HLOOKUP(INDIRECT(ADDRESS(2,COLUMN())),OFFSET($K$2,0,0,ROW()-1,5),ROW()-1,FALSE))</f>
        <v>0.15579800399999999</v>
      </c>
      <c r="G465">
        <f ca="1">IF(AND(ISNUMBER($G$1576),$B$1132=1),$G$1576,HLOOKUP(INDIRECT(ADDRESS(2,COLUMN())),OFFSET($K$2,0,0,ROW()-1,5),ROW()-1,FALSE))</f>
        <v>0.20017500299999999</v>
      </c>
      <c r="H465">
        <f ca="1">IF(AND(ISNUMBER($H$1576),$B$1132=1),$H$1576,HLOOKUP(INDIRECT(ADDRESS(2,COLUMN())),OFFSET($K$2,0,0,ROW()-1,5),ROW()-1,FALSE))</f>
        <v>0.24874600199999999</v>
      </c>
      <c r="I465">
        <f ca="1">IF(AND(ISNUMBER($I$1576),$B$1132=1),$I$1576,HLOOKUP(INDIRECT(ADDRESS(2,COLUMN())),OFFSET($K$2,0,0,ROW()-1,5),ROW()-1,FALSE))</f>
        <v>0.308605988</v>
      </c>
      <c r="J465">
        <f ca="1">IF(AND(ISNUMBER($J$1576),$B$1132=1),$J$1576,HLOOKUP(INDIRECT(ADDRESS(2,COLUMN())),OFFSET($K$2,0,0,ROW()-1,5),ROW()-1,FALSE))</f>
        <v>0.32993701199999997</v>
      </c>
      <c r="K465">
        <f>0.155798004</f>
        <v>0.15579800399999999</v>
      </c>
      <c r="L465">
        <f>0.200175003</f>
        <v>0.20017500299999999</v>
      </c>
      <c r="M465">
        <f>0.248746002</f>
        <v>0.24874600199999999</v>
      </c>
      <c r="N465">
        <f>0.308605988</f>
        <v>0.308605988</v>
      </c>
      <c r="O465">
        <f>0.329937012</f>
        <v>0.32993701199999997</v>
      </c>
    </row>
    <row r="466" spans="1:15" x14ac:dyDescent="0.25">
      <c r="A466" t="str">
        <f>"                    Goldman Sachs Group Inc/The"</f>
        <v xml:space="preserve">                    Goldman Sachs Group Inc/The</v>
      </c>
      <c r="B466" t="str">
        <f>"GS US Equity"</f>
        <v>GS US Equity</v>
      </c>
      <c r="C466" t="str">
        <f t="shared" si="48"/>
        <v>F0946</v>
      </c>
      <c r="D466" t="str">
        <f t="shared" si="49"/>
        <v>TOTAL_GHG_CO2_EMISSIONS</v>
      </c>
      <c r="E466" t="str">
        <f t="shared" si="50"/>
        <v>Dynamic</v>
      </c>
      <c r="F466">
        <f ca="1">IF(AND(ISNUMBER($F$1577),$B$1132=1),$F$1577,HLOOKUP(INDIRECT(ADDRESS(2,COLUMN())),OFFSET($K$2,0,0,ROW()-1,5),ROW()-1,FALSE))</f>
        <v>0.17013099700000001</v>
      </c>
      <c r="G466">
        <f ca="1">IF(AND(ISNUMBER($G$1577),$B$1132=1),$G$1577,HLOOKUP(INDIRECT(ADDRESS(2,COLUMN())),OFFSET($K$2,0,0,ROW()-1,5),ROW()-1,FALSE))</f>
        <v>0.15596299699999999</v>
      </c>
      <c r="H466">
        <f ca="1">IF(AND(ISNUMBER($H$1577),$B$1132=1),$H$1577,HLOOKUP(INDIRECT(ADDRESS(2,COLUMN())),OFFSET($K$2,0,0,ROW()-1,5),ROW()-1,FALSE))</f>
        <v>0.15100100699999999</v>
      </c>
      <c r="I466">
        <f ca="1">IF(AND(ISNUMBER($I$1577),$B$1132=1),$I$1577,HLOOKUP(INDIRECT(ADDRESS(2,COLUMN())),OFFSET($K$2,0,0,ROW()-1,5),ROW()-1,FALSE))</f>
        <v>0.178921997</v>
      </c>
      <c r="J466">
        <f ca="1">IF(AND(ISNUMBER($J$1577),$B$1132=1),$J$1577,HLOOKUP(INDIRECT(ADDRESS(2,COLUMN())),OFFSET($K$2,0,0,ROW()-1,5),ROW()-1,FALSE))</f>
        <v>0.19629099999999999</v>
      </c>
      <c r="K466">
        <f>0.170130997</f>
        <v>0.17013099700000001</v>
      </c>
      <c r="L466">
        <f>0.155962997</f>
        <v>0.15596299699999999</v>
      </c>
      <c r="M466">
        <f>0.151001007</f>
        <v>0.15100100699999999</v>
      </c>
      <c r="N466">
        <f>0.178921997</f>
        <v>0.178921997</v>
      </c>
      <c r="O466">
        <f>0.196291</f>
        <v>0.19629099999999999</v>
      </c>
    </row>
    <row r="467" spans="1:15" x14ac:dyDescent="0.25">
      <c r="A467" t="str">
        <f>"                    HSBC Holdings PLC"</f>
        <v xml:space="preserve">                    HSBC Holdings PLC</v>
      </c>
      <c r="B467" t="str">
        <f>"HSBA LN Equity"</f>
        <v>HSBA LN Equity</v>
      </c>
      <c r="C467" t="str">
        <f t="shared" si="48"/>
        <v>F0946</v>
      </c>
      <c r="D467" t="str">
        <f t="shared" si="49"/>
        <v>TOTAL_GHG_CO2_EMISSIONS</v>
      </c>
      <c r="E467" t="str">
        <f t="shared" si="50"/>
        <v>Dynamic</v>
      </c>
      <c r="F467">
        <f ca="1">IF(AND(ISNUMBER($F$1578),$B$1132=1),$F$1578,HLOOKUP(INDIRECT(ADDRESS(2,COLUMN())),OFFSET($K$2,0,0,ROW()-1,5),ROW()-1,FALSE))</f>
        <v>0.36599999999999999</v>
      </c>
      <c r="G467">
        <f ca="1">IF(AND(ISNUMBER($G$1578),$B$1132=1),$G$1578,HLOOKUP(INDIRECT(ADDRESS(2,COLUMN())),OFFSET($K$2,0,0,ROW()-1,5),ROW()-1,FALSE))</f>
        <v>0.40799999999999997</v>
      </c>
      <c r="H467">
        <f ca="1">IF(AND(ISNUMBER($H$1578),$B$1132=1),$H$1578,HLOOKUP(INDIRECT(ADDRESS(2,COLUMN())),OFFSET($K$2,0,0,ROW()-1,5),ROW()-1,FALSE))</f>
        <v>0.41622601300000001</v>
      </c>
      <c r="I467">
        <f ca="1">IF(AND(ISNUMBER($I$1578),$B$1132=1),$I$1578,HLOOKUP(INDIRECT(ADDRESS(2,COLUMN())),OFFSET($K$2,0,0,ROW()-1,5),ROW()-1,FALSE))</f>
        <v>0.48301998899999998</v>
      </c>
      <c r="J467">
        <f ca="1">IF(AND(ISNUMBER($J$1578),$B$1132=1),$J$1578,HLOOKUP(INDIRECT(ADDRESS(2,COLUMN())),OFFSET($K$2,0,0,ROW()-1,5),ROW()-1,FALSE))</f>
        <v>0.52036602799999998</v>
      </c>
      <c r="K467">
        <f>0.366</f>
        <v>0.36599999999999999</v>
      </c>
      <c r="L467">
        <f>0.408</f>
        <v>0.40799999999999997</v>
      </c>
      <c r="M467">
        <f>0.416226013</f>
        <v>0.41622601300000001</v>
      </c>
      <c r="N467">
        <f>0.483019989</f>
        <v>0.48301998899999998</v>
      </c>
      <c r="O467">
        <f>0.520366028</f>
        <v>0.52036602799999998</v>
      </c>
    </row>
    <row r="468" spans="1:15" x14ac:dyDescent="0.25">
      <c r="A468" t="str">
        <f>"                    Itau Unibanco Holding SA"</f>
        <v xml:space="preserve">                    Itau Unibanco Holding SA</v>
      </c>
      <c r="B468" t="str">
        <f>"ITUB4 BZ Equity"</f>
        <v>ITUB4 BZ Equity</v>
      </c>
      <c r="C468" t="str">
        <f t="shared" si="48"/>
        <v>F0946</v>
      </c>
      <c r="D468" t="str">
        <f t="shared" si="49"/>
        <v>TOTAL_GHG_CO2_EMISSIONS</v>
      </c>
      <c r="E468" t="str">
        <f t="shared" si="50"/>
        <v>Dynamic</v>
      </c>
      <c r="F468">
        <f ca="1">IF(AND(ISNUMBER($F$1579),$B$1132=1),$F$1579,HLOOKUP(INDIRECT(ADDRESS(2,COLUMN())),OFFSET($K$2,0,0,ROW()-1,5),ROW()-1,FALSE))</f>
        <v>3.8125999000000001E-2</v>
      </c>
      <c r="G468">
        <f ca="1">IF(AND(ISNUMBER($G$1579),$B$1132=1),$G$1579,HLOOKUP(INDIRECT(ADDRESS(2,COLUMN())),OFFSET($K$2,0,0,ROW()-1,5),ROW()-1,FALSE))</f>
        <v>6.8644996999999999E-2</v>
      </c>
      <c r="H468">
        <f ca="1">IF(AND(ISNUMBER($H$1579),$B$1132=1),$H$1579,HLOOKUP(INDIRECT(ADDRESS(2,COLUMN())),OFFSET($K$2,0,0,ROW()-1,5),ROW()-1,FALSE))</f>
        <v>4.2811900999999999E-2</v>
      </c>
      <c r="I468">
        <f ca="1">IF(AND(ISNUMBER($I$1579),$B$1132=1),$I$1579,HLOOKUP(INDIRECT(ADDRESS(2,COLUMN())),OFFSET($K$2,0,0,ROW()-1,5),ROW()-1,FALSE))</f>
        <v>5.2860198999999997E-2</v>
      </c>
      <c r="J468">
        <f ca="1">IF(AND(ISNUMBER($J$1579),$B$1132=1),$J$1579,HLOOKUP(INDIRECT(ADDRESS(2,COLUMN())),OFFSET($K$2,0,0,ROW()-1,5),ROW()-1,FALSE))</f>
        <v>6.0335602000000002E-2</v>
      </c>
      <c r="K468">
        <f>0.038125999</f>
        <v>3.8125999000000001E-2</v>
      </c>
      <c r="L468">
        <f>0.068644997</f>
        <v>6.8644996999999999E-2</v>
      </c>
      <c r="M468">
        <f>0.042811901</f>
        <v>4.2811900999999999E-2</v>
      </c>
      <c r="N468">
        <f>0.052860199</f>
        <v>5.2860198999999997E-2</v>
      </c>
      <c r="O468">
        <f>0.060335602</f>
        <v>6.0335602000000002E-2</v>
      </c>
    </row>
    <row r="469" spans="1:15" x14ac:dyDescent="0.25">
      <c r="A469" t="str">
        <f>"                    JPMorgan Chase &amp; Co"</f>
        <v xml:space="preserve">                    JPMorgan Chase &amp; Co</v>
      </c>
      <c r="B469" t="str">
        <f>"JPM US Equity"</f>
        <v>JPM US Equity</v>
      </c>
      <c r="C469" t="str">
        <f t="shared" si="48"/>
        <v>F0946</v>
      </c>
      <c r="D469" t="str">
        <f t="shared" si="49"/>
        <v>TOTAL_GHG_CO2_EMISSIONS</v>
      </c>
      <c r="E469" t="str">
        <f t="shared" si="50"/>
        <v>Dynamic</v>
      </c>
      <c r="F469" t="str">
        <f ca="1">IF(AND(ISNUMBER($F$1580),$B$1132=1),$F$1580,HLOOKUP(INDIRECT(ADDRESS(2,COLUMN())),OFFSET($K$2,0,0,ROW()-1,5),ROW()-1,FALSE))</f>
        <v/>
      </c>
      <c r="G469">
        <f ca="1">IF(AND(ISNUMBER($G$1580),$B$1132=1),$G$1580,HLOOKUP(INDIRECT(ADDRESS(2,COLUMN())),OFFSET($K$2,0,0,ROW()-1,5),ROW()-1,FALSE))</f>
        <v>0.84042498799999998</v>
      </c>
      <c r="H469">
        <f ca="1">IF(AND(ISNUMBER($H$1580),$B$1132=1),$H$1580,HLOOKUP(INDIRECT(ADDRESS(2,COLUMN())),OFFSET($K$2,0,0,ROW()-1,5),ROW()-1,FALSE))</f>
        <v>0.73017102099999998</v>
      </c>
      <c r="I469">
        <f ca="1">IF(AND(ISNUMBER($I$1580),$B$1132=1),$I$1580,HLOOKUP(INDIRECT(ADDRESS(2,COLUMN())),OFFSET($K$2,0,0,ROW()-1,5),ROW()-1,FALSE))</f>
        <v>0.77395397899999996</v>
      </c>
      <c r="J469">
        <f ca="1">IF(AND(ISNUMBER($J$1580),$B$1132=1),$J$1580,HLOOKUP(INDIRECT(ADDRESS(2,COLUMN())),OFFSET($K$2,0,0,ROW()-1,5),ROW()-1,FALSE))</f>
        <v>0.822559021</v>
      </c>
      <c r="K469" t="str">
        <f>""</f>
        <v/>
      </c>
      <c r="L469">
        <f>0.840424988</f>
        <v>0.84042498799999998</v>
      </c>
      <c r="M469">
        <f>0.730171021</f>
        <v>0.73017102099999998</v>
      </c>
      <c r="N469">
        <f>0.773953979</f>
        <v>0.77395397899999996</v>
      </c>
      <c r="O469">
        <f>0.822559021</f>
        <v>0.822559021</v>
      </c>
    </row>
    <row r="470" spans="1:15" x14ac:dyDescent="0.25">
      <c r="A470" t="str">
        <f>"                    Mitsubishi UFJ Financial Group"</f>
        <v xml:space="preserve">                    Mitsubishi UFJ Financial Group</v>
      </c>
      <c r="B470" t="str">
        <f>"8306 JP Equity"</f>
        <v>8306 JP Equity</v>
      </c>
      <c r="C470" t="str">
        <f t="shared" si="48"/>
        <v>F0946</v>
      </c>
      <c r="D470" t="str">
        <f t="shared" si="49"/>
        <v>TOTAL_GHG_CO2_EMISSIONS</v>
      </c>
      <c r="E470" t="str">
        <f t="shared" si="50"/>
        <v>Dynamic</v>
      </c>
      <c r="F470" t="str">
        <f ca="1">IF(AND(ISNUMBER($F$1581),$B$1132=1),$F$1581,HLOOKUP(INDIRECT(ADDRESS(2,COLUMN())),OFFSET($K$2,0,0,ROW()-1,5),ROW()-1,FALSE))</f>
        <v/>
      </c>
      <c r="G470">
        <f ca="1">IF(AND(ISNUMBER($G$1581),$B$1132=1),$G$1581,HLOOKUP(INDIRECT(ADDRESS(2,COLUMN())),OFFSET($K$2,0,0,ROW()-1,5),ROW()-1,FALSE))</f>
        <v>0.239927002</v>
      </c>
      <c r="H470">
        <f ca="1">IF(AND(ISNUMBER($H$1581),$B$1132=1),$H$1581,HLOOKUP(INDIRECT(ADDRESS(2,COLUMN())),OFFSET($K$2,0,0,ROW()-1,5),ROW()-1,FALSE))</f>
        <v>0.208871002</v>
      </c>
      <c r="I470">
        <f ca="1">IF(AND(ISNUMBER($I$1581),$B$1132=1),$I$1581,HLOOKUP(INDIRECT(ADDRESS(2,COLUMN())),OFFSET($K$2,0,0,ROW()-1,5),ROW()-1,FALSE))</f>
        <v>0.23135800200000001</v>
      </c>
      <c r="J470">
        <f ca="1">IF(AND(ISNUMBER($J$1581),$B$1132=1),$J$1581,HLOOKUP(INDIRECT(ADDRESS(2,COLUMN())),OFFSET($K$2,0,0,ROW()-1,5),ROW()-1,FALSE))</f>
        <v>0.233261993</v>
      </c>
      <c r="K470" t="str">
        <f>""</f>
        <v/>
      </c>
      <c r="L470">
        <f>0.239927002</f>
        <v>0.239927002</v>
      </c>
      <c r="M470">
        <f>0.208871002</f>
        <v>0.208871002</v>
      </c>
      <c r="N470">
        <f>0.231358002</f>
        <v>0.23135800200000001</v>
      </c>
      <c r="O470">
        <f>0.233261993</f>
        <v>0.233261993</v>
      </c>
    </row>
    <row r="471" spans="1:15" x14ac:dyDescent="0.25">
      <c r="A471" t="str">
        <f>"                    Mizuho Financial Group Inc"</f>
        <v xml:space="preserve">                    Mizuho Financial Group Inc</v>
      </c>
      <c r="B471" t="str">
        <f>"8411 JP Equity"</f>
        <v>8411 JP Equity</v>
      </c>
      <c r="C471" t="str">
        <f t="shared" si="48"/>
        <v>F0946</v>
      </c>
      <c r="D471" t="str">
        <f t="shared" si="49"/>
        <v>TOTAL_GHG_CO2_EMISSIONS</v>
      </c>
      <c r="E471" t="str">
        <f t="shared" si="50"/>
        <v>Dynamic</v>
      </c>
      <c r="F471" t="str">
        <f ca="1">IF(AND(ISNUMBER($F$1582),$B$1132=1),$F$1582,HLOOKUP(INDIRECT(ADDRESS(2,COLUMN())),OFFSET($K$2,0,0,ROW()-1,5),ROW()-1,FALSE))</f>
        <v/>
      </c>
      <c r="G471">
        <f ca="1">IF(AND(ISNUMBER($G$1582),$B$1132=1),$G$1582,HLOOKUP(INDIRECT(ADDRESS(2,COLUMN())),OFFSET($K$2,0,0,ROW()-1,5),ROW()-1,FALSE))</f>
        <v>0.149171005</v>
      </c>
      <c r="H471">
        <f ca="1">IF(AND(ISNUMBER($H$1582),$B$1132=1),$H$1582,HLOOKUP(INDIRECT(ADDRESS(2,COLUMN())),OFFSET($K$2,0,0,ROW()-1,5),ROW()-1,FALSE))</f>
        <v>0.17577099600000001</v>
      </c>
      <c r="I471">
        <f ca="1">IF(AND(ISNUMBER($I$1582),$B$1132=1),$I$1582,HLOOKUP(INDIRECT(ADDRESS(2,COLUMN())),OFFSET($K$2,0,0,ROW()-1,5),ROW()-1,FALSE))</f>
        <v>0.19190499899999999</v>
      </c>
      <c r="J471">
        <f ca="1">IF(AND(ISNUMBER($J$1582),$B$1132=1),$J$1582,HLOOKUP(INDIRECT(ADDRESS(2,COLUMN())),OFFSET($K$2,0,0,ROW()-1,5),ROW()-1,FALSE))</f>
        <v>0.220854996</v>
      </c>
      <c r="K471" t="str">
        <f>""</f>
        <v/>
      </c>
      <c r="L471">
        <f>0.149171005</f>
        <v>0.149171005</v>
      </c>
      <c r="M471">
        <f>0.175770996</f>
        <v>0.17577099600000001</v>
      </c>
      <c r="N471">
        <f>0.191904999</f>
        <v>0.19190499899999999</v>
      </c>
      <c r="O471">
        <f>0.220854996</f>
        <v>0.220854996</v>
      </c>
    </row>
    <row r="472" spans="1:15" x14ac:dyDescent="0.25">
      <c r="A472" t="str">
        <f>"                    Morgan Stanley"</f>
        <v xml:space="preserve">                    Morgan Stanley</v>
      </c>
      <c r="B472" t="str">
        <f>"MS US Equity"</f>
        <v>MS US Equity</v>
      </c>
      <c r="C472" t="str">
        <f t="shared" si="48"/>
        <v>F0946</v>
      </c>
      <c r="D472" t="str">
        <f t="shared" si="49"/>
        <v>TOTAL_GHG_CO2_EMISSIONS</v>
      </c>
      <c r="E472" t="str">
        <f t="shared" si="50"/>
        <v>Dynamic</v>
      </c>
      <c r="F472" t="str">
        <f ca="1">IF(AND(ISNUMBER($F$1583),$B$1132=1),$F$1583,HLOOKUP(INDIRECT(ADDRESS(2,COLUMN())),OFFSET($K$2,0,0,ROW()-1,5),ROW()-1,FALSE))</f>
        <v/>
      </c>
      <c r="G472">
        <f ca="1">IF(AND(ISNUMBER($G$1583),$B$1132=1),$G$1583,HLOOKUP(INDIRECT(ADDRESS(2,COLUMN())),OFFSET($K$2,0,0,ROW()-1,5),ROW()-1,FALSE))</f>
        <v>0.211199997</v>
      </c>
      <c r="H472">
        <f ca="1">IF(AND(ISNUMBER($H$1583),$B$1132=1),$H$1583,HLOOKUP(INDIRECT(ADDRESS(2,COLUMN())),OFFSET($K$2,0,0,ROW()-1,5),ROW()-1,FALSE))</f>
        <v>0.203399994</v>
      </c>
      <c r="I472">
        <f ca="1">IF(AND(ISNUMBER($I$1583),$B$1132=1),$I$1583,HLOOKUP(INDIRECT(ADDRESS(2,COLUMN())),OFFSET($K$2,0,0,ROW()-1,5),ROW()-1,FALSE))</f>
        <v>0.22810000599999999</v>
      </c>
      <c r="J472">
        <f ca="1">IF(AND(ISNUMBER($J$1583),$B$1132=1),$J$1583,HLOOKUP(INDIRECT(ADDRESS(2,COLUMN())),OFFSET($K$2,0,0,ROW()-1,5),ROW()-1,FALSE))</f>
        <v>0.239100006</v>
      </c>
      <c r="K472" t="str">
        <f>""</f>
        <v/>
      </c>
      <c r="L472">
        <f>0.211199997</f>
        <v>0.211199997</v>
      </c>
      <c r="M472">
        <f>0.203399994</f>
        <v>0.203399994</v>
      </c>
      <c r="N472">
        <f>0.228100006</f>
        <v>0.22810000599999999</v>
      </c>
      <c r="O472">
        <f>0.239100006</f>
        <v>0.239100006</v>
      </c>
    </row>
    <row r="473" spans="1:15" x14ac:dyDescent="0.25">
      <c r="A473" t="str">
        <f>"                    NatWest Group PLC"</f>
        <v xml:space="preserve">                    NatWest Group PLC</v>
      </c>
      <c r="B473" t="str">
        <f>"NWG LN Equity"</f>
        <v>NWG LN Equity</v>
      </c>
      <c r="C473" t="str">
        <f t="shared" si="48"/>
        <v>F0946</v>
      </c>
      <c r="D473" t="str">
        <f t="shared" si="49"/>
        <v>TOTAL_GHG_CO2_EMISSIONS</v>
      </c>
      <c r="E473" t="str">
        <f t="shared" si="50"/>
        <v>Dynamic</v>
      </c>
      <c r="F473">
        <f ca="1">IF(AND(ISNUMBER($F$1584),$B$1132=1),$F$1584,HLOOKUP(INDIRECT(ADDRESS(2,COLUMN())),OFFSET($K$2,0,0,ROW()-1,5),ROW()-1,FALSE))</f>
        <v>7.9216002999999993E-2</v>
      </c>
      <c r="G473">
        <f ca="1">IF(AND(ISNUMBER($G$1584),$B$1132=1),$G$1584,HLOOKUP(INDIRECT(ADDRESS(2,COLUMN())),OFFSET($K$2,0,0,ROW()-1,5),ROW()-1,FALSE))</f>
        <v>8.8166999999999995E-2</v>
      </c>
      <c r="H473">
        <f ca="1">IF(AND(ISNUMBER($H$1584),$B$1132=1),$H$1584,HLOOKUP(INDIRECT(ADDRESS(2,COLUMN())),OFFSET($K$2,0,0,ROW()-1,5),ROW()-1,FALSE))</f>
        <v>0.112054001</v>
      </c>
      <c r="I473">
        <f ca="1">IF(AND(ISNUMBER($I$1584),$B$1132=1),$I$1584,HLOOKUP(INDIRECT(ADDRESS(2,COLUMN())),OFFSET($K$2,0,0,ROW()-1,5),ROW()-1,FALSE))</f>
        <v>0.14840199300000001</v>
      </c>
      <c r="J473">
        <f ca="1">IF(AND(ISNUMBER($J$1584),$B$1132=1),$J$1584,HLOOKUP(INDIRECT(ADDRESS(2,COLUMN())),OFFSET($K$2,0,0,ROW()-1,5),ROW()-1,FALSE))</f>
        <v>0.19613800100000001</v>
      </c>
      <c r="K473">
        <f>0.079216003</f>
        <v>7.9216002999999993E-2</v>
      </c>
      <c r="L473">
        <f>0.088167</f>
        <v>8.8166999999999995E-2</v>
      </c>
      <c r="M473">
        <f>0.112054001</f>
        <v>0.112054001</v>
      </c>
      <c r="N473">
        <f>0.148401993</f>
        <v>0.14840199300000001</v>
      </c>
      <c r="O473">
        <f>0.196138001</f>
        <v>0.19613800100000001</v>
      </c>
    </row>
    <row r="474" spans="1:15" x14ac:dyDescent="0.25">
      <c r="A474" t="str">
        <f>"                    Nomura Holdings Inc"</f>
        <v xml:space="preserve">                    Nomura Holdings Inc</v>
      </c>
      <c r="B474" t="str">
        <f>"8604 JP Equity"</f>
        <v>8604 JP Equity</v>
      </c>
      <c r="C474" t="str">
        <f t="shared" si="48"/>
        <v>F0946</v>
      </c>
      <c r="D474" t="str">
        <f t="shared" si="49"/>
        <v>TOTAL_GHG_CO2_EMISSIONS</v>
      </c>
      <c r="E474" t="str">
        <f t="shared" si="50"/>
        <v>Dynamic</v>
      </c>
      <c r="F474" t="str">
        <f ca="1">IF(AND(ISNUMBER($F$1585),$B$1132=1),$F$1585,HLOOKUP(INDIRECT(ADDRESS(2,COLUMN())),OFFSET($K$2,0,0,ROW()-1,5),ROW()-1,FALSE))</f>
        <v/>
      </c>
      <c r="G474">
        <f ca="1">IF(AND(ISNUMBER($G$1585),$B$1132=1),$G$1585,HLOOKUP(INDIRECT(ADDRESS(2,COLUMN())),OFFSET($K$2,0,0,ROW()-1,5),ROW()-1,FALSE))</f>
        <v>4.4139998999999999E-2</v>
      </c>
      <c r="H474">
        <f ca="1">IF(AND(ISNUMBER($H$1585),$B$1132=1),$H$1585,HLOOKUP(INDIRECT(ADDRESS(2,COLUMN())),OFFSET($K$2,0,0,ROW()-1,5),ROW()-1,FALSE))</f>
        <v>4.8534000000000001E-2</v>
      </c>
      <c r="I474">
        <f ca="1">IF(AND(ISNUMBER($I$1585),$B$1132=1),$I$1585,HLOOKUP(INDIRECT(ADDRESS(2,COLUMN())),OFFSET($K$2,0,0,ROW()-1,5),ROW()-1,FALSE))</f>
        <v>6.1382999000000001E-2</v>
      </c>
      <c r="J474">
        <f ca="1">IF(AND(ISNUMBER($J$1585),$B$1132=1),$J$1585,HLOOKUP(INDIRECT(ADDRESS(2,COLUMN())),OFFSET($K$2,0,0,ROW()-1,5),ROW()-1,FALSE))</f>
        <v>6.7917000000000005E-2</v>
      </c>
      <c r="K474" t="str">
        <f>""</f>
        <v/>
      </c>
      <c r="L474">
        <f>0.044139999</f>
        <v>4.4139998999999999E-2</v>
      </c>
      <c r="M474">
        <f>0.048534</f>
        <v>4.8534000000000001E-2</v>
      </c>
      <c r="N474">
        <f>0.061382999</f>
        <v>6.1382999000000001E-2</v>
      </c>
      <c r="O474">
        <f>0.067917</f>
        <v>6.7917000000000005E-2</v>
      </c>
    </row>
    <row r="475" spans="1:15" x14ac:dyDescent="0.25">
      <c r="A475" t="str">
        <f>"                    Royal Bank of Canada"</f>
        <v xml:space="preserve">                    Royal Bank of Canada</v>
      </c>
      <c r="B475" t="str">
        <f>"RY CN Equity"</f>
        <v>RY CN Equity</v>
      </c>
      <c r="C475" t="str">
        <f t="shared" si="48"/>
        <v>F0946</v>
      </c>
      <c r="D475" t="str">
        <f t="shared" si="49"/>
        <v>TOTAL_GHG_CO2_EMISSIONS</v>
      </c>
      <c r="E475" t="str">
        <f t="shared" si="50"/>
        <v>Dynamic</v>
      </c>
      <c r="F475">
        <f ca="1">IF(AND(ISNUMBER($F$1586),$B$1132=1),$F$1586,HLOOKUP(INDIRECT(ADDRESS(2,COLUMN())),OFFSET($K$2,0,0,ROW()-1,5),ROW()-1,FALSE))</f>
        <v>8.8416999999999996E-2</v>
      </c>
      <c r="G475">
        <f ca="1">IF(AND(ISNUMBER($G$1586),$B$1132=1),$G$1586,HLOOKUP(INDIRECT(ADDRESS(2,COLUMN())),OFFSET($K$2,0,0,ROW()-1,5),ROW()-1,FALSE))</f>
        <v>9.1396004000000003E-2</v>
      </c>
      <c r="H475">
        <f ca="1">IF(AND(ISNUMBER($H$1586),$B$1132=1),$H$1586,HLOOKUP(INDIRECT(ADDRESS(2,COLUMN())),OFFSET($K$2,0,0,ROW()-1,5),ROW()-1,FALSE))</f>
        <v>0.100935997</v>
      </c>
      <c r="I475">
        <f ca="1">IF(AND(ISNUMBER($I$1586),$B$1132=1),$I$1586,HLOOKUP(INDIRECT(ADDRESS(2,COLUMN())),OFFSET($K$2,0,0,ROW()-1,5),ROW()-1,FALSE))</f>
        <v>0.114583</v>
      </c>
      <c r="J475">
        <f ca="1">IF(AND(ISNUMBER($J$1586),$B$1132=1),$J$1586,HLOOKUP(INDIRECT(ADDRESS(2,COLUMN())),OFFSET($K$2,0,0,ROW()-1,5),ROW()-1,FALSE))</f>
        <v>0.12618299899999999</v>
      </c>
      <c r="K475">
        <f>0.088417</f>
        <v>8.8416999999999996E-2</v>
      </c>
      <c r="L475">
        <f>0.091396004</f>
        <v>9.1396004000000003E-2</v>
      </c>
      <c r="M475">
        <f>0.100935997</f>
        <v>0.100935997</v>
      </c>
      <c r="N475">
        <f>0.114583</f>
        <v>0.114583</v>
      </c>
      <c r="O475">
        <f>0.126182999</f>
        <v>0.12618299899999999</v>
      </c>
    </row>
    <row r="476" spans="1:15" x14ac:dyDescent="0.25">
      <c r="A476" t="str">
        <f>"                    Societe Generale SA"</f>
        <v xml:space="preserve">                    Societe Generale SA</v>
      </c>
      <c r="B476" t="str">
        <f>"GLE FP Equity"</f>
        <v>GLE FP Equity</v>
      </c>
      <c r="C476" t="str">
        <f t="shared" si="48"/>
        <v>F0946</v>
      </c>
      <c r="D476" t="str">
        <f t="shared" si="49"/>
        <v>TOTAL_GHG_CO2_EMISSIONS</v>
      </c>
      <c r="E476" t="str">
        <f t="shared" si="50"/>
        <v>Dynamic</v>
      </c>
      <c r="F476">
        <f ca="1">IF(AND(ISNUMBER($F$1587),$B$1132=1),$F$1587,HLOOKUP(INDIRECT(ADDRESS(2,COLUMN())),OFFSET($K$2,0,0,ROW()-1,5),ROW()-1,FALSE))</f>
        <v>0.100519997</v>
      </c>
      <c r="G476">
        <f ca="1">IF(AND(ISNUMBER($G$1587),$B$1132=1),$G$1587,HLOOKUP(INDIRECT(ADDRESS(2,COLUMN())),OFFSET($K$2,0,0,ROW()-1,5),ROW()-1,FALSE))</f>
        <v>0.13539599599999999</v>
      </c>
      <c r="H476">
        <f ca="1">IF(AND(ISNUMBER($H$1587),$B$1132=1),$H$1587,HLOOKUP(INDIRECT(ADDRESS(2,COLUMN())),OFFSET($K$2,0,0,ROW()-1,5),ROW()-1,FALSE))</f>
        <v>0.13983700600000001</v>
      </c>
      <c r="I476">
        <f ca="1">IF(AND(ISNUMBER($I$1587),$B$1132=1),$I$1587,HLOOKUP(INDIRECT(ADDRESS(2,COLUMN())),OFFSET($K$2,0,0,ROW()-1,5),ROW()-1,FALSE))</f>
        <v>0.169481995</v>
      </c>
      <c r="J476">
        <f ca="1">IF(AND(ISNUMBER($J$1587),$B$1132=1),$J$1587,HLOOKUP(INDIRECT(ADDRESS(2,COLUMN())),OFFSET($K$2,0,0,ROW()-1,5),ROW()-1,FALSE))</f>
        <v>0.20275500499999999</v>
      </c>
      <c r="K476">
        <f>0.100519997</f>
        <v>0.100519997</v>
      </c>
      <c r="L476">
        <f>0.135395996</f>
        <v>0.13539599599999999</v>
      </c>
      <c r="M476">
        <f>0.139837006</f>
        <v>0.13983700600000001</v>
      </c>
      <c r="N476">
        <f>0.169481995</f>
        <v>0.169481995</v>
      </c>
      <c r="O476">
        <f>0.202755005</f>
        <v>0.20275500499999999</v>
      </c>
    </row>
    <row r="477" spans="1:15" x14ac:dyDescent="0.25">
      <c r="A477" t="str">
        <f>"                    Standard Chartered PLC"</f>
        <v xml:space="preserve">                    Standard Chartered PLC</v>
      </c>
      <c r="B477" t="str">
        <f>"STAN LN Equity"</f>
        <v>STAN LN Equity</v>
      </c>
      <c r="C477" t="str">
        <f t="shared" si="48"/>
        <v>F0946</v>
      </c>
      <c r="D477" t="str">
        <f t="shared" si="49"/>
        <v>TOTAL_GHG_CO2_EMISSIONS</v>
      </c>
      <c r="E477" t="str">
        <f t="shared" si="50"/>
        <v>Dynamic</v>
      </c>
      <c r="F477">
        <f ca="1">IF(AND(ISNUMBER($F$1588),$B$1132=1),$F$1588,HLOOKUP(INDIRECT(ADDRESS(2,COLUMN())),OFFSET($K$2,0,0,ROW()-1,5),ROW()-1,FALSE))</f>
        <v>4.9433998E-2</v>
      </c>
      <c r="G477">
        <f ca="1">IF(AND(ISNUMBER($G$1588),$B$1132=1),$G$1588,HLOOKUP(INDIRECT(ADDRESS(2,COLUMN())),OFFSET($K$2,0,0,ROW()-1,5),ROW()-1,FALSE))</f>
        <v>8.5663002000000002E-2</v>
      </c>
      <c r="H477">
        <f ca="1">IF(AND(ISNUMBER($H$1588),$B$1132=1),$H$1588,HLOOKUP(INDIRECT(ADDRESS(2,COLUMN())),OFFSET($K$2,0,0,ROW()-1,5),ROW()-1,FALSE))</f>
        <v>0.117858002</v>
      </c>
      <c r="I477">
        <f ca="1">IF(AND(ISNUMBER($I$1588),$B$1132=1),$I$1588,HLOOKUP(INDIRECT(ADDRESS(2,COLUMN())),OFFSET($K$2,0,0,ROW()-1,5),ROW()-1,FALSE))</f>
        <v>0.146313004</v>
      </c>
      <c r="J477">
        <f ca="1">IF(AND(ISNUMBER($J$1588),$B$1132=1),$J$1588,HLOOKUP(INDIRECT(ADDRESS(2,COLUMN())),OFFSET($K$2,0,0,ROW()-1,5),ROW()-1,FALSE))</f>
        <v>0.147949997</v>
      </c>
      <c r="K477">
        <f>0.049433998</f>
        <v>4.9433998E-2</v>
      </c>
      <c r="L477">
        <f>0.085663002</f>
        <v>8.5663002000000002E-2</v>
      </c>
      <c r="M477">
        <f>0.117858002</f>
        <v>0.117858002</v>
      </c>
      <c r="N477">
        <f>0.146313004</f>
        <v>0.146313004</v>
      </c>
      <c r="O477">
        <f>0.147949997</f>
        <v>0.147949997</v>
      </c>
    </row>
    <row r="478" spans="1:15" x14ac:dyDescent="0.25">
      <c r="A478" t="str">
        <f>"                    UBS Group AG"</f>
        <v xml:space="preserve">                    UBS Group AG</v>
      </c>
      <c r="B478" t="str">
        <f>"UBSG SW Equity"</f>
        <v>UBSG SW Equity</v>
      </c>
      <c r="C478" t="str">
        <f t="shared" si="48"/>
        <v>F0946</v>
      </c>
      <c r="D478" t="str">
        <f t="shared" si="49"/>
        <v>TOTAL_GHG_CO2_EMISSIONS</v>
      </c>
      <c r="E478" t="str">
        <f t="shared" si="50"/>
        <v>Dynamic</v>
      </c>
      <c r="F478">
        <f ca="1">IF(AND(ISNUMBER($F$1589),$B$1132=1),$F$1589,HLOOKUP(INDIRECT(ADDRESS(2,COLUMN())),OFFSET($K$2,0,0,ROW()-1,5),ROW()-1,FALSE))</f>
        <v>0.11904000100000001</v>
      </c>
      <c r="G478">
        <f ca="1">IF(AND(ISNUMBER($G$1589),$B$1132=1),$G$1589,HLOOKUP(INDIRECT(ADDRESS(2,COLUMN())),OFFSET($K$2,0,0,ROW()-1,5),ROW()-1,FALSE))</f>
        <v>0.13548199499999999</v>
      </c>
      <c r="H478">
        <f ca="1">IF(AND(ISNUMBER($H$1589),$B$1132=1),$H$1589,HLOOKUP(INDIRECT(ADDRESS(2,COLUMN())),OFFSET($K$2,0,0,ROW()-1,5),ROW()-1,FALSE))</f>
        <v>0.14649600199999999</v>
      </c>
      <c r="I478">
        <f ca="1">IF(AND(ISNUMBER($I$1589),$B$1132=1),$I$1589,HLOOKUP(INDIRECT(ADDRESS(2,COLUMN())),OFFSET($K$2,0,0,ROW()-1,5),ROW()-1,FALSE))</f>
        <v>0.15321000700000001</v>
      </c>
      <c r="J478">
        <f ca="1">IF(AND(ISNUMBER($J$1589),$B$1132=1),$J$1589,HLOOKUP(INDIRECT(ADDRESS(2,COLUMN())),OFFSET($K$2,0,0,ROW()-1,5),ROW()-1,FALSE))</f>
        <v>0.16247999599999999</v>
      </c>
      <c r="K478">
        <f>0.119040001</f>
        <v>0.11904000100000001</v>
      </c>
      <c r="L478">
        <f>0.135481995</f>
        <v>0.13548199499999999</v>
      </c>
      <c r="M478">
        <f>0.146496002</f>
        <v>0.14649600199999999</v>
      </c>
      <c r="N478">
        <f>0.153210007</f>
        <v>0.15321000700000001</v>
      </c>
      <c r="O478">
        <f>0.162479996</f>
        <v>0.16247999599999999</v>
      </c>
    </row>
    <row r="479" spans="1:15" x14ac:dyDescent="0.25">
      <c r="A479" t="str">
        <f>"        Real Estate"</f>
        <v xml:space="preserve">        Real Estate</v>
      </c>
      <c r="B479" t="str">
        <f>""</f>
        <v/>
      </c>
      <c r="E479" t="str">
        <f>"Sum"</f>
        <v>Sum</v>
      </c>
      <c r="F479">
        <f ca="1">IF(ISERROR(IF(SUM($F$480:$F$480) = 0, "", SUM($F$480:$F$480))), "", (IF(SUM($F$480:$F$480) = 0, "", SUM($F$480:$F$480))))</f>
        <v>7.3050997000000006E-2</v>
      </c>
      <c r="G479">
        <f ca="1">IF(ISERROR(IF(SUM($G$480:$G$480) = 0, "", SUM($G$480:$G$480))), "", (IF(SUM($G$480:$G$480) = 0, "", SUM($G$480:$G$480))))</f>
        <v>0.45147030900000001</v>
      </c>
      <c r="H479">
        <f ca="1">IF(ISERROR(IF(SUM($H$480:$H$480) = 0, "", SUM($H$480:$H$480))), "", (IF(SUM($H$480:$H$480) = 0, "", SUM($H$480:$H$480))))</f>
        <v>0.43974800100000005</v>
      </c>
      <c r="I479">
        <f ca="1">IF(ISERROR(IF(SUM($I$480:$I$480) = 0, "", SUM($I$480:$I$480))), "", (IF(SUM($I$480:$I$480) = 0, "", SUM($I$480:$I$480))))</f>
        <v>0.52458930400000003</v>
      </c>
      <c r="J479">
        <f ca="1">IF(ISERROR(IF(SUM($J$480:$J$480) = 0, "", SUM($J$480:$J$480))), "", (IF(SUM($J$480:$J$480) = 0, "", SUM($J$480:$J$480))))</f>
        <v>0.55620579999999997</v>
      </c>
      <c r="K479" t="str">
        <f>""</f>
        <v/>
      </c>
      <c r="L479">
        <f>0.451470308</f>
        <v>0.45147030799999999</v>
      </c>
      <c r="M479">
        <f>0.439748002</f>
        <v>0.43974800200000003</v>
      </c>
      <c r="N479">
        <f>0.524589303</f>
        <v>0.52458930299999995</v>
      </c>
      <c r="O479">
        <f>0.556205799</f>
        <v>0.556205799</v>
      </c>
    </row>
    <row r="480" spans="1:15" x14ac:dyDescent="0.25">
      <c r="A480" t="str">
        <f>"            North America REITs"</f>
        <v xml:space="preserve">            North America REITs</v>
      </c>
      <c r="B480" t="str">
        <f>""</f>
        <v/>
      </c>
      <c r="E480" t="str">
        <f>"Sum"</f>
        <v>Sum</v>
      </c>
      <c r="F480">
        <f ca="1">IF(ISERROR(IF(SUM($F$481:$F$481) = 0, "", SUM($F$481:$F$481))), "", (IF(SUM($F$481:$F$481) = 0, "", SUM($F$481:$F$481))))</f>
        <v>7.3050997000000006E-2</v>
      </c>
      <c r="G480">
        <f ca="1">IF(ISERROR(IF(SUM($G$481:$G$481) = 0, "", SUM($G$481:$G$481))), "", (IF(SUM($G$481:$G$481) = 0, "", SUM($G$481:$G$481))))</f>
        <v>0.45147030900000001</v>
      </c>
      <c r="H480">
        <f ca="1">IF(ISERROR(IF(SUM($H$481:$H$481) = 0, "", SUM($H$481:$H$481))), "", (IF(SUM($H$481:$H$481) = 0, "", SUM($H$481:$H$481))))</f>
        <v>0.43974800100000005</v>
      </c>
      <c r="I480">
        <f ca="1">IF(ISERROR(IF(SUM($I$481:$I$481) = 0, "", SUM($I$481:$I$481))), "", (IF(SUM($I$481:$I$481) = 0, "", SUM($I$481:$I$481))))</f>
        <v>0.52458930400000003</v>
      </c>
      <c r="J480">
        <f ca="1">IF(ISERROR(IF(SUM($J$481:$J$481) = 0, "", SUM($J$481:$J$481))), "", (IF(SUM($J$481:$J$481) = 0, "", SUM($J$481:$J$481))))</f>
        <v>0.55620579999999997</v>
      </c>
      <c r="K480" t="str">
        <f>""</f>
        <v/>
      </c>
      <c r="L480">
        <f>0.451470308</f>
        <v>0.45147030799999999</v>
      </c>
      <c r="M480">
        <f>0.439748002</f>
        <v>0.43974800200000003</v>
      </c>
      <c r="N480">
        <f>0.524589303</f>
        <v>0.52458930299999995</v>
      </c>
      <c r="O480">
        <f>0.556205799</f>
        <v>0.556205799</v>
      </c>
    </row>
    <row r="481" spans="1:15" x14ac:dyDescent="0.25">
      <c r="A481" t="str">
        <f>"                Retail REITs"</f>
        <v xml:space="preserve">                Retail REITs</v>
      </c>
      <c r="B481" t="str">
        <f>""</f>
        <v/>
      </c>
      <c r="E481" t="str">
        <f>"Sum"</f>
        <v>Sum</v>
      </c>
      <c r="F481">
        <f ca="1">IF(ISERROR(IF(SUM($F$482:$F$504) = 0, "", SUM($F$482:$F$504))), "", (IF(SUM($F$482:$F$504) = 0, "", SUM($F$482:$F$504))))</f>
        <v>7.3050997000000006E-2</v>
      </c>
      <c r="G481">
        <f ca="1">IF(ISERROR(IF(SUM($G$482:$G$504) = 0, "", SUM($G$482:$G$504))), "", (IF(SUM($G$482:$G$504) = 0, "", SUM($G$482:$G$504))))</f>
        <v>0.45147030900000001</v>
      </c>
      <c r="H481">
        <f ca="1">IF(ISERROR(IF(SUM($H$482:$H$504) = 0, "", SUM($H$482:$H$504))), "", (IF(SUM($H$482:$H$504) = 0, "", SUM($H$482:$H$504))))</f>
        <v>0.43974800100000005</v>
      </c>
      <c r="I481">
        <f ca="1">IF(ISERROR(IF(SUM($I$482:$I$504) = 0, "", SUM($I$482:$I$504))), "", (IF(SUM($I$482:$I$504) = 0, "", SUM($I$482:$I$504))))</f>
        <v>0.52458930400000003</v>
      </c>
      <c r="J481">
        <f ca="1">IF(ISERROR(IF(SUM($J$482:$J$504) = 0, "", SUM($J$482:$J$504))), "", (IF(SUM($J$482:$J$504) = 0, "", SUM($J$482:$J$504))))</f>
        <v>0.55620579999999997</v>
      </c>
      <c r="K481" t="str">
        <f>""</f>
        <v/>
      </c>
      <c r="L481">
        <f>0.451470308</f>
        <v>0.45147030799999999</v>
      </c>
      <c r="M481">
        <f>0.439748002</f>
        <v>0.43974800200000003</v>
      </c>
      <c r="N481">
        <f>0.524589303</f>
        <v>0.52458930299999995</v>
      </c>
      <c r="O481">
        <f>0.556205799</f>
        <v>0.556205799</v>
      </c>
    </row>
    <row r="482" spans="1:15" x14ac:dyDescent="0.25">
      <c r="A482" t="str">
        <f>"                    Acadia Realty Trust"</f>
        <v xml:space="preserve">                    Acadia Realty Trust</v>
      </c>
      <c r="B482" t="str">
        <f>"AKR US Equity"</f>
        <v>AKR US Equity</v>
      </c>
      <c r="C482" t="str">
        <f t="shared" ref="C482:C504" si="51">"F0946"</f>
        <v>F0946</v>
      </c>
      <c r="D482" t="str">
        <f t="shared" ref="D482:D504" si="52">"TOTAL_GHG_CO2_EMISSIONS"</f>
        <v>TOTAL_GHG_CO2_EMISSIONS</v>
      </c>
      <c r="E482" t="str">
        <f t="shared" ref="E482:E504" si="53">"Dynamic"</f>
        <v>Dynamic</v>
      </c>
      <c r="F482" t="str">
        <f ca="1">IF(AND(ISNUMBER($F$1590),$B$1132=1),$F$1590,HLOOKUP(INDIRECT(ADDRESS(2,COLUMN())),OFFSET($K$2,0,0,ROW()-1,5),ROW()-1,FALSE))</f>
        <v/>
      </c>
      <c r="G482">
        <f ca="1">IF(AND(ISNUMBER($G$1590),$B$1132=1),$G$1590,HLOOKUP(INDIRECT(ADDRESS(2,COLUMN())),OFFSET($K$2,0,0,ROW()-1,5),ROW()-1,FALSE))</f>
        <v>5.2529999999999999E-3</v>
      </c>
      <c r="H482">
        <f ca="1">IF(AND(ISNUMBER($H$1590),$B$1132=1),$H$1590,HLOOKUP(INDIRECT(ADDRESS(2,COLUMN())),OFFSET($K$2,0,0,ROW()-1,5),ROW()-1,FALSE))</f>
        <v>4.9839999999999997E-3</v>
      </c>
      <c r="I482" t="str">
        <f ca="1">IF(AND(ISNUMBER($I$1590),$B$1132=1),$I$1590,HLOOKUP(INDIRECT(ADDRESS(2,COLUMN())),OFFSET($K$2,0,0,ROW()-1,5),ROW()-1,FALSE))</f>
        <v/>
      </c>
      <c r="J482" t="str">
        <f ca="1">IF(AND(ISNUMBER($J$1590),$B$1132=1),$J$1590,HLOOKUP(INDIRECT(ADDRESS(2,COLUMN())),OFFSET($K$2,0,0,ROW()-1,5),ROW()-1,FALSE))</f>
        <v/>
      </c>
      <c r="K482" t="str">
        <f>""</f>
        <v/>
      </c>
      <c r="L482">
        <f>0.005253</f>
        <v>5.2529999999999999E-3</v>
      </c>
      <c r="M482">
        <f>0.004984</f>
        <v>4.9839999999999997E-3</v>
      </c>
      <c r="N482" t="str">
        <f>""</f>
        <v/>
      </c>
      <c r="O482" t="str">
        <f>""</f>
        <v/>
      </c>
    </row>
    <row r="483" spans="1:15" x14ac:dyDescent="0.25">
      <c r="A483" t="str">
        <f>"                    Agree Realty Corp"</f>
        <v xml:space="preserve">                    Agree Realty Corp</v>
      </c>
      <c r="B483" t="str">
        <f>"ADC US Equity"</f>
        <v>ADC US Equity</v>
      </c>
      <c r="C483" t="str">
        <f t="shared" si="51"/>
        <v>F0946</v>
      </c>
      <c r="D483" t="str">
        <f t="shared" si="52"/>
        <v>TOTAL_GHG_CO2_EMISSIONS</v>
      </c>
      <c r="E483" t="str">
        <f t="shared" si="53"/>
        <v>Dynamic</v>
      </c>
      <c r="F483" t="str">
        <f ca="1">IF(AND(ISNUMBER($F$1591),$B$1132=1),$F$1591,HLOOKUP(INDIRECT(ADDRESS(2,COLUMN())),OFFSET($K$2,0,0,ROW()-1,5),ROW()-1,FALSE))</f>
        <v/>
      </c>
      <c r="G483" t="str">
        <f ca="1">IF(AND(ISNUMBER($G$1591),$B$1132=1),$G$1591,HLOOKUP(INDIRECT(ADDRESS(2,COLUMN())),OFFSET($K$2,0,0,ROW()-1,5),ROW()-1,FALSE))</f>
        <v/>
      </c>
      <c r="H483" t="str">
        <f ca="1">IF(AND(ISNUMBER($H$1591),$B$1132=1),$H$1591,HLOOKUP(INDIRECT(ADDRESS(2,COLUMN())),OFFSET($K$2,0,0,ROW()-1,5),ROW()-1,FALSE))</f>
        <v/>
      </c>
      <c r="I483" t="str">
        <f ca="1">IF(AND(ISNUMBER($I$1591),$B$1132=1),$I$1591,HLOOKUP(INDIRECT(ADDRESS(2,COLUMN())),OFFSET($K$2,0,0,ROW()-1,5),ROW()-1,FALSE))</f>
        <v/>
      </c>
      <c r="J483" t="str">
        <f ca="1">IF(AND(ISNUMBER($J$1591),$B$1132=1),$J$1591,HLOOKUP(INDIRECT(ADDRESS(2,COLUMN())),OFFSET($K$2,0,0,ROW()-1,5),ROW()-1,FALSE))</f>
        <v/>
      </c>
      <c r="K483" t="str">
        <f>""</f>
        <v/>
      </c>
      <c r="L483" t="str">
        <f>""</f>
        <v/>
      </c>
      <c r="M483" t="str">
        <f>""</f>
        <v/>
      </c>
      <c r="N483" t="str">
        <f>""</f>
        <v/>
      </c>
      <c r="O483" t="str">
        <f>""</f>
        <v/>
      </c>
    </row>
    <row r="484" spans="1:15" x14ac:dyDescent="0.25">
      <c r="A484" t="str">
        <f>"                    Brixmor Property Group Inc"</f>
        <v xml:space="preserve">                    Brixmor Property Group Inc</v>
      </c>
      <c r="B484" t="str">
        <f>"BRX US Equity"</f>
        <v>BRX US Equity</v>
      </c>
      <c r="C484" t="str">
        <f t="shared" si="51"/>
        <v>F0946</v>
      </c>
      <c r="D484" t="str">
        <f t="shared" si="52"/>
        <v>TOTAL_GHG_CO2_EMISSIONS</v>
      </c>
      <c r="E484" t="str">
        <f t="shared" si="53"/>
        <v>Dynamic</v>
      </c>
      <c r="F484" t="str">
        <f ca="1">IF(AND(ISNUMBER($F$1592),$B$1132=1),$F$1592,HLOOKUP(INDIRECT(ADDRESS(2,COLUMN())),OFFSET($K$2,0,0,ROW()-1,5),ROW()-1,FALSE))</f>
        <v/>
      </c>
      <c r="G484">
        <f ca="1">IF(AND(ISNUMBER($G$1592),$B$1132=1),$G$1592,HLOOKUP(INDIRECT(ADDRESS(2,COLUMN())),OFFSET($K$2,0,0,ROW()-1,5),ROW()-1,FALSE))</f>
        <v>2.5617001E-2</v>
      </c>
      <c r="H484">
        <f ca="1">IF(AND(ISNUMBER($H$1592),$B$1132=1),$H$1592,HLOOKUP(INDIRECT(ADDRESS(2,COLUMN())),OFFSET($K$2,0,0,ROW()-1,5),ROW()-1,FALSE))</f>
        <v>2.6426999999999999E-2</v>
      </c>
      <c r="I484">
        <f ca="1">IF(AND(ISNUMBER($I$1592),$B$1132=1),$I$1592,HLOOKUP(INDIRECT(ADDRESS(2,COLUMN())),OFFSET($K$2,0,0,ROW()-1,5),ROW()-1,FALSE))</f>
        <v>3.6786999000000001E-2</v>
      </c>
      <c r="J484">
        <f ca="1">IF(AND(ISNUMBER($J$1592),$B$1132=1),$J$1592,HLOOKUP(INDIRECT(ADDRESS(2,COLUMN())),OFFSET($K$2,0,0,ROW()-1,5),ROW()-1,FALSE))</f>
        <v>4.4340999999999998E-2</v>
      </c>
      <c r="K484" t="str">
        <f>""</f>
        <v/>
      </c>
      <c r="L484">
        <f>0.025617001</f>
        <v>2.5617001E-2</v>
      </c>
      <c r="M484">
        <f>0.026427</f>
        <v>2.6426999999999999E-2</v>
      </c>
      <c r="N484">
        <f>0.036786999</f>
        <v>3.6786999000000001E-2</v>
      </c>
      <c r="O484">
        <f>0.044341</f>
        <v>4.4340999999999998E-2</v>
      </c>
    </row>
    <row r="485" spans="1:15" x14ac:dyDescent="0.25">
      <c r="A485" t="str">
        <f>"                    CBL &amp; Associates Properties In"</f>
        <v xml:space="preserve">                    CBL &amp; Associates Properties In</v>
      </c>
      <c r="B485" t="str">
        <f>"CBLAQ US Equity"</f>
        <v>CBLAQ US Equity</v>
      </c>
      <c r="C485" t="str">
        <f t="shared" si="51"/>
        <v>F0946</v>
      </c>
      <c r="D485" t="str">
        <f t="shared" si="52"/>
        <v>TOTAL_GHG_CO2_EMISSIONS</v>
      </c>
      <c r="E485" t="str">
        <f t="shared" si="53"/>
        <v>Dynamic</v>
      </c>
      <c r="F485" t="str">
        <f ca="1">IF(AND(ISNUMBER($F$1593),$B$1132=1),$F$1593,HLOOKUP(INDIRECT(ADDRESS(2,COLUMN())),OFFSET($K$2,0,0,ROW()-1,5),ROW()-1,FALSE))</f>
        <v/>
      </c>
      <c r="G485" t="str">
        <f ca="1">IF(AND(ISNUMBER($G$1593),$B$1132=1),$G$1593,HLOOKUP(INDIRECT(ADDRESS(2,COLUMN())),OFFSET($K$2,0,0,ROW()-1,5),ROW()-1,FALSE))</f>
        <v/>
      </c>
      <c r="H485" t="str">
        <f ca="1">IF(AND(ISNUMBER($H$1593),$B$1132=1),$H$1593,HLOOKUP(INDIRECT(ADDRESS(2,COLUMN())),OFFSET($K$2,0,0,ROW()-1,5),ROW()-1,FALSE))</f>
        <v/>
      </c>
      <c r="I485" t="str">
        <f ca="1">IF(AND(ISNUMBER($I$1593),$B$1132=1),$I$1593,HLOOKUP(INDIRECT(ADDRESS(2,COLUMN())),OFFSET($K$2,0,0,ROW()-1,5),ROW()-1,FALSE))</f>
        <v/>
      </c>
      <c r="J485" t="str">
        <f ca="1">IF(AND(ISNUMBER($J$1593),$B$1132=1),$J$1593,HLOOKUP(INDIRECT(ADDRESS(2,COLUMN())),OFFSET($K$2,0,0,ROW()-1,5),ROW()-1,FALSE))</f>
        <v/>
      </c>
      <c r="K485" t="str">
        <f>""</f>
        <v/>
      </c>
      <c r="L485" t="str">
        <f>""</f>
        <v/>
      </c>
      <c r="M485" t="str">
        <f>""</f>
        <v/>
      </c>
      <c r="N485" t="str">
        <f>""</f>
        <v/>
      </c>
      <c r="O485" t="str">
        <f>""</f>
        <v/>
      </c>
    </row>
    <row r="486" spans="1:15" x14ac:dyDescent="0.25">
      <c r="A486" t="str">
        <f>"                    Federal Realty Investment Trus"</f>
        <v xml:space="preserve">                    Federal Realty Investment Trus</v>
      </c>
      <c r="B486" t="str">
        <f>"FRT US Equity"</f>
        <v>FRT US Equity</v>
      </c>
      <c r="C486" t="str">
        <f t="shared" si="51"/>
        <v>F0946</v>
      </c>
      <c r="D486" t="str">
        <f t="shared" si="52"/>
        <v>TOTAL_GHG_CO2_EMISSIONS</v>
      </c>
      <c r="E486" t="str">
        <f t="shared" si="53"/>
        <v>Dynamic</v>
      </c>
      <c r="F486" t="str">
        <f ca="1">IF(AND(ISNUMBER($F$1594),$B$1132=1),$F$1594,HLOOKUP(INDIRECT(ADDRESS(2,COLUMN())),OFFSET($K$2,0,0,ROW()-1,5),ROW()-1,FALSE))</f>
        <v/>
      </c>
      <c r="G486">
        <f ca="1">IF(AND(ISNUMBER($G$1594),$B$1132=1),$G$1594,HLOOKUP(INDIRECT(ADDRESS(2,COLUMN())),OFFSET($K$2,0,0,ROW()-1,5),ROW()-1,FALSE))</f>
        <v>1.4796E-2</v>
      </c>
      <c r="H486">
        <f ca="1">IF(AND(ISNUMBER($H$1594),$B$1132=1),$H$1594,HLOOKUP(INDIRECT(ADDRESS(2,COLUMN())),OFFSET($K$2,0,0,ROW()-1,5),ROW()-1,FALSE))</f>
        <v>1.8026299999999999E-2</v>
      </c>
      <c r="I486">
        <f ca="1">IF(AND(ISNUMBER($I$1594),$B$1132=1),$I$1594,HLOOKUP(INDIRECT(ADDRESS(2,COLUMN())),OFFSET($K$2,0,0,ROW()-1,5),ROW()-1,FALSE))</f>
        <v>1.8771999000000001E-2</v>
      </c>
      <c r="J486" t="str">
        <f ca="1">IF(AND(ISNUMBER($J$1594),$B$1132=1),$J$1594,HLOOKUP(INDIRECT(ADDRESS(2,COLUMN())),OFFSET($K$2,0,0,ROW()-1,5),ROW()-1,FALSE))</f>
        <v/>
      </c>
      <c r="K486" t="str">
        <f>""</f>
        <v/>
      </c>
      <c r="L486">
        <f>0.014796</f>
        <v>1.4796E-2</v>
      </c>
      <c r="M486">
        <f>0.0180263</f>
        <v>1.8026299999999999E-2</v>
      </c>
      <c r="N486">
        <f>0.018771999</f>
        <v>1.8771999000000001E-2</v>
      </c>
      <c r="O486" t="str">
        <f>""</f>
        <v/>
      </c>
    </row>
    <row r="487" spans="1:15" x14ac:dyDescent="0.25">
      <c r="A487" t="str">
        <f>"                    Getty Realty Corp"</f>
        <v xml:space="preserve">                    Getty Realty Corp</v>
      </c>
      <c r="B487" t="str">
        <f>"GTY US Equity"</f>
        <v>GTY US Equity</v>
      </c>
      <c r="C487" t="str">
        <f t="shared" si="51"/>
        <v>F0946</v>
      </c>
      <c r="D487" t="str">
        <f t="shared" si="52"/>
        <v>TOTAL_GHG_CO2_EMISSIONS</v>
      </c>
      <c r="E487" t="str">
        <f t="shared" si="53"/>
        <v>Dynamic</v>
      </c>
      <c r="F487" t="str">
        <f ca="1">IF(AND(ISNUMBER($F$1595),$B$1132=1),$F$1595,HLOOKUP(INDIRECT(ADDRESS(2,COLUMN())),OFFSET($K$2,0,0,ROW()-1,5),ROW()-1,FALSE))</f>
        <v/>
      </c>
      <c r="G487" t="str">
        <f ca="1">IF(AND(ISNUMBER($G$1595),$B$1132=1),$G$1595,HLOOKUP(INDIRECT(ADDRESS(2,COLUMN())),OFFSET($K$2,0,0,ROW()-1,5),ROW()-1,FALSE))</f>
        <v/>
      </c>
      <c r="H487" t="str">
        <f ca="1">IF(AND(ISNUMBER($H$1595),$B$1132=1),$H$1595,HLOOKUP(INDIRECT(ADDRESS(2,COLUMN())),OFFSET($K$2,0,0,ROW()-1,5),ROW()-1,FALSE))</f>
        <v/>
      </c>
      <c r="I487" t="str">
        <f ca="1">IF(AND(ISNUMBER($I$1595),$B$1132=1),$I$1595,HLOOKUP(INDIRECT(ADDRESS(2,COLUMN())),OFFSET($K$2,0,0,ROW()-1,5),ROW()-1,FALSE))</f>
        <v/>
      </c>
      <c r="J487" t="str">
        <f ca="1">IF(AND(ISNUMBER($J$1595),$B$1132=1),$J$1595,HLOOKUP(INDIRECT(ADDRESS(2,COLUMN())),OFFSET($K$2,0,0,ROW()-1,5),ROW()-1,FALSE))</f>
        <v/>
      </c>
      <c r="K487" t="str">
        <f>""</f>
        <v/>
      </c>
      <c r="L487" t="str">
        <f>""</f>
        <v/>
      </c>
      <c r="M487" t="str">
        <f>""</f>
        <v/>
      </c>
      <c r="N487" t="str">
        <f>""</f>
        <v/>
      </c>
      <c r="O487" t="str">
        <f>""</f>
        <v/>
      </c>
    </row>
    <row r="488" spans="1:15" x14ac:dyDescent="0.25">
      <c r="A488" t="str">
        <f>"                    Kite Realty Group Trust"</f>
        <v xml:space="preserve">                    Kite Realty Group Trust</v>
      </c>
      <c r="B488" t="str">
        <f>"KRG US Equity"</f>
        <v>KRG US Equity</v>
      </c>
      <c r="C488" t="str">
        <f t="shared" si="51"/>
        <v>F0946</v>
      </c>
      <c r="D488" t="str">
        <f t="shared" si="52"/>
        <v>TOTAL_GHG_CO2_EMISSIONS</v>
      </c>
      <c r="E488" t="str">
        <f t="shared" si="53"/>
        <v>Dynamic</v>
      </c>
      <c r="F488" t="str">
        <f ca="1">IF(AND(ISNUMBER($F$1596),$B$1132=1),$F$1596,HLOOKUP(INDIRECT(ADDRESS(2,COLUMN())),OFFSET($K$2,0,0,ROW()-1,5),ROW()-1,FALSE))</f>
        <v/>
      </c>
      <c r="G488">
        <f ca="1">IF(AND(ISNUMBER($G$1596),$B$1132=1),$G$1596,HLOOKUP(INDIRECT(ADDRESS(2,COLUMN())),OFFSET($K$2,0,0,ROW()-1,5),ROW()-1,FALSE))</f>
        <v>3.0720300999999998E-2</v>
      </c>
      <c r="H488">
        <f ca="1">IF(AND(ISNUMBER($H$1596),$B$1132=1),$H$1596,HLOOKUP(INDIRECT(ADDRESS(2,COLUMN())),OFFSET($K$2,0,0,ROW()-1,5),ROW()-1,FALSE))</f>
        <v>3.2277699E-2</v>
      </c>
      <c r="I488" t="str">
        <f ca="1">IF(AND(ISNUMBER($I$1596),$B$1132=1),$I$1596,HLOOKUP(INDIRECT(ADDRESS(2,COLUMN())),OFFSET($K$2,0,0,ROW()-1,5),ROW()-1,FALSE))</f>
        <v/>
      </c>
      <c r="J488" t="str">
        <f ca="1">IF(AND(ISNUMBER($J$1596),$B$1132=1),$J$1596,HLOOKUP(INDIRECT(ADDRESS(2,COLUMN())),OFFSET($K$2,0,0,ROW()-1,5),ROW()-1,FALSE))</f>
        <v/>
      </c>
      <c r="K488" t="str">
        <f>""</f>
        <v/>
      </c>
      <c r="L488">
        <f>0.030720301</f>
        <v>3.0720300999999998E-2</v>
      </c>
      <c r="M488">
        <f>0.032277699</f>
        <v>3.2277699E-2</v>
      </c>
      <c r="N488" t="str">
        <f>""</f>
        <v/>
      </c>
      <c r="O488" t="str">
        <f>""</f>
        <v/>
      </c>
    </row>
    <row r="489" spans="1:15" x14ac:dyDescent="0.25">
      <c r="A489" t="str">
        <f>"                    Kimco Realty Corp"</f>
        <v xml:space="preserve">                    Kimco Realty Corp</v>
      </c>
      <c r="B489" t="str">
        <f>"KIM US Equity"</f>
        <v>KIM US Equity</v>
      </c>
      <c r="C489" t="str">
        <f t="shared" si="51"/>
        <v>F0946</v>
      </c>
      <c r="D489" t="str">
        <f t="shared" si="52"/>
        <v>TOTAL_GHG_CO2_EMISSIONS</v>
      </c>
      <c r="E489" t="str">
        <f t="shared" si="53"/>
        <v>Dynamic</v>
      </c>
      <c r="F489" t="str">
        <f ca="1">IF(AND(ISNUMBER($F$1597),$B$1132=1),$F$1597,HLOOKUP(INDIRECT(ADDRESS(2,COLUMN())),OFFSET($K$2,0,0,ROW()-1,5),ROW()-1,FALSE))</f>
        <v/>
      </c>
      <c r="G489">
        <f ca="1">IF(AND(ISNUMBER($G$1597),$B$1132=1),$G$1597,HLOOKUP(INDIRECT(ADDRESS(2,COLUMN())),OFFSET($K$2,0,0,ROW()-1,5),ROW()-1,FALSE))</f>
        <v>5.0456001E-2</v>
      </c>
      <c r="H489">
        <f ca="1">IF(AND(ISNUMBER($H$1597),$B$1132=1),$H$1597,HLOOKUP(INDIRECT(ADDRESS(2,COLUMN())),OFFSET($K$2,0,0,ROW()-1,5),ROW()-1,FALSE))</f>
        <v>3.1792000000000001E-2</v>
      </c>
      <c r="I489">
        <f ca="1">IF(AND(ISNUMBER($I$1597),$B$1132=1),$I$1597,HLOOKUP(INDIRECT(ADDRESS(2,COLUMN())),OFFSET($K$2,0,0,ROW()-1,5),ROW()-1,FALSE))</f>
        <v>3.3369300999999997E-2</v>
      </c>
      <c r="J489">
        <f ca="1">IF(AND(ISNUMBER($J$1597),$B$1132=1),$J$1597,HLOOKUP(INDIRECT(ADDRESS(2,COLUMN())),OFFSET($K$2,0,0,ROW()-1,5),ROW()-1,FALSE))</f>
        <v>3.9037799999999998E-2</v>
      </c>
      <c r="K489" t="str">
        <f>""</f>
        <v/>
      </c>
      <c r="L489">
        <f>0.050456001</f>
        <v>5.0456001E-2</v>
      </c>
      <c r="M489">
        <f>0.031792</f>
        <v>3.1792000000000001E-2</v>
      </c>
      <c r="N489">
        <f>0.033369301</f>
        <v>3.3369300999999997E-2</v>
      </c>
      <c r="O489">
        <f>0.0390378</f>
        <v>3.9037799999999998E-2</v>
      </c>
    </row>
    <row r="490" spans="1:15" x14ac:dyDescent="0.25">
      <c r="A490" t="str">
        <f>"                    Macerich Co/The"</f>
        <v xml:space="preserve">                    Macerich Co/The</v>
      </c>
      <c r="B490" t="str">
        <f>"MAC US Equity"</f>
        <v>MAC US Equity</v>
      </c>
      <c r="C490" t="str">
        <f t="shared" si="51"/>
        <v>F0946</v>
      </c>
      <c r="D490" t="str">
        <f t="shared" si="52"/>
        <v>TOTAL_GHG_CO2_EMISSIONS</v>
      </c>
      <c r="E490" t="str">
        <f t="shared" si="53"/>
        <v>Dynamic</v>
      </c>
      <c r="F490">
        <f ca="1">IF(AND(ISNUMBER($F$1598),$B$1132=1),$F$1598,HLOOKUP(INDIRECT(ADDRESS(2,COLUMN())),OFFSET($K$2,0,0,ROW()-1,5),ROW()-1,FALSE))</f>
        <v>7.2699997000000002E-2</v>
      </c>
      <c r="G490">
        <f ca="1">IF(AND(ISNUMBER($G$1598),$B$1132=1),$G$1598,HLOOKUP(INDIRECT(ADDRESS(2,COLUMN())),OFFSET($K$2,0,0,ROW()-1,5),ROW()-1,FALSE))</f>
        <v>5.8672001000000001E-2</v>
      </c>
      <c r="H490">
        <f ca="1">IF(AND(ISNUMBER($H$1598),$B$1132=1),$H$1598,HLOOKUP(INDIRECT(ADDRESS(2,COLUMN())),OFFSET($K$2,0,0,ROW()-1,5),ROW()-1,FALSE))</f>
        <v>5.6994998999999998E-2</v>
      </c>
      <c r="I490">
        <f ca="1">IF(AND(ISNUMBER($I$1598),$B$1132=1),$I$1598,HLOOKUP(INDIRECT(ADDRESS(2,COLUMN())),OFFSET($K$2,0,0,ROW()-1,5),ROW()-1,FALSE))</f>
        <v>7.3640998999999999E-2</v>
      </c>
      <c r="J490">
        <f ca="1">IF(AND(ISNUMBER($J$1598),$B$1132=1),$J$1598,HLOOKUP(INDIRECT(ADDRESS(2,COLUMN())),OFFSET($K$2,0,0,ROW()-1,5),ROW()-1,FALSE))</f>
        <v>6.6158996999999997E-2</v>
      </c>
      <c r="K490">
        <f>0.072699997</f>
        <v>7.2699997000000002E-2</v>
      </c>
      <c r="L490">
        <f>0.058672001</f>
        <v>5.8672001000000001E-2</v>
      </c>
      <c r="M490">
        <f>0.056994999</f>
        <v>5.6994998999999998E-2</v>
      </c>
      <c r="N490">
        <f>0.073640999</f>
        <v>7.3640998999999999E-2</v>
      </c>
      <c r="O490">
        <f>0.066158997</f>
        <v>6.6158996999999997E-2</v>
      </c>
    </row>
    <row r="491" spans="1:15" x14ac:dyDescent="0.25">
      <c r="A491" t="str">
        <f>"                    National Retail Properties Inc"</f>
        <v xml:space="preserve">                    National Retail Properties Inc</v>
      </c>
      <c r="B491" t="str">
        <f>"NNN US Equity"</f>
        <v>NNN US Equity</v>
      </c>
      <c r="C491" t="str">
        <f t="shared" si="51"/>
        <v>F0946</v>
      </c>
      <c r="D491" t="str">
        <f t="shared" si="52"/>
        <v>TOTAL_GHG_CO2_EMISSIONS</v>
      </c>
      <c r="E491" t="str">
        <f t="shared" si="53"/>
        <v>Dynamic</v>
      </c>
      <c r="F491" t="str">
        <f ca="1">IF(AND(ISNUMBER($F$1599),$B$1132=1),$F$1599,HLOOKUP(INDIRECT(ADDRESS(2,COLUMN())),OFFSET($K$2,0,0,ROW()-1,5),ROW()-1,FALSE))</f>
        <v/>
      </c>
      <c r="G491" t="str">
        <f ca="1">IF(AND(ISNUMBER($G$1599),$B$1132=1),$G$1599,HLOOKUP(INDIRECT(ADDRESS(2,COLUMN())),OFFSET($K$2,0,0,ROW()-1,5),ROW()-1,FALSE))</f>
        <v/>
      </c>
      <c r="H491" t="str">
        <f ca="1">IF(AND(ISNUMBER($H$1599),$B$1132=1),$H$1599,HLOOKUP(INDIRECT(ADDRESS(2,COLUMN())),OFFSET($K$2,0,0,ROW()-1,5),ROW()-1,FALSE))</f>
        <v/>
      </c>
      <c r="I491" t="str">
        <f ca="1">IF(AND(ISNUMBER($I$1599),$B$1132=1),$I$1599,HLOOKUP(INDIRECT(ADDRESS(2,COLUMN())),OFFSET($K$2,0,0,ROW()-1,5),ROW()-1,FALSE))</f>
        <v/>
      </c>
      <c r="J491" t="str">
        <f ca="1">IF(AND(ISNUMBER($J$1599),$B$1132=1),$J$1599,HLOOKUP(INDIRECT(ADDRESS(2,COLUMN())),OFFSET($K$2,0,0,ROW()-1,5),ROW()-1,FALSE))</f>
        <v/>
      </c>
      <c r="K491" t="str">
        <f>""</f>
        <v/>
      </c>
      <c r="L491" t="str">
        <f>""</f>
        <v/>
      </c>
      <c r="M491" t="str">
        <f>""</f>
        <v/>
      </c>
      <c r="N491" t="str">
        <f>""</f>
        <v/>
      </c>
      <c r="O491" t="str">
        <f>""</f>
        <v/>
      </c>
    </row>
    <row r="492" spans="1:15" x14ac:dyDescent="0.25">
      <c r="A492" t="str">
        <f>"                    Pennsylvania Real Estate Inves"</f>
        <v xml:space="preserve">                    Pennsylvania Real Estate Inves</v>
      </c>
      <c r="B492" t="str">
        <f>"PRET US Equity"</f>
        <v>PRET US Equity</v>
      </c>
      <c r="C492" t="str">
        <f t="shared" si="51"/>
        <v>F0946</v>
      </c>
      <c r="D492" t="str">
        <f t="shared" si="52"/>
        <v>TOTAL_GHG_CO2_EMISSIONS</v>
      </c>
      <c r="E492" t="str">
        <f t="shared" si="53"/>
        <v>Dynamic</v>
      </c>
      <c r="F492" t="str">
        <f ca="1">IF(AND(ISNUMBER($F$1600),$B$1132=1),$F$1600,HLOOKUP(INDIRECT(ADDRESS(2,COLUMN())),OFFSET($K$2,0,0,ROW()-1,5),ROW()-1,FALSE))</f>
        <v/>
      </c>
      <c r="G492" t="str">
        <f ca="1">IF(AND(ISNUMBER($G$1600),$B$1132=1),$G$1600,HLOOKUP(INDIRECT(ADDRESS(2,COLUMN())),OFFSET($K$2,0,0,ROW()-1,5),ROW()-1,FALSE))</f>
        <v/>
      </c>
      <c r="H492" t="str">
        <f ca="1">IF(AND(ISNUMBER($H$1600),$B$1132=1),$H$1600,HLOOKUP(INDIRECT(ADDRESS(2,COLUMN())),OFFSET($K$2,0,0,ROW()-1,5),ROW()-1,FALSE))</f>
        <v/>
      </c>
      <c r="I492" t="str">
        <f ca="1">IF(AND(ISNUMBER($I$1600),$B$1132=1),$I$1600,HLOOKUP(INDIRECT(ADDRESS(2,COLUMN())),OFFSET($K$2,0,0,ROW()-1,5),ROW()-1,FALSE))</f>
        <v/>
      </c>
      <c r="J492" t="str">
        <f ca="1">IF(AND(ISNUMBER($J$1600),$B$1132=1),$J$1600,HLOOKUP(INDIRECT(ADDRESS(2,COLUMN())),OFFSET($K$2,0,0,ROW()-1,5),ROW()-1,FALSE))</f>
        <v/>
      </c>
      <c r="K492" t="str">
        <f>""</f>
        <v/>
      </c>
      <c r="L492" t="str">
        <f>""</f>
        <v/>
      </c>
      <c r="M492" t="str">
        <f>""</f>
        <v/>
      </c>
      <c r="N492" t="str">
        <f>""</f>
        <v/>
      </c>
      <c r="O492" t="str">
        <f>""</f>
        <v/>
      </c>
    </row>
    <row r="493" spans="1:15" x14ac:dyDescent="0.25">
      <c r="A493" t="str">
        <f>"                    Regency Centers Corp"</f>
        <v xml:space="preserve">                    Regency Centers Corp</v>
      </c>
      <c r="B493" t="str">
        <f>"REG US Equity"</f>
        <v>REG US Equity</v>
      </c>
      <c r="C493" t="str">
        <f t="shared" si="51"/>
        <v>F0946</v>
      </c>
      <c r="D493" t="str">
        <f t="shared" si="52"/>
        <v>TOTAL_GHG_CO2_EMISSIONS</v>
      </c>
      <c r="E493" t="str">
        <f t="shared" si="53"/>
        <v>Dynamic</v>
      </c>
      <c r="F493" t="str">
        <f ca="1">IF(AND(ISNUMBER($F$1601),$B$1132=1),$F$1601,HLOOKUP(INDIRECT(ADDRESS(2,COLUMN())),OFFSET($K$2,0,0,ROW()-1,5),ROW()-1,FALSE))</f>
        <v/>
      </c>
      <c r="G493">
        <f ca="1">IF(AND(ISNUMBER($G$1601),$B$1132=1),$G$1601,HLOOKUP(INDIRECT(ADDRESS(2,COLUMN())),OFFSET($K$2,0,0,ROW()-1,5),ROW()-1,FALSE))</f>
        <v>2.6032E-2</v>
      </c>
      <c r="H493">
        <f ca="1">IF(AND(ISNUMBER($H$1601),$B$1132=1),$H$1601,HLOOKUP(INDIRECT(ADDRESS(2,COLUMN())),OFFSET($K$2,0,0,ROW()-1,5),ROW()-1,FALSE))</f>
        <v>2.6901999999999999E-2</v>
      </c>
      <c r="I493">
        <f ca="1">IF(AND(ISNUMBER($I$1601),$B$1132=1),$I$1601,HLOOKUP(INDIRECT(ADDRESS(2,COLUMN())),OFFSET($K$2,0,0,ROW()-1,5),ROW()-1,FALSE))</f>
        <v>3.1794001000000002E-2</v>
      </c>
      <c r="J493">
        <f ca="1">IF(AND(ISNUMBER($J$1601),$B$1132=1),$J$1601,HLOOKUP(INDIRECT(ADDRESS(2,COLUMN())),OFFSET($K$2,0,0,ROW()-1,5),ROW()-1,FALSE))</f>
        <v>3.3873001E-2</v>
      </c>
      <c r="K493" t="str">
        <f>""</f>
        <v/>
      </c>
      <c r="L493">
        <f>0.026032</f>
        <v>2.6032E-2</v>
      </c>
      <c r="M493">
        <f>0.026902</f>
        <v>2.6901999999999999E-2</v>
      </c>
      <c r="N493">
        <f>0.031794001</f>
        <v>3.1794001000000002E-2</v>
      </c>
      <c r="O493">
        <f>0.033873001</f>
        <v>3.3873001E-2</v>
      </c>
    </row>
    <row r="494" spans="1:15" x14ac:dyDescent="0.25">
      <c r="A494" t="str">
        <f>"                    Retail Opportunity Investments"</f>
        <v xml:space="preserve">                    Retail Opportunity Investments</v>
      </c>
      <c r="B494" t="str">
        <f>"ROIC US Equity"</f>
        <v>ROIC US Equity</v>
      </c>
      <c r="C494" t="str">
        <f t="shared" si="51"/>
        <v>F0946</v>
      </c>
      <c r="D494" t="str">
        <f t="shared" si="52"/>
        <v>TOTAL_GHG_CO2_EMISSIONS</v>
      </c>
      <c r="E494" t="str">
        <f t="shared" si="53"/>
        <v>Dynamic</v>
      </c>
      <c r="F494" t="str">
        <f ca="1">IF(AND(ISNUMBER($F$1602),$B$1132=1),$F$1602,HLOOKUP(INDIRECT(ADDRESS(2,COLUMN())),OFFSET($K$2,0,0,ROW()-1,5),ROW()-1,FALSE))</f>
        <v/>
      </c>
      <c r="G494">
        <f ca="1">IF(AND(ISNUMBER($G$1602),$B$1132=1),$G$1602,HLOOKUP(INDIRECT(ADDRESS(2,COLUMN())),OFFSET($K$2,0,0,ROW()-1,5),ROW()-1,FALSE))</f>
        <v>3.3670000000000002E-3</v>
      </c>
      <c r="H494">
        <f ca="1">IF(AND(ISNUMBER($H$1602),$B$1132=1),$H$1602,HLOOKUP(INDIRECT(ADDRESS(2,COLUMN())),OFFSET($K$2,0,0,ROW()-1,5),ROW()-1,FALSE))</f>
        <v>4.0940000000000004E-3</v>
      </c>
      <c r="I494">
        <f ca="1">IF(AND(ISNUMBER($I$1602),$B$1132=1),$I$1602,HLOOKUP(INDIRECT(ADDRESS(2,COLUMN())),OFFSET($K$2,0,0,ROW()-1,5),ROW()-1,FALSE))</f>
        <v>4.0489999999999996E-3</v>
      </c>
      <c r="J494" t="str">
        <f ca="1">IF(AND(ISNUMBER($J$1602),$B$1132=1),$J$1602,HLOOKUP(INDIRECT(ADDRESS(2,COLUMN())),OFFSET($K$2,0,0,ROW()-1,5),ROW()-1,FALSE))</f>
        <v/>
      </c>
      <c r="K494" t="str">
        <f>""</f>
        <v/>
      </c>
      <c r="L494">
        <f>0.003367</f>
        <v>3.3670000000000002E-3</v>
      </c>
      <c r="M494">
        <f>0.004094</f>
        <v>4.0940000000000004E-3</v>
      </c>
      <c r="N494">
        <f>0.004049</f>
        <v>4.0489999999999996E-3</v>
      </c>
      <c r="O494" t="str">
        <f>""</f>
        <v/>
      </c>
    </row>
    <row r="495" spans="1:15" x14ac:dyDescent="0.25">
      <c r="A495" t="str">
        <f>"                    RioCan Real Estate Investment"</f>
        <v xml:space="preserve">                    RioCan Real Estate Investment</v>
      </c>
      <c r="B495" t="str">
        <f>"REI-U CN Equity"</f>
        <v>REI-U CN Equity</v>
      </c>
      <c r="C495" t="str">
        <f t="shared" si="51"/>
        <v>F0946</v>
      </c>
      <c r="D495" t="str">
        <f t="shared" si="52"/>
        <v>TOTAL_GHG_CO2_EMISSIONS</v>
      </c>
      <c r="E495" t="str">
        <f t="shared" si="53"/>
        <v>Dynamic</v>
      </c>
      <c r="F495" t="str">
        <f ca="1">IF(AND(ISNUMBER($F$1603),$B$1132=1),$F$1603,HLOOKUP(INDIRECT(ADDRESS(2,COLUMN())),OFFSET($K$2,0,0,ROW()-1,5),ROW()-1,FALSE))</f>
        <v/>
      </c>
      <c r="G495">
        <f ca="1">IF(AND(ISNUMBER($G$1603),$B$1132=1),$G$1603,HLOOKUP(INDIRECT(ADDRESS(2,COLUMN())),OFFSET($K$2,0,0,ROW()-1,5),ROW()-1,FALSE))</f>
        <v>3.0570999000000001E-2</v>
      </c>
      <c r="H495" t="str">
        <f ca="1">IF(AND(ISNUMBER($H$1603),$B$1132=1),$H$1603,HLOOKUP(INDIRECT(ADDRESS(2,COLUMN())),OFFSET($K$2,0,0,ROW()-1,5),ROW()-1,FALSE))</f>
        <v/>
      </c>
      <c r="I495" t="str">
        <f ca="1">IF(AND(ISNUMBER($I$1603),$B$1132=1),$I$1603,HLOOKUP(INDIRECT(ADDRESS(2,COLUMN())),OFFSET($K$2,0,0,ROW()-1,5),ROW()-1,FALSE))</f>
        <v/>
      </c>
      <c r="J495" t="str">
        <f ca="1">IF(AND(ISNUMBER($J$1603),$B$1132=1),$J$1603,HLOOKUP(INDIRECT(ADDRESS(2,COLUMN())),OFFSET($K$2,0,0,ROW()-1,5),ROW()-1,FALSE))</f>
        <v/>
      </c>
      <c r="K495" t="str">
        <f>""</f>
        <v/>
      </c>
      <c r="L495">
        <f>0.030570999</f>
        <v>3.0570999000000001E-2</v>
      </c>
      <c r="M495" t="str">
        <f>""</f>
        <v/>
      </c>
      <c r="N495" t="str">
        <f>""</f>
        <v/>
      </c>
      <c r="O495" t="str">
        <f>""</f>
        <v/>
      </c>
    </row>
    <row r="496" spans="1:15" x14ac:dyDescent="0.25">
      <c r="A496" t="str">
        <f>"                    RPT Realty"</f>
        <v xml:space="preserve">                    RPT Realty</v>
      </c>
      <c r="B496" t="str">
        <f>"RPT US Equity"</f>
        <v>RPT US Equity</v>
      </c>
      <c r="C496" t="str">
        <f t="shared" si="51"/>
        <v>F0946</v>
      </c>
      <c r="D496" t="str">
        <f t="shared" si="52"/>
        <v>TOTAL_GHG_CO2_EMISSIONS</v>
      </c>
      <c r="E496" t="str">
        <f t="shared" si="53"/>
        <v>Dynamic</v>
      </c>
      <c r="F496" t="str">
        <f ca="1">IF(AND(ISNUMBER($F$1604),$B$1132=1),$F$1604,HLOOKUP(INDIRECT(ADDRESS(2,COLUMN())),OFFSET($K$2,0,0,ROW()-1,5),ROW()-1,FALSE))</f>
        <v/>
      </c>
      <c r="G496" t="str">
        <f ca="1">IF(AND(ISNUMBER($G$1604),$B$1132=1),$G$1604,HLOOKUP(INDIRECT(ADDRESS(2,COLUMN())),OFFSET($K$2,0,0,ROW()-1,5),ROW()-1,FALSE))</f>
        <v/>
      </c>
      <c r="H496" t="str">
        <f ca="1">IF(AND(ISNUMBER($H$1604),$B$1132=1),$H$1604,HLOOKUP(INDIRECT(ADDRESS(2,COLUMN())),OFFSET($K$2,0,0,ROW()-1,5),ROW()-1,FALSE))</f>
        <v/>
      </c>
      <c r="I496" t="str">
        <f ca="1">IF(AND(ISNUMBER($I$1604),$B$1132=1),$I$1604,HLOOKUP(INDIRECT(ADDRESS(2,COLUMN())),OFFSET($K$2,0,0,ROW()-1,5),ROW()-1,FALSE))</f>
        <v/>
      </c>
      <c r="J496" t="str">
        <f ca="1">IF(AND(ISNUMBER($J$1604),$B$1132=1),$J$1604,HLOOKUP(INDIRECT(ADDRESS(2,COLUMN())),OFFSET($K$2,0,0,ROW()-1,5),ROW()-1,FALSE))</f>
        <v/>
      </c>
      <c r="K496" t="str">
        <f>""</f>
        <v/>
      </c>
      <c r="L496" t="str">
        <f>""</f>
        <v/>
      </c>
      <c r="M496" t="str">
        <f>""</f>
        <v/>
      </c>
      <c r="N496" t="str">
        <f>""</f>
        <v/>
      </c>
      <c r="O496" t="str">
        <f>""</f>
        <v/>
      </c>
    </row>
    <row r="497" spans="1:15" x14ac:dyDescent="0.25">
      <c r="A497" t="str">
        <f>"                    Realty Income Corp"</f>
        <v xml:space="preserve">                    Realty Income Corp</v>
      </c>
      <c r="B497" t="str">
        <f>"O US Equity"</f>
        <v>O US Equity</v>
      </c>
      <c r="C497" t="str">
        <f t="shared" si="51"/>
        <v>F0946</v>
      </c>
      <c r="D497" t="str">
        <f t="shared" si="52"/>
        <v>TOTAL_GHG_CO2_EMISSIONS</v>
      </c>
      <c r="E497" t="str">
        <f t="shared" si="53"/>
        <v>Dynamic</v>
      </c>
      <c r="F497">
        <f ca="1">IF(AND(ISNUMBER($F$1605),$B$1132=1),$F$1605,HLOOKUP(INDIRECT(ADDRESS(2,COLUMN())),OFFSET($K$2,0,0,ROW()-1,5),ROW()-1,FALSE))</f>
        <v>3.5100000000000002E-4</v>
      </c>
      <c r="G497">
        <f ca="1">IF(AND(ISNUMBER($G$1605),$B$1132=1),$G$1605,HLOOKUP(INDIRECT(ADDRESS(2,COLUMN())),OFFSET($K$2,0,0,ROW()-1,5),ROW()-1,FALSE))</f>
        <v>2.7E-4</v>
      </c>
      <c r="H497">
        <f ca="1">IF(AND(ISNUMBER($H$1605),$B$1132=1),$H$1605,HLOOKUP(INDIRECT(ADDRESS(2,COLUMN())),OFFSET($K$2,0,0,ROW()-1,5),ROW()-1,FALSE))</f>
        <v>1.3100000000000001E-4</v>
      </c>
      <c r="I497">
        <f ca="1">IF(AND(ISNUMBER($I$1605),$B$1132=1),$I$1605,HLOOKUP(INDIRECT(ADDRESS(2,COLUMN())),OFFSET($K$2,0,0,ROW()-1,5),ROW()-1,FALSE))</f>
        <v>1.44E-4</v>
      </c>
      <c r="J497" t="str">
        <f ca="1">IF(AND(ISNUMBER($J$1605),$B$1132=1),$J$1605,HLOOKUP(INDIRECT(ADDRESS(2,COLUMN())),OFFSET($K$2,0,0,ROW()-1,5),ROW()-1,FALSE))</f>
        <v/>
      </c>
      <c r="K497">
        <f>0.000351</f>
        <v>3.5100000000000002E-4</v>
      </c>
      <c r="L497">
        <f>0.00027</f>
        <v>2.7E-4</v>
      </c>
      <c r="M497">
        <f>0.000131</f>
        <v>1.3100000000000001E-4</v>
      </c>
      <c r="N497">
        <f>0.000144</f>
        <v>1.44E-4</v>
      </c>
      <c r="O497" t="str">
        <f>""</f>
        <v/>
      </c>
    </row>
    <row r="498" spans="1:15" x14ac:dyDescent="0.25">
      <c r="A498" t="str">
        <f>"                    Saul Centers Inc"</f>
        <v xml:space="preserve">                    Saul Centers Inc</v>
      </c>
      <c r="B498" t="str">
        <f>"BFS US Equity"</f>
        <v>BFS US Equity</v>
      </c>
      <c r="C498" t="str">
        <f t="shared" si="51"/>
        <v>F0946</v>
      </c>
      <c r="D498" t="str">
        <f t="shared" si="52"/>
        <v>TOTAL_GHG_CO2_EMISSIONS</v>
      </c>
      <c r="E498" t="str">
        <f t="shared" si="53"/>
        <v>Dynamic</v>
      </c>
      <c r="F498" t="str">
        <f ca="1">IF(AND(ISNUMBER($F$1606),$B$1132=1),$F$1606,HLOOKUP(INDIRECT(ADDRESS(2,COLUMN())),OFFSET($K$2,0,0,ROW()-1,5),ROW()-1,FALSE))</f>
        <v/>
      </c>
      <c r="G498" t="str">
        <f ca="1">IF(AND(ISNUMBER($G$1606),$B$1132=1),$G$1606,HLOOKUP(INDIRECT(ADDRESS(2,COLUMN())),OFFSET($K$2,0,0,ROW()-1,5),ROW()-1,FALSE))</f>
        <v/>
      </c>
      <c r="H498" t="str">
        <f ca="1">IF(AND(ISNUMBER($H$1606),$B$1132=1),$H$1606,HLOOKUP(INDIRECT(ADDRESS(2,COLUMN())),OFFSET($K$2,0,0,ROW()-1,5),ROW()-1,FALSE))</f>
        <v/>
      </c>
      <c r="I498" t="str">
        <f ca="1">IF(AND(ISNUMBER($I$1606),$B$1132=1),$I$1606,HLOOKUP(INDIRECT(ADDRESS(2,COLUMN())),OFFSET($K$2,0,0,ROW()-1,5),ROW()-1,FALSE))</f>
        <v/>
      </c>
      <c r="J498" t="str">
        <f ca="1">IF(AND(ISNUMBER($J$1606),$B$1132=1),$J$1606,HLOOKUP(INDIRECT(ADDRESS(2,COLUMN())),OFFSET($K$2,0,0,ROW()-1,5),ROW()-1,FALSE))</f>
        <v/>
      </c>
      <c r="K498" t="str">
        <f>""</f>
        <v/>
      </c>
      <c r="L498" t="str">
        <f>""</f>
        <v/>
      </c>
      <c r="M498" t="str">
        <f>""</f>
        <v/>
      </c>
      <c r="N498" t="str">
        <f>""</f>
        <v/>
      </c>
      <c r="O498" t="str">
        <f>""</f>
        <v/>
      </c>
    </row>
    <row r="499" spans="1:15" x14ac:dyDescent="0.25">
      <c r="A499" t="str">
        <f>"                    Simon Property Group Inc"</f>
        <v xml:space="preserve">                    Simon Property Group Inc</v>
      </c>
      <c r="B499" t="str">
        <f>"SPG US Equity"</f>
        <v>SPG US Equity</v>
      </c>
      <c r="C499" t="str">
        <f t="shared" si="51"/>
        <v>F0946</v>
      </c>
      <c r="D499" t="str">
        <f t="shared" si="52"/>
        <v>TOTAL_GHG_CO2_EMISSIONS</v>
      </c>
      <c r="E499" t="str">
        <f t="shared" si="53"/>
        <v>Dynamic</v>
      </c>
      <c r="F499" t="str">
        <f ca="1">IF(AND(ISNUMBER($F$1607),$B$1132=1),$F$1607,HLOOKUP(INDIRECT(ADDRESS(2,COLUMN())),OFFSET($K$2,0,0,ROW()-1,5),ROW()-1,FALSE))</f>
        <v/>
      </c>
      <c r="G499">
        <f ca="1">IF(AND(ISNUMBER($G$1607),$B$1132=1),$G$1607,HLOOKUP(INDIRECT(ADDRESS(2,COLUMN())),OFFSET($K$2,0,0,ROW()-1,5),ROW()-1,FALSE))</f>
        <v>0.19682200599999999</v>
      </c>
      <c r="H499">
        <f ca="1">IF(AND(ISNUMBER($H$1607),$B$1132=1),$H$1607,HLOOKUP(INDIRECT(ADDRESS(2,COLUMN())),OFFSET($K$2,0,0,ROW()-1,5),ROW()-1,FALSE))</f>
        <v>0.19103900100000001</v>
      </c>
      <c r="I499">
        <f ca="1">IF(AND(ISNUMBER($I$1607),$B$1132=1),$I$1607,HLOOKUP(INDIRECT(ADDRESS(2,COLUMN())),OFFSET($K$2,0,0,ROW()-1,5),ROW()-1,FALSE))</f>
        <v>0.26657800300000001</v>
      </c>
      <c r="J499">
        <f ca="1">IF(AND(ISNUMBER($J$1607),$B$1132=1),$J$1607,HLOOKUP(INDIRECT(ADDRESS(2,COLUMN())),OFFSET($K$2,0,0,ROW()-1,5),ROW()-1,FALSE))</f>
        <v>0.30964700299999998</v>
      </c>
      <c r="K499" t="str">
        <f>""</f>
        <v/>
      </c>
      <c r="L499">
        <f>0.196822006</f>
        <v>0.19682200599999999</v>
      </c>
      <c r="M499">
        <f>0.191039001</f>
        <v>0.19103900100000001</v>
      </c>
      <c r="N499">
        <f>0.266578003</f>
        <v>0.26657800300000001</v>
      </c>
      <c r="O499">
        <f>0.309647003</f>
        <v>0.30964700299999998</v>
      </c>
    </row>
    <row r="500" spans="1:15" x14ac:dyDescent="0.25">
      <c r="A500" t="str">
        <f>"                    SITE Centers Corp"</f>
        <v xml:space="preserve">                    SITE Centers Corp</v>
      </c>
      <c r="B500" t="str">
        <f>"SITC US Equity"</f>
        <v>SITC US Equity</v>
      </c>
      <c r="C500" t="str">
        <f t="shared" si="51"/>
        <v>F0946</v>
      </c>
      <c r="D500" t="str">
        <f t="shared" si="52"/>
        <v>TOTAL_GHG_CO2_EMISSIONS</v>
      </c>
      <c r="E500" t="str">
        <f t="shared" si="53"/>
        <v>Dynamic</v>
      </c>
      <c r="F500" t="str">
        <f ca="1">IF(AND(ISNUMBER($F$1608),$B$1132=1),$F$1608,HLOOKUP(INDIRECT(ADDRESS(2,COLUMN())),OFFSET($K$2,0,0,ROW()-1,5),ROW()-1,FALSE))</f>
        <v/>
      </c>
      <c r="G500" t="str">
        <f ca="1">IF(AND(ISNUMBER($G$1608),$B$1132=1),$G$1608,HLOOKUP(INDIRECT(ADDRESS(2,COLUMN())),OFFSET($K$2,0,0,ROW()-1,5),ROW()-1,FALSE))</f>
        <v/>
      </c>
      <c r="H500" t="str">
        <f ca="1">IF(AND(ISNUMBER($H$1608),$B$1132=1),$H$1608,HLOOKUP(INDIRECT(ADDRESS(2,COLUMN())),OFFSET($K$2,0,0,ROW()-1,5),ROW()-1,FALSE))</f>
        <v/>
      </c>
      <c r="I500" t="str">
        <f ca="1">IF(AND(ISNUMBER($I$1608),$B$1132=1),$I$1608,HLOOKUP(INDIRECT(ADDRESS(2,COLUMN())),OFFSET($K$2,0,0,ROW()-1,5),ROW()-1,FALSE))</f>
        <v/>
      </c>
      <c r="J500" t="str">
        <f ca="1">IF(AND(ISNUMBER($J$1608),$B$1132=1),$J$1608,HLOOKUP(INDIRECT(ADDRESS(2,COLUMN())),OFFSET($K$2,0,0,ROW()-1,5),ROW()-1,FALSE))</f>
        <v/>
      </c>
      <c r="K500" t="str">
        <f>""</f>
        <v/>
      </c>
      <c r="L500" t="str">
        <f>""</f>
        <v/>
      </c>
      <c r="M500" t="str">
        <f>""</f>
        <v/>
      </c>
      <c r="N500" t="str">
        <f>""</f>
        <v/>
      </c>
      <c r="O500" t="str">
        <f>""</f>
        <v/>
      </c>
    </row>
    <row r="501" spans="1:15" x14ac:dyDescent="0.25">
      <c r="A501" t="str">
        <f>"                    Spirit Realty Capital Inc"</f>
        <v xml:space="preserve">                    Spirit Realty Capital Inc</v>
      </c>
      <c r="B501" t="str">
        <f>"SRC US Equity"</f>
        <v>SRC US Equity</v>
      </c>
      <c r="C501" t="str">
        <f t="shared" si="51"/>
        <v>F0946</v>
      </c>
      <c r="D501" t="str">
        <f t="shared" si="52"/>
        <v>TOTAL_GHG_CO2_EMISSIONS</v>
      </c>
      <c r="E501" t="str">
        <f t="shared" si="53"/>
        <v>Dynamic</v>
      </c>
      <c r="F501" t="str">
        <f ca="1">IF(AND(ISNUMBER($F$1609),$B$1132=1),$F$1609,HLOOKUP(INDIRECT(ADDRESS(2,COLUMN())),OFFSET($K$2,0,0,ROW()-1,5),ROW()-1,FALSE))</f>
        <v/>
      </c>
      <c r="G501" t="str">
        <f ca="1">IF(AND(ISNUMBER($G$1609),$B$1132=1),$G$1609,HLOOKUP(INDIRECT(ADDRESS(2,COLUMN())),OFFSET($K$2,0,0,ROW()-1,5),ROW()-1,FALSE))</f>
        <v/>
      </c>
      <c r="H501" t="str">
        <f ca="1">IF(AND(ISNUMBER($H$1609),$B$1132=1),$H$1609,HLOOKUP(INDIRECT(ADDRESS(2,COLUMN())),OFFSET($K$2,0,0,ROW()-1,5),ROW()-1,FALSE))</f>
        <v/>
      </c>
      <c r="I501" t="str">
        <f ca="1">IF(AND(ISNUMBER($I$1609),$B$1132=1),$I$1609,HLOOKUP(INDIRECT(ADDRESS(2,COLUMN())),OFFSET($K$2,0,0,ROW()-1,5),ROW()-1,FALSE))</f>
        <v/>
      </c>
      <c r="J501" t="str">
        <f ca="1">IF(AND(ISNUMBER($J$1609),$B$1132=1),$J$1609,HLOOKUP(INDIRECT(ADDRESS(2,COLUMN())),OFFSET($K$2,0,0,ROW()-1,5),ROW()-1,FALSE))</f>
        <v/>
      </c>
      <c r="K501" t="str">
        <f>""</f>
        <v/>
      </c>
      <c r="L501" t="str">
        <f>""</f>
        <v/>
      </c>
      <c r="M501" t="str">
        <f>""</f>
        <v/>
      </c>
      <c r="N501" t="str">
        <f>""</f>
        <v/>
      </c>
      <c r="O501" t="str">
        <f>""</f>
        <v/>
      </c>
    </row>
    <row r="502" spans="1:15" x14ac:dyDescent="0.25">
      <c r="A502" t="str">
        <f>"                    Tanger Factory Outlet Centers"</f>
        <v xml:space="preserve">                    Tanger Factory Outlet Centers</v>
      </c>
      <c r="B502" t="str">
        <f>"SKT US Equity"</f>
        <v>SKT US Equity</v>
      </c>
      <c r="C502" t="str">
        <f t="shared" si="51"/>
        <v>F0946</v>
      </c>
      <c r="D502" t="str">
        <f t="shared" si="52"/>
        <v>TOTAL_GHG_CO2_EMISSIONS</v>
      </c>
      <c r="E502" t="str">
        <f t="shared" si="53"/>
        <v>Dynamic</v>
      </c>
      <c r="F502" t="str">
        <f ca="1">IF(AND(ISNUMBER($F$1610),$B$1132=1),$F$1610,HLOOKUP(INDIRECT(ADDRESS(2,COLUMN())),OFFSET($K$2,0,0,ROW()-1,5),ROW()-1,FALSE))</f>
        <v/>
      </c>
      <c r="G502">
        <f ca="1">IF(AND(ISNUMBER($G$1610),$B$1132=1),$G$1610,HLOOKUP(INDIRECT(ADDRESS(2,COLUMN())),OFFSET($K$2,0,0,ROW()-1,5),ROW()-1,FALSE))</f>
        <v>8.8940000000000009E-3</v>
      </c>
      <c r="H502">
        <f ca="1">IF(AND(ISNUMBER($H$1610),$B$1132=1),$H$1610,HLOOKUP(INDIRECT(ADDRESS(2,COLUMN())),OFFSET($K$2,0,0,ROW()-1,5),ROW()-1,FALSE))</f>
        <v>4.7080002000000003E-2</v>
      </c>
      <c r="I502">
        <f ca="1">IF(AND(ISNUMBER($I$1610),$B$1132=1),$I$1610,HLOOKUP(INDIRECT(ADDRESS(2,COLUMN())),OFFSET($K$2,0,0,ROW()-1,5),ROW()-1,FALSE))</f>
        <v>5.9455002E-2</v>
      </c>
      <c r="J502">
        <f ca="1">IF(AND(ISNUMBER($J$1610),$B$1132=1),$J$1610,HLOOKUP(INDIRECT(ADDRESS(2,COLUMN())),OFFSET($K$2,0,0,ROW()-1,5),ROW()-1,FALSE))</f>
        <v>6.3147998999999996E-2</v>
      </c>
      <c r="K502" t="str">
        <f>""</f>
        <v/>
      </c>
      <c r="L502">
        <f>0.008894</f>
        <v>8.8940000000000009E-3</v>
      </c>
      <c r="M502">
        <f>0.047080002</f>
        <v>4.7080002000000003E-2</v>
      </c>
      <c r="N502">
        <f>0.059455002</f>
        <v>5.9455002E-2</v>
      </c>
      <c r="O502">
        <f>0.063147999</f>
        <v>6.3147998999999996E-2</v>
      </c>
    </row>
    <row r="503" spans="1:15" x14ac:dyDescent="0.25">
      <c r="A503" t="str">
        <f>"                    Urstadt Biddle Properties Inc"</f>
        <v xml:space="preserve">                    Urstadt Biddle Properties Inc</v>
      </c>
      <c r="B503" t="str">
        <f>"UBA US Equity"</f>
        <v>UBA US Equity</v>
      </c>
      <c r="C503" t="str">
        <f t="shared" si="51"/>
        <v>F0946</v>
      </c>
      <c r="D503" t="str">
        <f t="shared" si="52"/>
        <v>TOTAL_GHG_CO2_EMISSIONS</v>
      </c>
      <c r="E503" t="str">
        <f t="shared" si="53"/>
        <v>Dynamic</v>
      </c>
      <c r="F503" t="str">
        <f ca="1">IF(AND(ISNUMBER($F$1611),$B$1132=1),$F$1611,HLOOKUP(INDIRECT(ADDRESS(2,COLUMN())),OFFSET($K$2,0,0,ROW()-1,5),ROW()-1,FALSE))</f>
        <v/>
      </c>
      <c r="G503" t="str">
        <f ca="1">IF(AND(ISNUMBER($G$1611),$B$1132=1),$G$1611,HLOOKUP(INDIRECT(ADDRESS(2,COLUMN())),OFFSET($K$2,0,0,ROW()-1,5),ROW()-1,FALSE))</f>
        <v/>
      </c>
      <c r="H503" t="str">
        <f ca="1">IF(AND(ISNUMBER($H$1611),$B$1132=1),$H$1611,HLOOKUP(INDIRECT(ADDRESS(2,COLUMN())),OFFSET($K$2,0,0,ROW()-1,5),ROW()-1,FALSE))</f>
        <v/>
      </c>
      <c r="I503" t="str">
        <f ca="1">IF(AND(ISNUMBER($I$1611),$B$1132=1),$I$1611,HLOOKUP(INDIRECT(ADDRESS(2,COLUMN())),OFFSET($K$2,0,0,ROW()-1,5),ROW()-1,FALSE))</f>
        <v/>
      </c>
      <c r="J503" t="str">
        <f ca="1">IF(AND(ISNUMBER($J$1611),$B$1132=1),$J$1611,HLOOKUP(INDIRECT(ADDRESS(2,COLUMN())),OFFSET($K$2,0,0,ROW()-1,5),ROW()-1,FALSE))</f>
        <v/>
      </c>
      <c r="K503" t="str">
        <f>""</f>
        <v/>
      </c>
      <c r="L503" t="str">
        <f>""</f>
        <v/>
      </c>
      <c r="M503" t="str">
        <f>""</f>
        <v/>
      </c>
      <c r="N503" t="str">
        <f>""</f>
        <v/>
      </c>
      <c r="O503" t="str">
        <f>""</f>
        <v/>
      </c>
    </row>
    <row r="504" spans="1:15" x14ac:dyDescent="0.25">
      <c r="A504" t="str">
        <f>"                    Washington Prime Group Inc"</f>
        <v xml:space="preserve">                    Washington Prime Group Inc</v>
      </c>
      <c r="B504" t="str">
        <f>"WPGGQ US Equity"</f>
        <v>WPGGQ US Equity</v>
      </c>
      <c r="C504" t="str">
        <f t="shared" si="51"/>
        <v>F0946</v>
      </c>
      <c r="D504" t="str">
        <f t="shared" si="52"/>
        <v>TOTAL_GHG_CO2_EMISSIONS</v>
      </c>
      <c r="E504" t="str">
        <f t="shared" si="53"/>
        <v>Dynamic</v>
      </c>
      <c r="F504" t="str">
        <f ca="1">IF(AND(ISNUMBER($F$1612),$B$1132=1),$F$1612,HLOOKUP(INDIRECT(ADDRESS(2,COLUMN())),OFFSET($K$2,0,0,ROW()-1,5),ROW()-1,FALSE))</f>
        <v/>
      </c>
      <c r="G504" t="str">
        <f ca="1">IF(AND(ISNUMBER($G$1612),$B$1132=1),$G$1612,HLOOKUP(INDIRECT(ADDRESS(2,COLUMN())),OFFSET($K$2,0,0,ROW()-1,5),ROW()-1,FALSE))</f>
        <v/>
      </c>
      <c r="H504" t="str">
        <f ca="1">IF(AND(ISNUMBER($H$1612),$B$1132=1),$H$1612,HLOOKUP(INDIRECT(ADDRESS(2,COLUMN())),OFFSET($K$2,0,0,ROW()-1,5),ROW()-1,FALSE))</f>
        <v/>
      </c>
      <c r="I504" t="str">
        <f ca="1">IF(AND(ISNUMBER($I$1612),$B$1132=1),$I$1612,HLOOKUP(INDIRECT(ADDRESS(2,COLUMN())),OFFSET($K$2,0,0,ROW()-1,5),ROW()-1,FALSE))</f>
        <v/>
      </c>
      <c r="J504" t="str">
        <f ca="1">IF(AND(ISNUMBER($J$1612),$B$1132=1),$J$1612,HLOOKUP(INDIRECT(ADDRESS(2,COLUMN())),OFFSET($K$2,0,0,ROW()-1,5),ROW()-1,FALSE))</f>
        <v/>
      </c>
      <c r="K504" t="str">
        <f>""</f>
        <v/>
      </c>
      <c r="L504" t="str">
        <f>""</f>
        <v/>
      </c>
      <c r="M504" t="str">
        <f>""</f>
        <v/>
      </c>
      <c r="N504" t="str">
        <f>""</f>
        <v/>
      </c>
      <c r="O504" t="str">
        <f>""</f>
        <v/>
      </c>
    </row>
    <row r="505" spans="1:15" x14ac:dyDescent="0.25">
      <c r="A505" t="str">
        <f>"        Industrials"</f>
        <v xml:space="preserve">        Industrials</v>
      </c>
      <c r="B505" t="str">
        <f>""</f>
        <v/>
      </c>
      <c r="E505" t="str">
        <f>"Sum"</f>
        <v>Sum</v>
      </c>
      <c r="F505">
        <f ca="1">IF(ISERROR(IF(SUM($F$506,$F$638) = 0, "", SUM($F$506,$F$638))), "", (IF(SUM($F$506,$F$638) = 0, "", SUM($F$506,$F$638))))</f>
        <v>108.042108895</v>
      </c>
      <c r="G505">
        <f ca="1">IF(ISERROR(IF(SUM($G$506,$G$638) = 0, "", SUM($G$506,$G$638))), "", (IF(SUM($G$506,$G$638) = 0, "", SUM($G$506,$G$638))))</f>
        <v>259.67869044099996</v>
      </c>
      <c r="H505">
        <f ca="1">IF(ISERROR(IF(SUM($H$506,$H$638) = 0, "", SUM($H$506,$H$638))), "", (IF(SUM($H$506,$H$638) = 0, "", SUM($H$506,$H$638))))</f>
        <v>214.16165126799999</v>
      </c>
      <c r="I505">
        <f ca="1">IF(ISERROR(IF(SUM($I$506,$I$638) = 0, "", SUM($I$506,$I$638))), "", (IF(SUM($I$506,$I$638) = 0, "", SUM($I$506,$I$638))))</f>
        <v>305.855942158</v>
      </c>
      <c r="J505">
        <f ca="1">IF(ISERROR(IF(SUM($J$506,$J$638) = 0, "", SUM($J$506,$J$638))), "", (IF(SUM($J$506,$J$638) = 0, "", SUM($J$506,$J$638))))</f>
        <v>305.82732556199994</v>
      </c>
      <c r="K505" t="str">
        <f>""</f>
        <v/>
      </c>
      <c r="L505">
        <f>259.6786904</f>
        <v>259.67869039999999</v>
      </c>
      <c r="M505">
        <f>214.1616513</f>
        <v>214.16165129999999</v>
      </c>
      <c r="N505">
        <f>305.8559422</f>
        <v>305.85594220000002</v>
      </c>
      <c r="O505">
        <f>305.8273255</f>
        <v>305.82732549999997</v>
      </c>
    </row>
    <row r="506" spans="1:15" x14ac:dyDescent="0.25">
      <c r="A506" t="str">
        <f>"            Industrial Products"</f>
        <v xml:space="preserve">            Industrial Products</v>
      </c>
      <c r="B506" t="str">
        <f>""</f>
        <v/>
      </c>
      <c r="E506" t="str">
        <f>"Sum"</f>
        <v>Sum</v>
      </c>
      <c r="F506">
        <f ca="1">IF(ISERROR(IF(SUM($F$507,$F$519,$F$546) = 0, "", SUM($F$507,$F$519,$F$546))), "", (IF(SUM($F$507,$F$519,$F$546) = 0, "", SUM($F$507,$F$519,$F$546))))</f>
        <v>20.361214889999999</v>
      </c>
      <c r="G506">
        <f ca="1">IF(ISERROR(IF(SUM($G$507,$G$519,$G$546) = 0, "", SUM($G$507,$G$519,$G$546))), "", (IF(SUM($G$507,$G$519,$G$546) = 0, "", SUM($G$507,$G$519,$G$546))))</f>
        <v>56.324190219999991</v>
      </c>
      <c r="H506">
        <f ca="1">IF(ISERROR(IF(SUM($H$507,$H$519,$H$546) = 0, "", SUM($H$507,$H$519,$H$546))), "", (IF(SUM($H$507,$H$519,$H$546) = 0, "", SUM($H$507,$H$519,$H$546))))</f>
        <v>53.762458207000002</v>
      </c>
      <c r="I506">
        <f ca="1">IF(ISERROR(IF(SUM($I$507,$I$519,$I$546) = 0, "", SUM($I$507,$I$519,$I$546))), "", (IF(SUM($I$507,$I$519,$I$546) = 0, "", SUM($I$507,$I$519,$I$546))))</f>
        <v>60.263042987999995</v>
      </c>
      <c r="J506">
        <f ca="1">IF(ISERROR(IF(SUM($J$507,$J$519,$J$546) = 0, "", SUM($J$507,$J$519,$J$546))), "", (IF(SUM($J$507,$J$519,$J$546) = 0, "", SUM($J$507,$J$519,$J$546))))</f>
        <v>62.198890499999997</v>
      </c>
      <c r="K506" t="str">
        <f>""</f>
        <v/>
      </c>
      <c r="L506">
        <f>56.32419022</f>
        <v>56.324190219999998</v>
      </c>
      <c r="M506">
        <f>53.76245821</f>
        <v>53.762458209999998</v>
      </c>
      <c r="N506">
        <f>60.26304299</f>
        <v>60.263042990000002</v>
      </c>
      <c r="O506">
        <f>62.1988905</f>
        <v>62.198890499999997</v>
      </c>
    </row>
    <row r="507" spans="1:15" x14ac:dyDescent="0.25">
      <c r="A507" t="str">
        <f>"                Diversified Industrials"</f>
        <v xml:space="preserve">                Diversified Industrials</v>
      </c>
      <c r="B507" t="str">
        <f>""</f>
        <v/>
      </c>
      <c r="E507" t="str">
        <f>"Sum"</f>
        <v>Sum</v>
      </c>
      <c r="F507">
        <f ca="1">IF(ISERROR(IF(SUM($F$508:$F$518) = 0, "", SUM($F$508:$F$518))), "", (IF(SUM($F$508:$F$518) = 0, "", SUM($F$508:$F$518))))</f>
        <v>5.2155015100000002</v>
      </c>
      <c r="G507">
        <f ca="1">IF(ISERROR(IF(SUM($G$508:$G$518) = 0, "", SUM($G$508:$G$518))), "", (IF(SUM($G$508:$G$518) = 0, "", SUM($G$508:$G$518))))</f>
        <v>10.467691022</v>
      </c>
      <c r="H507">
        <f ca="1">IF(ISERROR(IF(SUM($H$508:$H$518) = 0, "", SUM($H$508:$H$518))), "", (IF(SUM($H$508:$H$518) = 0, "", SUM($H$508:$H$518))))</f>
        <v>11.629922100999998</v>
      </c>
      <c r="I507">
        <f ca="1">IF(ISERROR(IF(SUM($I$508:$I$518) = 0, "", SUM($I$508:$I$518))), "", (IF(SUM($I$508:$I$518) = 0, "", SUM($I$508:$I$518))))</f>
        <v>12.448144187</v>
      </c>
      <c r="J507">
        <f ca="1">IF(ISERROR(IF(SUM($J$508:$J$518) = 0, "", SUM($J$508:$J$518))), "", (IF(SUM($J$508:$J$518) = 0, "", SUM($J$508:$J$518))))</f>
        <v>13.972887535000002</v>
      </c>
      <c r="K507">
        <f>5.215501511</f>
        <v>5.2155015110000003</v>
      </c>
      <c r="L507">
        <f>10.46769102</f>
        <v>10.46769102</v>
      </c>
      <c r="M507">
        <f>11.6299221</f>
        <v>11.6299221</v>
      </c>
      <c r="N507">
        <f>12.44814419</f>
        <v>12.448144190000001</v>
      </c>
      <c r="O507">
        <f>13.97288754</f>
        <v>13.97288754</v>
      </c>
    </row>
    <row r="508" spans="1:15" x14ac:dyDescent="0.25">
      <c r="A508" t="str">
        <f>"                    3M Co"</f>
        <v xml:space="preserve">                    3M Co</v>
      </c>
      <c r="B508" t="str">
        <f>"MMM US Equity"</f>
        <v>MMM US Equity</v>
      </c>
      <c r="C508" t="str">
        <f t="shared" ref="C508:C518" si="54">"F0946"</f>
        <v>F0946</v>
      </c>
      <c r="D508" t="str">
        <f t="shared" ref="D508:D518" si="55">"TOTAL_GHG_CO2_EMISSIONS"</f>
        <v>TOTAL_GHG_CO2_EMISSIONS</v>
      </c>
      <c r="E508" t="str">
        <f t="shared" ref="E508:E518" si="56">"Dynamic"</f>
        <v>Dynamic</v>
      </c>
      <c r="F508">
        <f ca="1">IF(AND(ISNUMBER($F$1613),$B$1132=1),$F$1613,HLOOKUP(INDIRECT(ADDRESS(2,COLUMN())),OFFSET($K$2,0,0,ROW()-1,5),ROW()-1,FALSE))</f>
        <v>3.88</v>
      </c>
      <c r="G508">
        <f ca="1">IF(AND(ISNUMBER($G$1613),$B$1132=1),$G$1613,HLOOKUP(INDIRECT(ADDRESS(2,COLUMN())),OFFSET($K$2,0,0,ROW()-1,5),ROW()-1,FALSE))</f>
        <v>4.57</v>
      </c>
      <c r="H508">
        <f ca="1">IF(AND(ISNUMBER($H$1613),$B$1132=1),$H$1613,HLOOKUP(INDIRECT(ADDRESS(2,COLUMN())),OFFSET($K$2,0,0,ROW()-1,5),ROW()-1,FALSE))</f>
        <v>5.28</v>
      </c>
      <c r="I508">
        <f ca="1">IF(AND(ISNUMBER($I$1613),$B$1132=1),$I$1613,HLOOKUP(INDIRECT(ADDRESS(2,COLUMN())),OFFSET($K$2,0,0,ROW()-1,5),ROW()-1,FALSE))</f>
        <v>5.83</v>
      </c>
      <c r="J508">
        <f ca="1">IF(AND(ISNUMBER($J$1613),$B$1132=1),$J$1613,HLOOKUP(INDIRECT(ADDRESS(2,COLUMN())),OFFSET($K$2,0,0,ROW()-1,5),ROW()-1,FALSE))</f>
        <v>6.65</v>
      </c>
      <c r="K508">
        <f>3.88</f>
        <v>3.88</v>
      </c>
      <c r="L508">
        <f>4.57</f>
        <v>4.57</v>
      </c>
      <c r="M508">
        <f>5.28</f>
        <v>5.28</v>
      </c>
      <c r="N508">
        <f>5.83</f>
        <v>5.83</v>
      </c>
      <c r="O508">
        <f>6.65</f>
        <v>6.65</v>
      </c>
    </row>
    <row r="509" spans="1:15" x14ac:dyDescent="0.25">
      <c r="A509" t="str">
        <f>"                    Dover Corp"</f>
        <v xml:space="preserve">                    Dover Corp</v>
      </c>
      <c r="B509" t="str">
        <f>"DOV US Equity"</f>
        <v>DOV US Equity</v>
      </c>
      <c r="C509" t="str">
        <f t="shared" si="54"/>
        <v>F0946</v>
      </c>
      <c r="D509" t="str">
        <f t="shared" si="55"/>
        <v>TOTAL_GHG_CO2_EMISSIONS</v>
      </c>
      <c r="E509" t="str">
        <f t="shared" si="56"/>
        <v>Dynamic</v>
      </c>
      <c r="F509" t="str">
        <f ca="1">IF(AND(ISNUMBER($F$1614),$B$1132=1),$F$1614,HLOOKUP(INDIRECT(ADDRESS(2,COLUMN())),OFFSET($K$2,0,0,ROW()-1,5),ROW()-1,FALSE))</f>
        <v/>
      </c>
      <c r="G509">
        <f ca="1">IF(AND(ISNUMBER($G$1614),$B$1132=1),$G$1614,HLOOKUP(INDIRECT(ADDRESS(2,COLUMN())),OFFSET($K$2,0,0,ROW()-1,5),ROW()-1,FALSE))</f>
        <v>0.13580400100000001</v>
      </c>
      <c r="H509">
        <f ca="1">IF(AND(ISNUMBER($H$1614),$B$1132=1),$H$1614,HLOOKUP(INDIRECT(ADDRESS(2,COLUMN())),OFFSET($K$2,0,0,ROW()-1,5),ROW()-1,FALSE))</f>
        <v>0.132582001</v>
      </c>
      <c r="I509">
        <f ca="1">IF(AND(ISNUMBER($I$1614),$B$1132=1),$I$1614,HLOOKUP(INDIRECT(ADDRESS(2,COLUMN())),OFFSET($K$2,0,0,ROW()-1,5),ROW()-1,FALSE))</f>
        <v>0.135488998</v>
      </c>
      <c r="J509">
        <f ca="1">IF(AND(ISNUMBER($J$1614),$B$1132=1),$J$1614,HLOOKUP(INDIRECT(ADDRESS(2,COLUMN())),OFFSET($K$2,0,0,ROW()-1,5),ROW()-1,FALSE))</f>
        <v>0.184365997</v>
      </c>
      <c r="K509" t="str">
        <f>""</f>
        <v/>
      </c>
      <c r="L509">
        <f>0.135804001</f>
        <v>0.13580400100000001</v>
      </c>
      <c r="M509">
        <f>0.132582001</f>
        <v>0.132582001</v>
      </c>
      <c r="N509">
        <f>0.135488998</f>
        <v>0.135488998</v>
      </c>
      <c r="O509">
        <f>0.184365997</f>
        <v>0.184365997</v>
      </c>
    </row>
    <row r="510" spans="1:15" x14ac:dyDescent="0.25">
      <c r="A510" t="str">
        <f>"                    Eaton Corp PLC"</f>
        <v xml:space="preserve">                    Eaton Corp PLC</v>
      </c>
      <c r="B510" t="str">
        <f>"ETN US Equity"</f>
        <v>ETN US Equity</v>
      </c>
      <c r="C510" t="str">
        <f t="shared" si="54"/>
        <v>F0946</v>
      </c>
      <c r="D510" t="str">
        <f t="shared" si="55"/>
        <v>TOTAL_GHG_CO2_EMISSIONS</v>
      </c>
      <c r="E510" t="str">
        <f t="shared" si="56"/>
        <v>Dynamic</v>
      </c>
      <c r="F510" t="str">
        <f ca="1">IF(AND(ISNUMBER($F$1615),$B$1132=1),$F$1615,HLOOKUP(INDIRECT(ADDRESS(2,COLUMN())),OFFSET($K$2,0,0,ROW()-1,5),ROW()-1,FALSE))</f>
        <v/>
      </c>
      <c r="G510">
        <f ca="1">IF(AND(ISNUMBER($G$1615),$B$1132=1),$G$1615,HLOOKUP(INDIRECT(ADDRESS(2,COLUMN())),OFFSET($K$2,0,0,ROW()-1,5),ROW()-1,FALSE))</f>
        <v>0.82987799100000004</v>
      </c>
      <c r="H510">
        <f ca="1">IF(AND(ISNUMBER($H$1615),$B$1132=1),$H$1615,HLOOKUP(INDIRECT(ADDRESS(2,COLUMN())),OFFSET($K$2,0,0,ROW()-1,5),ROW()-1,FALSE))</f>
        <v>0.97406897000000003</v>
      </c>
      <c r="I510">
        <f ca="1">IF(AND(ISNUMBER($I$1615),$B$1132=1),$I$1615,HLOOKUP(INDIRECT(ADDRESS(2,COLUMN())),OFFSET($K$2,0,0,ROW()-1,5),ROW()-1,FALSE))</f>
        <v>1.0662</v>
      </c>
      <c r="J510">
        <f ca="1">IF(AND(ISNUMBER($J$1615),$B$1132=1),$J$1615,HLOOKUP(INDIRECT(ADDRESS(2,COLUMN())),OFFSET($K$2,0,0,ROW()-1,5),ROW()-1,FALSE))</f>
        <v>1.1788900149999999</v>
      </c>
      <c r="K510" t="str">
        <f>""</f>
        <v/>
      </c>
      <c r="L510">
        <f>0.829877991</f>
        <v>0.82987799100000004</v>
      </c>
      <c r="M510">
        <f>0.97406897</f>
        <v>0.97406897000000003</v>
      </c>
      <c r="N510">
        <f>1.0662</f>
        <v>1.0662</v>
      </c>
      <c r="O510">
        <f>1.178890015</f>
        <v>1.1788900149999999</v>
      </c>
    </row>
    <row r="511" spans="1:15" x14ac:dyDescent="0.25">
      <c r="A511" t="str">
        <f>"                    Emerson Electric Co"</f>
        <v xml:space="preserve">                    Emerson Electric Co</v>
      </c>
      <c r="B511" t="str">
        <f>"EMR US Equity"</f>
        <v>EMR US Equity</v>
      </c>
      <c r="C511" t="str">
        <f t="shared" si="54"/>
        <v>F0946</v>
      </c>
      <c r="D511" t="str">
        <f t="shared" si="55"/>
        <v>TOTAL_GHG_CO2_EMISSIONS</v>
      </c>
      <c r="E511" t="str">
        <f t="shared" si="56"/>
        <v>Dynamic</v>
      </c>
      <c r="F511">
        <f ca="1">IF(AND(ISNUMBER($F$1616),$B$1132=1),$F$1616,HLOOKUP(INDIRECT(ADDRESS(2,COLUMN())),OFFSET($K$2,0,0,ROW()-1,5),ROW()-1,FALSE))</f>
        <v>0.64500000000000002</v>
      </c>
      <c r="G511">
        <f ca="1">IF(AND(ISNUMBER($G$1616),$B$1132=1),$G$1616,HLOOKUP(INDIRECT(ADDRESS(2,COLUMN())),OFFSET($K$2,0,0,ROW()-1,5),ROW()-1,FALSE))</f>
        <v>0.80057397500000005</v>
      </c>
      <c r="H511">
        <f ca="1">IF(AND(ISNUMBER($H$1616),$B$1132=1),$H$1616,HLOOKUP(INDIRECT(ADDRESS(2,COLUMN())),OFFSET($K$2,0,0,ROW()-1,5),ROW()-1,FALSE))</f>
        <v>0.76560498099999996</v>
      </c>
      <c r="I511">
        <f ca="1">IF(AND(ISNUMBER($I$1616),$B$1132=1),$I$1616,HLOOKUP(INDIRECT(ADDRESS(2,COLUMN())),OFFSET($K$2,0,0,ROW()-1,5),ROW()-1,FALSE))</f>
        <v>0.85129699700000006</v>
      </c>
      <c r="J511">
        <f ca="1">IF(AND(ISNUMBER($J$1616),$B$1132=1),$J$1616,HLOOKUP(INDIRECT(ADDRESS(2,COLUMN())),OFFSET($K$2,0,0,ROW()-1,5),ROW()-1,FALSE))</f>
        <v>0.71599102800000003</v>
      </c>
      <c r="K511">
        <f>0.645</f>
        <v>0.64500000000000002</v>
      </c>
      <c r="L511">
        <f>0.800573975</f>
        <v>0.80057397500000005</v>
      </c>
      <c r="M511">
        <f>0.765604981</f>
        <v>0.76560498099999996</v>
      </c>
      <c r="N511">
        <f>0.851296997</f>
        <v>0.85129699700000006</v>
      </c>
      <c r="O511">
        <f>0.715991028</f>
        <v>0.71599102800000003</v>
      </c>
    </row>
    <row r="512" spans="1:15" x14ac:dyDescent="0.25">
      <c r="A512" t="str">
        <f>"                    General Electric Co - Manufact"</f>
        <v xml:space="preserve">                    General Electric Co - Manufact</v>
      </c>
      <c r="B512" t="str">
        <f>"GE3 US Equity"</f>
        <v>GE3 US Equity</v>
      </c>
      <c r="C512" t="str">
        <f t="shared" si="54"/>
        <v>F0946</v>
      </c>
      <c r="D512" t="str">
        <f t="shared" si="55"/>
        <v>TOTAL_GHG_CO2_EMISSIONS</v>
      </c>
      <c r="E512" t="str">
        <f t="shared" si="56"/>
        <v>Dynamic</v>
      </c>
      <c r="F512" t="str">
        <f ca="1">IF(AND(ISNUMBER($F$1617),$B$1132=1),$F$1617,HLOOKUP(INDIRECT(ADDRESS(2,COLUMN())),OFFSET($K$2,0,0,ROW()-1,5),ROW()-1,FALSE))</f>
        <v/>
      </c>
      <c r="G512" t="str">
        <f ca="1">IF(AND(ISNUMBER($G$1617),$B$1132=1),$G$1617,HLOOKUP(INDIRECT(ADDRESS(2,COLUMN())),OFFSET($K$2,0,0,ROW()-1,5),ROW()-1,FALSE))</f>
        <v/>
      </c>
      <c r="H512" t="str">
        <f ca="1">IF(AND(ISNUMBER($H$1617),$B$1132=1),$H$1617,HLOOKUP(INDIRECT(ADDRESS(2,COLUMN())),OFFSET($K$2,0,0,ROW()-1,5),ROW()-1,FALSE))</f>
        <v/>
      </c>
      <c r="I512" t="str">
        <f ca="1">IF(AND(ISNUMBER($I$1617),$B$1132=1),$I$1617,HLOOKUP(INDIRECT(ADDRESS(2,COLUMN())),OFFSET($K$2,0,0,ROW()-1,5),ROW()-1,FALSE))</f>
        <v/>
      </c>
      <c r="J512" t="str">
        <f ca="1">IF(AND(ISNUMBER($J$1617),$B$1132=1),$J$1617,HLOOKUP(INDIRECT(ADDRESS(2,COLUMN())),OFFSET($K$2,0,0,ROW()-1,5),ROW()-1,FALSE))</f>
        <v/>
      </c>
      <c r="K512" t="str">
        <f>""</f>
        <v/>
      </c>
      <c r="L512" t="str">
        <f>""</f>
        <v/>
      </c>
      <c r="M512" t="str">
        <f>""</f>
        <v/>
      </c>
      <c r="N512" t="str">
        <f>""</f>
        <v/>
      </c>
      <c r="O512" t="str">
        <f>""</f>
        <v/>
      </c>
    </row>
    <row r="513" spans="1:15" x14ac:dyDescent="0.25">
      <c r="A513" t="str">
        <f>"                    Honeywell International Inc"</f>
        <v xml:space="preserve">                    Honeywell International Inc</v>
      </c>
      <c r="B513" t="str">
        <f>"HON US Equity"</f>
        <v>HON US Equity</v>
      </c>
      <c r="C513" t="str">
        <f t="shared" si="54"/>
        <v>F0946</v>
      </c>
      <c r="D513" t="str">
        <f t="shared" si="55"/>
        <v>TOTAL_GHG_CO2_EMISSIONS</v>
      </c>
      <c r="E513" t="str">
        <f t="shared" si="56"/>
        <v>Dynamic</v>
      </c>
      <c r="F513" t="str">
        <f ca="1">IF(AND(ISNUMBER($F$1618),$B$1132=1),$F$1618,HLOOKUP(INDIRECT(ADDRESS(2,COLUMN())),OFFSET($K$2,0,0,ROW()-1,5),ROW()-1,FALSE))</f>
        <v/>
      </c>
      <c r="G513">
        <f ca="1">IF(AND(ISNUMBER($G$1618),$B$1132=1),$G$1618,HLOOKUP(INDIRECT(ADDRESS(2,COLUMN())),OFFSET($K$2,0,0,ROW()-1,5),ROW()-1,FALSE))</f>
        <v>2.0180300290000002</v>
      </c>
      <c r="H513">
        <f ca="1">IF(AND(ISNUMBER($H$1618),$B$1132=1),$H$1618,HLOOKUP(INDIRECT(ADDRESS(2,COLUMN())),OFFSET($K$2,0,0,ROW()-1,5),ROW()-1,FALSE))</f>
        <v>2.248310059</v>
      </c>
      <c r="I513">
        <f ca="1">IF(AND(ISNUMBER($I$1618),$B$1132=1),$I$1618,HLOOKUP(INDIRECT(ADDRESS(2,COLUMN())),OFFSET($K$2,0,0,ROW()-1,5),ROW()-1,FALSE))</f>
        <v>2.0426300049999999</v>
      </c>
      <c r="J513">
        <f ca="1">IF(AND(ISNUMBER($J$1618),$B$1132=1),$J$1618,HLOOKUP(INDIRECT(ADDRESS(2,COLUMN())),OFFSET($K$2,0,0,ROW()-1,5),ROW()-1,FALSE))</f>
        <v>2.52798999</v>
      </c>
      <c r="K513" t="str">
        <f>""</f>
        <v/>
      </c>
      <c r="L513">
        <f>2.018030029</f>
        <v>2.0180300290000002</v>
      </c>
      <c r="M513">
        <f>2.248310059</f>
        <v>2.248310059</v>
      </c>
      <c r="N513">
        <f>2.042630005</f>
        <v>2.0426300049999999</v>
      </c>
      <c r="O513">
        <f>2.52798999</f>
        <v>2.52798999</v>
      </c>
    </row>
    <row r="514" spans="1:15" x14ac:dyDescent="0.25">
      <c r="A514" t="str">
        <f>"                    IDEX Corp"</f>
        <v xml:space="preserve">                    IDEX Corp</v>
      </c>
      <c r="B514" t="str">
        <f>"IEX US Equity"</f>
        <v>IEX US Equity</v>
      </c>
      <c r="C514" t="str">
        <f t="shared" si="54"/>
        <v>F0946</v>
      </c>
      <c r="D514" t="str">
        <f t="shared" si="55"/>
        <v>TOTAL_GHG_CO2_EMISSIONS</v>
      </c>
      <c r="E514" t="str">
        <f t="shared" si="56"/>
        <v>Dynamic</v>
      </c>
      <c r="F514">
        <f ca="1">IF(AND(ISNUMBER($F$1619),$B$1132=1),$F$1619,HLOOKUP(INDIRECT(ADDRESS(2,COLUMN())),OFFSET($K$2,0,0,ROW()-1,5),ROW()-1,FALSE))</f>
        <v>5.1118998999999998E-2</v>
      </c>
      <c r="G514">
        <f ca="1">IF(AND(ISNUMBER($G$1619),$B$1132=1),$G$1619,HLOOKUP(INDIRECT(ADDRESS(2,COLUMN())),OFFSET($K$2,0,0,ROW()-1,5),ROW()-1,FALSE))</f>
        <v>4.8810000999999999E-2</v>
      </c>
      <c r="H514">
        <f ca="1">IF(AND(ISNUMBER($H$1619),$B$1132=1),$H$1619,HLOOKUP(INDIRECT(ADDRESS(2,COLUMN())),OFFSET($K$2,0,0,ROW()-1,5),ROW()-1,FALSE))</f>
        <v>3.6880099999999999E-2</v>
      </c>
      <c r="I514">
        <f ca="1">IF(AND(ISNUMBER($I$1619),$B$1132=1),$I$1619,HLOOKUP(INDIRECT(ADDRESS(2,COLUMN())),OFFSET($K$2,0,0,ROW()-1,5),ROW()-1,FALSE))</f>
        <v>4.2410198000000003E-2</v>
      </c>
      <c r="J514">
        <f ca="1">IF(AND(ISNUMBER($J$1619),$B$1132=1),$J$1619,HLOOKUP(INDIRECT(ADDRESS(2,COLUMN())),OFFSET($K$2,0,0,ROW()-1,5),ROW()-1,FALSE))</f>
        <v>4.4621498000000002E-2</v>
      </c>
      <c r="K514">
        <f>0.051118999</f>
        <v>5.1118998999999998E-2</v>
      </c>
      <c r="L514">
        <f>0.048810001</f>
        <v>4.8810000999999999E-2</v>
      </c>
      <c r="M514">
        <f>0.0368801</f>
        <v>3.6880099999999999E-2</v>
      </c>
      <c r="N514">
        <f>0.042410198</f>
        <v>4.2410198000000003E-2</v>
      </c>
      <c r="O514">
        <f>0.044621498</f>
        <v>4.4621498000000002E-2</v>
      </c>
    </row>
    <row r="515" spans="1:15" x14ac:dyDescent="0.25">
      <c r="A515" t="str">
        <f>"                    Illinois Tool Works Inc"</f>
        <v xml:space="preserve">                    Illinois Tool Works Inc</v>
      </c>
      <c r="B515" t="str">
        <f>"ITW US Equity"</f>
        <v>ITW US Equity</v>
      </c>
      <c r="C515" t="str">
        <f t="shared" si="54"/>
        <v>F0946</v>
      </c>
      <c r="D515" t="str">
        <f t="shared" si="55"/>
        <v>TOTAL_GHG_CO2_EMISSIONS</v>
      </c>
      <c r="E515" t="str">
        <f t="shared" si="56"/>
        <v>Dynamic</v>
      </c>
      <c r="F515">
        <f ca="1">IF(AND(ISNUMBER($F$1620),$B$1132=1),$F$1620,HLOOKUP(INDIRECT(ADDRESS(2,COLUMN())),OFFSET($K$2,0,0,ROW()-1,5),ROW()-1,FALSE))</f>
        <v>0.505476013</v>
      </c>
      <c r="G515">
        <f ca="1">IF(AND(ISNUMBER($G$1620),$B$1132=1),$G$1620,HLOOKUP(INDIRECT(ADDRESS(2,COLUMN())),OFFSET($K$2,0,0,ROW()-1,5),ROW()-1,FALSE))</f>
        <v>0.502134003</v>
      </c>
      <c r="H515">
        <f ca="1">IF(AND(ISNUMBER($H$1620),$B$1132=1),$H$1620,HLOOKUP(INDIRECT(ADDRESS(2,COLUMN())),OFFSET($K$2,0,0,ROW()-1,5),ROW()-1,FALSE))</f>
        <v>0.54117700199999996</v>
      </c>
      <c r="I515">
        <f ca="1">IF(AND(ISNUMBER($I$1620),$B$1132=1),$I$1620,HLOOKUP(INDIRECT(ADDRESS(2,COLUMN())),OFFSET($K$2,0,0,ROW()-1,5),ROW()-1,FALSE))</f>
        <v>0.60393701200000005</v>
      </c>
      <c r="J515">
        <f ca="1">IF(AND(ISNUMBER($J$1620),$B$1132=1),$J$1620,HLOOKUP(INDIRECT(ADDRESS(2,COLUMN())),OFFSET($K$2,0,0,ROW()-1,5),ROW()-1,FALSE))</f>
        <v>0.67483300800000001</v>
      </c>
      <c r="K515">
        <f>0.505476013</f>
        <v>0.505476013</v>
      </c>
      <c r="L515">
        <f>0.502134003</f>
        <v>0.502134003</v>
      </c>
      <c r="M515">
        <f>0.541177002</f>
        <v>0.54117700199999996</v>
      </c>
      <c r="N515">
        <f>0.603937012</f>
        <v>0.60393701200000005</v>
      </c>
      <c r="O515">
        <f>0.674833008</f>
        <v>0.67483300800000001</v>
      </c>
    </row>
    <row r="516" spans="1:15" x14ac:dyDescent="0.25">
      <c r="A516" t="str">
        <f>"                    Pentair PLC"</f>
        <v xml:space="preserve">                    Pentair PLC</v>
      </c>
      <c r="B516" t="str">
        <f>"PNR US Equity"</f>
        <v>PNR US Equity</v>
      </c>
      <c r="C516" t="str">
        <f t="shared" si="54"/>
        <v>F0946</v>
      </c>
      <c r="D516" t="str">
        <f t="shared" si="55"/>
        <v>TOTAL_GHG_CO2_EMISSIONS</v>
      </c>
      <c r="E516" t="str">
        <f t="shared" si="56"/>
        <v>Dynamic</v>
      </c>
      <c r="F516">
        <f ca="1">IF(AND(ISNUMBER($F$1621),$B$1132=1),$F$1621,HLOOKUP(INDIRECT(ADDRESS(2,COLUMN())),OFFSET($K$2,0,0,ROW()-1,5),ROW()-1,FALSE))</f>
        <v>0.119739998</v>
      </c>
      <c r="G516">
        <f ca="1">IF(AND(ISNUMBER($G$1621),$B$1132=1),$G$1621,HLOOKUP(INDIRECT(ADDRESS(2,COLUMN())),OFFSET($K$2,0,0,ROW()-1,5),ROW()-1,FALSE))</f>
        <v>0.10844100199999999</v>
      </c>
      <c r="H516">
        <f ca="1">IF(AND(ISNUMBER($H$1621),$B$1132=1),$H$1621,HLOOKUP(INDIRECT(ADDRESS(2,COLUMN())),OFFSET($K$2,0,0,ROW()-1,5),ROW()-1,FALSE))</f>
        <v>0.112689003</v>
      </c>
      <c r="I516">
        <f ca="1">IF(AND(ISNUMBER($I$1621),$B$1132=1),$I$1621,HLOOKUP(INDIRECT(ADDRESS(2,COLUMN())),OFFSET($K$2,0,0,ROW()-1,5),ROW()-1,FALSE))</f>
        <v>0.118081001</v>
      </c>
      <c r="J516">
        <f ca="1">IF(AND(ISNUMBER($J$1621),$B$1132=1),$J$1621,HLOOKUP(INDIRECT(ADDRESS(2,COLUMN())),OFFSET($K$2,0,0,ROW()-1,5),ROW()-1,FALSE))</f>
        <v>9.6195999000000004E-2</v>
      </c>
      <c r="K516">
        <f>0.119739998</f>
        <v>0.119739998</v>
      </c>
      <c r="L516">
        <f>0.108441002</f>
        <v>0.10844100199999999</v>
      </c>
      <c r="M516">
        <f>0.112689003</f>
        <v>0.112689003</v>
      </c>
      <c r="N516">
        <f>0.118081001</f>
        <v>0.118081001</v>
      </c>
      <c r="O516">
        <f>0.096195999</f>
        <v>9.6195999000000004E-2</v>
      </c>
    </row>
    <row r="517" spans="1:15" x14ac:dyDescent="0.25">
      <c r="A517" t="str">
        <f>"                    Roper Technologies Inc"</f>
        <v xml:space="preserve">                    Roper Technologies Inc</v>
      </c>
      <c r="B517" t="str">
        <f>"ROP US Equity"</f>
        <v>ROP US Equity</v>
      </c>
      <c r="C517" t="str">
        <f t="shared" si="54"/>
        <v>F0946</v>
      </c>
      <c r="D517" t="str">
        <f t="shared" si="55"/>
        <v>TOTAL_GHG_CO2_EMISSIONS</v>
      </c>
      <c r="E517" t="str">
        <f t="shared" si="56"/>
        <v>Dynamic</v>
      </c>
      <c r="F517">
        <f ca="1">IF(AND(ISNUMBER($F$1622),$B$1132=1),$F$1622,HLOOKUP(INDIRECT(ADDRESS(2,COLUMN())),OFFSET($K$2,0,0,ROW()-1,5),ROW()-1,FALSE))</f>
        <v>1.41665E-2</v>
      </c>
      <c r="G517" t="str">
        <f ca="1">IF(AND(ISNUMBER($G$1622),$B$1132=1),$G$1622,HLOOKUP(INDIRECT(ADDRESS(2,COLUMN())),OFFSET($K$2,0,0,ROW()-1,5),ROW()-1,FALSE))</f>
        <v/>
      </c>
      <c r="H517" t="str">
        <f ca="1">IF(AND(ISNUMBER($H$1622),$B$1132=1),$H$1622,HLOOKUP(INDIRECT(ADDRESS(2,COLUMN())),OFFSET($K$2,0,0,ROW()-1,5),ROW()-1,FALSE))</f>
        <v/>
      </c>
      <c r="I517" t="str">
        <f ca="1">IF(AND(ISNUMBER($I$1622),$B$1132=1),$I$1622,HLOOKUP(INDIRECT(ADDRESS(2,COLUMN())),OFFSET($K$2,0,0,ROW()-1,5),ROW()-1,FALSE))</f>
        <v/>
      </c>
      <c r="J517" t="str">
        <f ca="1">IF(AND(ISNUMBER($J$1622),$B$1132=1),$J$1622,HLOOKUP(INDIRECT(ADDRESS(2,COLUMN())),OFFSET($K$2,0,0,ROW()-1,5),ROW()-1,FALSE))</f>
        <v/>
      </c>
      <c r="K517">
        <f>0.0141665</f>
        <v>1.41665E-2</v>
      </c>
      <c r="L517" t="str">
        <f>""</f>
        <v/>
      </c>
      <c r="M517" t="str">
        <f>""</f>
        <v/>
      </c>
      <c r="N517" t="str">
        <f>""</f>
        <v/>
      </c>
      <c r="O517" t="str">
        <f>""</f>
        <v/>
      </c>
    </row>
    <row r="518" spans="1:15" x14ac:dyDescent="0.25">
      <c r="A518" t="str">
        <f>"                    Raytheon Technologies Corp"</f>
        <v xml:space="preserve">                    Raytheon Technologies Corp</v>
      </c>
      <c r="B518" t="str">
        <f>"RTX US Equity"</f>
        <v>RTX US Equity</v>
      </c>
      <c r="C518" t="str">
        <f t="shared" si="54"/>
        <v>F0946</v>
      </c>
      <c r="D518" t="str">
        <f t="shared" si="55"/>
        <v>TOTAL_GHG_CO2_EMISSIONS</v>
      </c>
      <c r="E518" t="str">
        <f t="shared" si="56"/>
        <v>Dynamic</v>
      </c>
      <c r="F518" t="str">
        <f ca="1">IF(AND(ISNUMBER($F$1623),$B$1132=1),$F$1623,HLOOKUP(INDIRECT(ADDRESS(2,COLUMN())),OFFSET($K$2,0,0,ROW()-1,5),ROW()-1,FALSE))</f>
        <v/>
      </c>
      <c r="G518">
        <f ca="1">IF(AND(ISNUMBER($G$1623),$B$1132=1),$G$1623,HLOOKUP(INDIRECT(ADDRESS(2,COLUMN())),OFFSET($K$2,0,0,ROW()-1,5),ROW()-1,FALSE))</f>
        <v>1.45402002</v>
      </c>
      <c r="H518">
        <f ca="1">IF(AND(ISNUMBER($H$1623),$B$1132=1),$H$1623,HLOOKUP(INDIRECT(ADDRESS(2,COLUMN())),OFFSET($K$2,0,0,ROW()-1,5),ROW()-1,FALSE))</f>
        <v>1.5386099849999999</v>
      </c>
      <c r="I518">
        <f ca="1">IF(AND(ISNUMBER($I$1623),$B$1132=1),$I$1623,HLOOKUP(INDIRECT(ADDRESS(2,COLUMN())),OFFSET($K$2,0,0,ROW()-1,5),ROW()-1,FALSE))</f>
        <v>1.758099976</v>
      </c>
      <c r="J518">
        <f ca="1">IF(AND(ISNUMBER($J$1623),$B$1132=1),$J$1623,HLOOKUP(INDIRECT(ADDRESS(2,COLUMN())),OFFSET($K$2,0,0,ROW()-1,5),ROW()-1,FALSE))</f>
        <v>1.9</v>
      </c>
      <c r="K518" t="str">
        <f>""</f>
        <v/>
      </c>
      <c r="L518">
        <f>1.45402002</f>
        <v>1.45402002</v>
      </c>
      <c r="M518">
        <f>1.538609985</f>
        <v>1.5386099849999999</v>
      </c>
      <c r="N518">
        <f>1.758099976</f>
        <v>1.758099976</v>
      </c>
      <c r="O518">
        <f>1.9</f>
        <v>1.9</v>
      </c>
    </row>
    <row r="519" spans="1:15" x14ac:dyDescent="0.25">
      <c r="A519" t="str">
        <f>"                Aerospace &amp; Defense"</f>
        <v xml:space="preserve">                Aerospace &amp; Defense</v>
      </c>
      <c r="B519" t="str">
        <f>""</f>
        <v/>
      </c>
      <c r="E519" t="str">
        <f>"Sum"</f>
        <v>Sum</v>
      </c>
      <c r="F519">
        <f ca="1">IF(ISERROR(IF(SUM($F$520,$F$526) = 0, "", SUM($F$520,$F$526))), "", (IF(SUM($F$520,$F$526) = 0, "", SUM($F$520,$F$526))))</f>
        <v>3.2845650020000003</v>
      </c>
      <c r="G519">
        <f ca="1">IF(ISERROR(IF(SUM($G$520,$G$526) = 0, "", SUM($G$520,$G$526))), "", (IF(SUM($G$520,$G$526) = 0, "", SUM($G$520,$G$526))))</f>
        <v>11.937764047999998</v>
      </c>
      <c r="H519">
        <f ca="1">IF(ISERROR(IF(SUM($H$520,$H$526) = 0, "", SUM($H$520,$H$526))), "", (IF(SUM($H$520,$H$526) = 0, "", SUM($H$520,$H$526))))</f>
        <v>11.168402950000001</v>
      </c>
      <c r="I519">
        <f ca="1">IF(ISERROR(IF(SUM($I$520,$I$526) = 0, "", SUM($I$520,$I$526))), "", (IF(SUM($I$520,$I$526) = 0, "", SUM($I$520,$I$526))))</f>
        <v>13.675458127000002</v>
      </c>
      <c r="J519">
        <f ca="1">IF(ISERROR(IF(SUM($J$520,$J$526) = 0, "", SUM($J$520,$J$526))), "", (IF(SUM($J$520,$J$526) = 0, "", SUM($J$520,$J$526))))</f>
        <v>13.737404157999999</v>
      </c>
      <c r="K519" t="str">
        <f>""</f>
        <v/>
      </c>
      <c r="L519">
        <f>11.93776405</f>
        <v>11.93776405</v>
      </c>
      <c r="M519">
        <f>11.16840295</f>
        <v>11.168402950000001</v>
      </c>
      <c r="N519">
        <f>13.67545813</f>
        <v>13.675458130000001</v>
      </c>
      <c r="O519">
        <f>13.73740416</f>
        <v>13.737404160000001</v>
      </c>
    </row>
    <row r="520" spans="1:15" x14ac:dyDescent="0.25">
      <c r="A520" t="str">
        <f>"                    Airframers"</f>
        <v xml:space="preserve">                    Airframers</v>
      </c>
      <c r="B520" t="str">
        <f>""</f>
        <v/>
      </c>
      <c r="E520" t="str">
        <f>"Sum"</f>
        <v>Sum</v>
      </c>
      <c r="F520">
        <f ca="1">IF(ISERROR(IF(SUM($F$521:$F$525) = 0, "", SUM($F$521:$F$525))), "", (IF(SUM($F$521:$F$525) = 0, "", SUM($F$521:$F$525))))</f>
        <v>0.94930200200000003</v>
      </c>
      <c r="G520">
        <f ca="1">IF(ISERROR(IF(SUM($G$521:$G$525) = 0, "", SUM($G$521:$G$525))), "", (IF(SUM($G$521:$G$525) = 0, "", SUM($G$521:$G$525))))</f>
        <v>2.9711900089999999</v>
      </c>
      <c r="H520">
        <f ca="1">IF(ISERROR(IF(SUM($H$521:$H$525) = 0, "", SUM($H$521:$H$525))), "", (IF(SUM($H$521:$H$525) = 0, "", SUM($H$521:$H$525))))</f>
        <v>2.8724019850000002</v>
      </c>
      <c r="I520">
        <f ca="1">IF(ISERROR(IF(SUM($I$521:$I$525) = 0, "", SUM($I$521:$I$525))), "", (IF(SUM($I$521:$I$525) = 0, "", SUM($I$521:$I$525))))</f>
        <v>3.338900132</v>
      </c>
      <c r="J520">
        <f ca="1">IF(ISERROR(IF(SUM($J$521:$J$525) = 0, "", SUM($J$521:$J$525))), "", (IF(SUM($J$521:$J$525) = 0, "", SUM($J$521:$J$525))))</f>
        <v>3.5047061660000001</v>
      </c>
      <c r="K520" t="str">
        <f>""</f>
        <v/>
      </c>
      <c r="L520">
        <f>2.97119001</f>
        <v>2.9711900099999999</v>
      </c>
      <c r="M520">
        <f>2.872401985</f>
        <v>2.8724019850000002</v>
      </c>
      <c r="N520">
        <f>3.338900131</f>
        <v>3.3389001309999999</v>
      </c>
      <c r="O520">
        <f>3.504706165</f>
        <v>3.504706165</v>
      </c>
    </row>
    <row r="521" spans="1:15" x14ac:dyDescent="0.25">
      <c r="A521" t="str">
        <f>"                        Airbus SE"</f>
        <v xml:space="preserve">                        Airbus SE</v>
      </c>
      <c r="B521" t="str">
        <f>"AIR FP Equity"</f>
        <v>AIR FP Equity</v>
      </c>
      <c r="C521" t="str">
        <f>"F0946"</f>
        <v>F0946</v>
      </c>
      <c r="D521" t="str">
        <f>"TOTAL_GHG_CO2_EMISSIONS"</f>
        <v>TOTAL_GHG_CO2_EMISSIONS</v>
      </c>
      <c r="E521" t="str">
        <f>"Dynamic"</f>
        <v>Dynamic</v>
      </c>
      <c r="F521">
        <f ca="1">IF(AND(ISNUMBER($F$1624),$B$1132=1),$F$1624,HLOOKUP(INDIRECT(ADDRESS(2,COLUMN())),OFFSET($K$2,0,0,ROW()-1,5),ROW()-1,FALSE))</f>
        <v>0.85699999999999998</v>
      </c>
      <c r="G521">
        <f ca="1">IF(AND(ISNUMBER($G$1624),$B$1132=1),$G$1624,HLOOKUP(INDIRECT(ADDRESS(2,COLUMN())),OFFSET($K$2,0,0,ROW()-1,5),ROW()-1,FALSE))</f>
        <v>0.90104998800000002</v>
      </c>
      <c r="H521">
        <f ca="1">IF(AND(ISNUMBER($H$1624),$B$1132=1),$H$1624,HLOOKUP(INDIRECT(ADDRESS(2,COLUMN())),OFFSET($K$2,0,0,ROW()-1,5),ROW()-1,FALSE))</f>
        <v>0.83487597700000005</v>
      </c>
      <c r="I521">
        <f ca="1">IF(AND(ISNUMBER($I$1624),$B$1132=1),$I$1624,HLOOKUP(INDIRECT(ADDRESS(2,COLUMN())),OFFSET($K$2,0,0,ROW()-1,5),ROW()-1,FALSE))</f>
        <v>0.95651202400000002</v>
      </c>
      <c r="J521">
        <f ca="1">IF(AND(ISNUMBER($J$1624),$B$1132=1),$J$1624,HLOOKUP(INDIRECT(ADDRESS(2,COLUMN())),OFFSET($K$2,0,0,ROW()-1,5),ROW()-1,FALSE))</f>
        <v>0.96563299599999997</v>
      </c>
      <c r="K521">
        <f>0.857</f>
        <v>0.85699999999999998</v>
      </c>
      <c r="L521">
        <f>0.901049988</f>
        <v>0.90104998800000002</v>
      </c>
      <c r="M521">
        <f>0.834875977</f>
        <v>0.83487597700000005</v>
      </c>
      <c r="N521">
        <f>0.956512024</f>
        <v>0.95651202400000002</v>
      </c>
      <c r="O521">
        <f>0.965632996</f>
        <v>0.96563299599999997</v>
      </c>
    </row>
    <row r="522" spans="1:15" x14ac:dyDescent="0.25">
      <c r="A522" t="str">
        <f>"                        Boeing Co/The"</f>
        <v xml:space="preserve">                        Boeing Co/The</v>
      </c>
      <c r="B522" t="str">
        <f>"BA US Equity"</f>
        <v>BA US Equity</v>
      </c>
      <c r="C522" t="str">
        <f>"F0946"</f>
        <v>F0946</v>
      </c>
      <c r="D522" t="str">
        <f>"TOTAL_GHG_CO2_EMISSIONS"</f>
        <v>TOTAL_GHG_CO2_EMISSIONS</v>
      </c>
      <c r="E522" t="str">
        <f>"Dynamic"</f>
        <v>Dynamic</v>
      </c>
      <c r="F522" t="str">
        <f ca="1">IF(AND(ISNUMBER($F$1625),$B$1132=1),$F$1625,HLOOKUP(INDIRECT(ADDRESS(2,COLUMN())),OFFSET($K$2,0,0,ROW()-1,5),ROW()-1,FALSE))</f>
        <v/>
      </c>
      <c r="G522">
        <f ca="1">IF(AND(ISNUMBER($G$1625),$B$1132=1),$G$1625,HLOOKUP(INDIRECT(ADDRESS(2,COLUMN())),OFFSET($K$2,0,0,ROW()-1,5),ROW()-1,FALSE))</f>
        <v>1.3680000000000001</v>
      </c>
      <c r="H522">
        <f ca="1">IF(AND(ISNUMBER($H$1625),$B$1132=1),$H$1625,HLOOKUP(INDIRECT(ADDRESS(2,COLUMN())),OFFSET($K$2,0,0,ROW()-1,5),ROW()-1,FALSE))</f>
        <v>1.36</v>
      </c>
      <c r="I522">
        <f ca="1">IF(AND(ISNUMBER($I$1625),$B$1132=1),$I$1625,HLOOKUP(INDIRECT(ADDRESS(2,COLUMN())),OFFSET($K$2,0,0,ROW()-1,5),ROW()-1,FALSE))</f>
        <v>1.484</v>
      </c>
      <c r="J522">
        <f ca="1">IF(AND(ISNUMBER($J$1625),$B$1132=1),$J$1625,HLOOKUP(INDIRECT(ADDRESS(2,COLUMN())),OFFSET($K$2,0,0,ROW()-1,5),ROW()-1,FALSE))</f>
        <v>1.538</v>
      </c>
      <c r="K522" t="str">
        <f>""</f>
        <v/>
      </c>
      <c r="L522">
        <f>1.368</f>
        <v>1.3680000000000001</v>
      </c>
      <c r="M522">
        <f>1.36</f>
        <v>1.36</v>
      </c>
      <c r="N522">
        <f>1.484</f>
        <v>1.484</v>
      </c>
      <c r="O522">
        <f>1.538</f>
        <v>1.538</v>
      </c>
    </row>
    <row r="523" spans="1:15" x14ac:dyDescent="0.25">
      <c r="A523" t="str">
        <f>"                        Bombardier Inc"</f>
        <v xml:space="preserve">                        Bombardier Inc</v>
      </c>
      <c r="B523" t="str">
        <f>"BBD/B CN Equity"</f>
        <v>BBD/B CN Equity</v>
      </c>
      <c r="C523" t="str">
        <f>"F0946"</f>
        <v>F0946</v>
      </c>
      <c r="D523" t="str">
        <f>"TOTAL_GHG_CO2_EMISSIONS"</f>
        <v>TOTAL_GHG_CO2_EMISSIONS</v>
      </c>
      <c r="E523" t="str">
        <f>"Dynamic"</f>
        <v>Dynamic</v>
      </c>
      <c r="F523">
        <f ca="1">IF(AND(ISNUMBER($F$1626),$B$1132=1),$F$1626,HLOOKUP(INDIRECT(ADDRESS(2,COLUMN())),OFFSET($K$2,0,0,ROW()-1,5),ROW()-1,FALSE))</f>
        <v>9.2302001999999994E-2</v>
      </c>
      <c r="G523">
        <f ca="1">IF(AND(ISNUMBER($G$1626),$B$1132=1),$G$1626,HLOOKUP(INDIRECT(ADDRESS(2,COLUMN())),OFFSET($K$2,0,0,ROW()-1,5),ROW()-1,FALSE))</f>
        <v>9.3514999000000001E-2</v>
      </c>
      <c r="H523">
        <f ca="1">IF(AND(ISNUMBER($H$1626),$B$1132=1),$H$1626,HLOOKUP(INDIRECT(ADDRESS(2,COLUMN())),OFFSET($K$2,0,0,ROW()-1,5),ROW()-1,FALSE))</f>
        <v>0.108632004</v>
      </c>
      <c r="I523">
        <f ca="1">IF(AND(ISNUMBER($I$1626),$B$1132=1),$I$1626,HLOOKUP(INDIRECT(ADDRESS(2,COLUMN())),OFFSET($K$2,0,0,ROW()-1,5),ROW()-1,FALSE))</f>
        <v>0.25221400500000002</v>
      </c>
      <c r="J523">
        <f ca="1">IF(AND(ISNUMBER($J$1626),$B$1132=1),$J$1626,HLOOKUP(INDIRECT(ADDRESS(2,COLUMN())),OFFSET($K$2,0,0,ROW()-1,5),ROW()-1,FALSE))</f>
        <v>0.280332001</v>
      </c>
      <c r="K523">
        <f>0.092302002</f>
        <v>9.2302001999999994E-2</v>
      </c>
      <c r="L523">
        <f>0.093514999</f>
        <v>9.3514999000000001E-2</v>
      </c>
      <c r="M523">
        <f>0.108632004</f>
        <v>0.108632004</v>
      </c>
      <c r="N523">
        <f>0.252214005</f>
        <v>0.25221400500000002</v>
      </c>
      <c r="O523">
        <f>0.280332001</f>
        <v>0.280332001</v>
      </c>
    </row>
    <row r="524" spans="1:15" x14ac:dyDescent="0.25">
      <c r="A524" t="str">
        <f>"                        Embraer SA"</f>
        <v xml:space="preserve">                        Embraer SA</v>
      </c>
      <c r="B524" t="str">
        <f>"EMBR3 BZ Equity"</f>
        <v>EMBR3 BZ Equity</v>
      </c>
      <c r="C524" t="str">
        <f>"F0946"</f>
        <v>F0946</v>
      </c>
      <c r="D524" t="str">
        <f>"TOTAL_GHG_CO2_EMISSIONS"</f>
        <v>TOTAL_GHG_CO2_EMISSIONS</v>
      </c>
      <c r="E524" t="str">
        <f>"Dynamic"</f>
        <v>Dynamic</v>
      </c>
      <c r="F524" t="str">
        <f ca="1">IF(AND(ISNUMBER($F$1627),$B$1132=1),$F$1627,HLOOKUP(INDIRECT(ADDRESS(2,COLUMN())),OFFSET($K$2,0,0,ROW()-1,5),ROW()-1,FALSE))</f>
        <v/>
      </c>
      <c r="G524">
        <f ca="1">IF(AND(ISNUMBER($G$1627),$B$1132=1),$G$1627,HLOOKUP(INDIRECT(ADDRESS(2,COLUMN())),OFFSET($K$2,0,0,ROW()-1,5),ROW()-1,FALSE))</f>
        <v>7.3000998999999997E-2</v>
      </c>
      <c r="H524">
        <f ca="1">IF(AND(ISNUMBER($H$1627),$B$1132=1),$H$1627,HLOOKUP(INDIRECT(ADDRESS(2,COLUMN())),OFFSET($K$2,0,0,ROW()-1,5),ROW()-1,FALSE))</f>
        <v>5.7652000000000002E-2</v>
      </c>
      <c r="I524">
        <f ca="1">IF(AND(ISNUMBER($I$1627),$B$1132=1),$I$1627,HLOOKUP(INDIRECT(ADDRESS(2,COLUMN())),OFFSET($K$2,0,0,ROW()-1,5),ROW()-1,FALSE))</f>
        <v>4.3070099000000001E-2</v>
      </c>
      <c r="J524">
        <f ca="1">IF(AND(ISNUMBER($J$1627),$B$1132=1),$J$1627,HLOOKUP(INDIRECT(ADDRESS(2,COLUMN())),OFFSET($K$2,0,0,ROW()-1,5),ROW()-1,FALSE))</f>
        <v>4.2396198000000003E-2</v>
      </c>
      <c r="K524" t="str">
        <f>""</f>
        <v/>
      </c>
      <c r="L524">
        <f>0.073000999</f>
        <v>7.3000998999999997E-2</v>
      </c>
      <c r="M524">
        <f>0.057652</f>
        <v>5.7652000000000002E-2</v>
      </c>
      <c r="N524">
        <f>0.043070099</f>
        <v>4.3070099000000001E-2</v>
      </c>
      <c r="O524">
        <f>0.042396198</f>
        <v>4.2396198000000003E-2</v>
      </c>
    </row>
    <row r="525" spans="1:15" x14ac:dyDescent="0.25">
      <c r="A525" t="str">
        <f>"                        Textron Inc"</f>
        <v xml:space="preserve">                        Textron Inc</v>
      </c>
      <c r="B525" t="str">
        <f>"TXT US Equity"</f>
        <v>TXT US Equity</v>
      </c>
      <c r="C525" t="str">
        <f>"F0946"</f>
        <v>F0946</v>
      </c>
      <c r="D525" t="str">
        <f>"TOTAL_GHG_CO2_EMISSIONS"</f>
        <v>TOTAL_GHG_CO2_EMISSIONS</v>
      </c>
      <c r="E525" t="str">
        <f>"Dynamic"</f>
        <v>Dynamic</v>
      </c>
      <c r="F525" t="str">
        <f ca="1">IF(AND(ISNUMBER($F$1628),$B$1132=1),$F$1628,HLOOKUP(INDIRECT(ADDRESS(2,COLUMN())),OFFSET($K$2,0,0,ROW()-1,5),ROW()-1,FALSE))</f>
        <v/>
      </c>
      <c r="G525">
        <f ca="1">IF(AND(ISNUMBER($G$1628),$B$1132=1),$G$1628,HLOOKUP(INDIRECT(ADDRESS(2,COLUMN())),OFFSET($K$2,0,0,ROW()-1,5),ROW()-1,FALSE))</f>
        <v>0.535624023</v>
      </c>
      <c r="H525">
        <f ca="1">IF(AND(ISNUMBER($H$1628),$B$1132=1),$H$1628,HLOOKUP(INDIRECT(ADDRESS(2,COLUMN())),OFFSET($K$2,0,0,ROW()-1,5),ROW()-1,FALSE))</f>
        <v>0.51124200399999997</v>
      </c>
      <c r="I525">
        <f ca="1">IF(AND(ISNUMBER($I$1628),$B$1132=1),$I$1628,HLOOKUP(INDIRECT(ADDRESS(2,COLUMN())),OFFSET($K$2,0,0,ROW()-1,5),ROW()-1,FALSE))</f>
        <v>0.60310400399999997</v>
      </c>
      <c r="J525">
        <f ca="1">IF(AND(ISNUMBER($J$1628),$B$1132=1),$J$1628,HLOOKUP(INDIRECT(ADDRESS(2,COLUMN())),OFFSET($K$2,0,0,ROW()-1,5),ROW()-1,FALSE))</f>
        <v>0.67834497100000002</v>
      </c>
      <c r="K525" t="str">
        <f>""</f>
        <v/>
      </c>
      <c r="L525">
        <f>0.535624023</f>
        <v>0.535624023</v>
      </c>
      <c r="M525">
        <f>0.511242004</f>
        <v>0.51124200399999997</v>
      </c>
      <c r="N525">
        <f>0.603104004</f>
        <v>0.60310400399999997</v>
      </c>
      <c r="O525">
        <f>0.678344971</f>
        <v>0.67834497100000002</v>
      </c>
    </row>
    <row r="526" spans="1:15" x14ac:dyDescent="0.25">
      <c r="A526" t="str">
        <f>"                    Defense"</f>
        <v xml:space="preserve">                    Defense</v>
      </c>
      <c r="B526" t="str">
        <f>""</f>
        <v/>
      </c>
      <c r="E526" t="str">
        <f>"Sum"</f>
        <v>Sum</v>
      </c>
      <c r="F526">
        <f ca="1">IF(ISERROR(IF(SUM($F$527:$F$545) = 0, "", SUM($F$527:$F$545))), "", (IF(SUM($F$527:$F$545) = 0, "", SUM($F$527:$F$545))))</f>
        <v>2.3352630000000003</v>
      </c>
      <c r="G526">
        <f ca="1">IF(ISERROR(IF(SUM($G$527:$G$545) = 0, "", SUM($G$527:$G$545))), "", (IF(SUM($G$527:$G$545) = 0, "", SUM($G$527:$G$545))))</f>
        <v>8.9665740389999993</v>
      </c>
      <c r="H526">
        <f ca="1">IF(ISERROR(IF(SUM($H$527:$H$545) = 0, "", SUM($H$527:$H$545))), "", (IF(SUM($H$527:$H$545) = 0, "", SUM($H$527:$H$545))))</f>
        <v>8.2960009650000011</v>
      </c>
      <c r="I526">
        <f ca="1">IF(ISERROR(IF(SUM($I$527:$I$545) = 0, "", SUM($I$527:$I$545))), "", (IF(SUM($I$527:$I$545) = 0, "", SUM($I$527:$I$545))))</f>
        <v>10.336557995000003</v>
      </c>
      <c r="J526">
        <f ca="1">IF(ISERROR(IF(SUM($J$527:$J$545) = 0, "", SUM($J$527:$J$545))), "", (IF(SUM($J$527:$J$545) = 0, "", SUM($J$527:$J$545))))</f>
        <v>10.232697991999999</v>
      </c>
      <c r="K526" t="str">
        <f>""</f>
        <v/>
      </c>
      <c r="L526">
        <f>8.966574039</f>
        <v>8.9665740389999993</v>
      </c>
      <c r="M526">
        <f>8.296000965</f>
        <v>8.2960009649999993</v>
      </c>
      <c r="N526">
        <f>10.33655799</f>
        <v>10.336557989999999</v>
      </c>
      <c r="O526">
        <f>10.23269799</f>
        <v>10.23269799</v>
      </c>
    </row>
    <row r="527" spans="1:15" x14ac:dyDescent="0.25">
      <c r="A527" t="str">
        <f>"                        Aerojet Rocketdyne Holdings In"</f>
        <v xml:space="preserve">                        Aerojet Rocketdyne Holdings In</v>
      </c>
      <c r="B527" t="str">
        <f>"AJRD US Equity"</f>
        <v>AJRD US Equity</v>
      </c>
      <c r="C527" t="str">
        <f t="shared" ref="C527:C545" si="57">"F0946"</f>
        <v>F0946</v>
      </c>
      <c r="D527" t="str">
        <f t="shared" ref="D527:D545" si="58">"TOTAL_GHG_CO2_EMISSIONS"</f>
        <v>TOTAL_GHG_CO2_EMISSIONS</v>
      </c>
      <c r="E527" t="str">
        <f t="shared" ref="E527:E545" si="59">"Dynamic"</f>
        <v>Dynamic</v>
      </c>
      <c r="F527" t="str">
        <f ca="1">IF(AND(ISNUMBER($F$1629),$B$1132=1),$F$1629,HLOOKUP(INDIRECT(ADDRESS(2,COLUMN())),OFFSET($K$2,0,0,ROW()-1,5),ROW()-1,FALSE))</f>
        <v/>
      </c>
      <c r="G527" t="str">
        <f ca="1">IF(AND(ISNUMBER($G$1629),$B$1132=1),$G$1629,HLOOKUP(INDIRECT(ADDRESS(2,COLUMN())),OFFSET($K$2,0,0,ROW()-1,5),ROW()-1,FALSE))</f>
        <v/>
      </c>
      <c r="H527" t="str">
        <f ca="1">IF(AND(ISNUMBER($H$1629),$B$1132=1),$H$1629,HLOOKUP(INDIRECT(ADDRESS(2,COLUMN())),OFFSET($K$2,0,0,ROW()-1,5),ROW()-1,FALSE))</f>
        <v/>
      </c>
      <c r="I527" t="str">
        <f ca="1">IF(AND(ISNUMBER($I$1629),$B$1132=1),$I$1629,HLOOKUP(INDIRECT(ADDRESS(2,COLUMN())),OFFSET($K$2,0,0,ROW()-1,5),ROW()-1,FALSE))</f>
        <v/>
      </c>
      <c r="J527" t="str">
        <f ca="1">IF(AND(ISNUMBER($J$1629),$B$1132=1),$J$1629,HLOOKUP(INDIRECT(ADDRESS(2,COLUMN())),OFFSET($K$2,0,0,ROW()-1,5),ROW()-1,FALSE))</f>
        <v/>
      </c>
      <c r="K527" t="str">
        <f>""</f>
        <v/>
      </c>
      <c r="L527" t="str">
        <f>""</f>
        <v/>
      </c>
      <c r="M527" t="str">
        <f>""</f>
        <v/>
      </c>
      <c r="N527" t="str">
        <f>""</f>
        <v/>
      </c>
      <c r="O527" t="str">
        <f>""</f>
        <v/>
      </c>
    </row>
    <row r="528" spans="1:15" x14ac:dyDescent="0.25">
      <c r="A528" t="str">
        <f>"                        Airbus SE"</f>
        <v xml:space="preserve">                        Airbus SE</v>
      </c>
      <c r="B528" t="str">
        <f>"AIR FP Equity"</f>
        <v>AIR FP Equity</v>
      </c>
      <c r="C528" t="str">
        <f t="shared" si="57"/>
        <v>F0946</v>
      </c>
      <c r="D528" t="str">
        <f t="shared" si="58"/>
        <v>TOTAL_GHG_CO2_EMISSIONS</v>
      </c>
      <c r="E528" t="str">
        <f t="shared" si="59"/>
        <v>Dynamic</v>
      </c>
      <c r="F528">
        <f ca="1">IF(AND(ISNUMBER($F$1630),$B$1132=1),$F$1630,HLOOKUP(INDIRECT(ADDRESS(2,COLUMN())),OFFSET($K$2,0,0,ROW()-1,5),ROW()-1,FALSE))</f>
        <v>0.85699999999999998</v>
      </c>
      <c r="G528">
        <f ca="1">IF(AND(ISNUMBER($G$1630),$B$1132=1),$G$1630,HLOOKUP(INDIRECT(ADDRESS(2,COLUMN())),OFFSET($K$2,0,0,ROW()-1,5),ROW()-1,FALSE))</f>
        <v>0.90104998800000002</v>
      </c>
      <c r="H528">
        <f ca="1">IF(AND(ISNUMBER($H$1630),$B$1132=1),$H$1630,HLOOKUP(INDIRECT(ADDRESS(2,COLUMN())),OFFSET($K$2,0,0,ROW()-1,5),ROW()-1,FALSE))</f>
        <v>0.83487597700000005</v>
      </c>
      <c r="I528">
        <f ca="1">IF(AND(ISNUMBER($I$1630),$B$1132=1),$I$1630,HLOOKUP(INDIRECT(ADDRESS(2,COLUMN())),OFFSET($K$2,0,0,ROW()-1,5),ROW()-1,FALSE))</f>
        <v>0.95651202400000002</v>
      </c>
      <c r="J528">
        <f ca="1">IF(AND(ISNUMBER($J$1630),$B$1132=1),$J$1630,HLOOKUP(INDIRECT(ADDRESS(2,COLUMN())),OFFSET($K$2,0,0,ROW()-1,5),ROW()-1,FALSE))</f>
        <v>0.96563299599999997</v>
      </c>
      <c r="K528">
        <f>0.857</f>
        <v>0.85699999999999998</v>
      </c>
      <c r="L528">
        <f>0.901049988</f>
        <v>0.90104998800000002</v>
      </c>
      <c r="M528">
        <f>0.834875977</f>
        <v>0.83487597700000005</v>
      </c>
      <c r="N528">
        <f>0.956512024</f>
        <v>0.95651202400000002</v>
      </c>
      <c r="O528">
        <f>0.965632996</f>
        <v>0.96563299599999997</v>
      </c>
    </row>
    <row r="529" spans="1:15" x14ac:dyDescent="0.25">
      <c r="A529" t="str">
        <f>"                        Austal Ltd"</f>
        <v xml:space="preserve">                        Austal Ltd</v>
      </c>
      <c r="B529" t="str">
        <f>"ASB AU Equity"</f>
        <v>ASB AU Equity</v>
      </c>
      <c r="C529" t="str">
        <f t="shared" si="57"/>
        <v>F0946</v>
      </c>
      <c r="D529" t="str">
        <f t="shared" si="58"/>
        <v>TOTAL_GHG_CO2_EMISSIONS</v>
      </c>
      <c r="E529" t="str">
        <f t="shared" si="59"/>
        <v>Dynamic</v>
      </c>
      <c r="F529" t="str">
        <f ca="1">IF(AND(ISNUMBER($F$1631),$B$1132=1),$F$1631,HLOOKUP(INDIRECT(ADDRESS(2,COLUMN())),OFFSET($K$2,0,0,ROW()-1,5),ROW()-1,FALSE))</f>
        <v/>
      </c>
      <c r="G529">
        <f ca="1">IF(AND(ISNUMBER($G$1631),$B$1132=1),$G$1631,HLOOKUP(INDIRECT(ADDRESS(2,COLUMN())),OFFSET($K$2,0,0,ROW()-1,5),ROW()-1,FALSE))</f>
        <v>1.7784000000000001E-2</v>
      </c>
      <c r="H529">
        <f ca="1">IF(AND(ISNUMBER($H$1631),$B$1132=1),$H$1631,HLOOKUP(INDIRECT(ADDRESS(2,COLUMN())),OFFSET($K$2,0,0,ROW()-1,5),ROW()-1,FALSE))</f>
        <v>2.8105000000000002E-2</v>
      </c>
      <c r="I529" t="str">
        <f ca="1">IF(AND(ISNUMBER($I$1631),$B$1132=1),$I$1631,HLOOKUP(INDIRECT(ADDRESS(2,COLUMN())),OFFSET($K$2,0,0,ROW()-1,5),ROW()-1,FALSE))</f>
        <v/>
      </c>
      <c r="J529" t="str">
        <f ca="1">IF(AND(ISNUMBER($J$1631),$B$1132=1),$J$1631,HLOOKUP(INDIRECT(ADDRESS(2,COLUMN())),OFFSET($K$2,0,0,ROW()-1,5),ROW()-1,FALSE))</f>
        <v/>
      </c>
      <c r="K529" t="str">
        <f>""</f>
        <v/>
      </c>
      <c r="L529">
        <f>0.017784</f>
        <v>1.7784000000000001E-2</v>
      </c>
      <c r="M529">
        <f>0.028105</f>
        <v>2.8105000000000002E-2</v>
      </c>
      <c r="N529" t="str">
        <f>""</f>
        <v/>
      </c>
      <c r="O529" t="str">
        <f>""</f>
        <v/>
      </c>
    </row>
    <row r="530" spans="1:15" x14ac:dyDescent="0.25">
      <c r="A530" t="str">
        <f>"                        AeroVironment Inc"</f>
        <v xml:space="preserve">                        AeroVironment Inc</v>
      </c>
      <c r="B530" t="str">
        <f>"AVAV US Equity"</f>
        <v>AVAV US Equity</v>
      </c>
      <c r="C530" t="str">
        <f t="shared" si="57"/>
        <v>F0946</v>
      </c>
      <c r="D530" t="str">
        <f t="shared" si="58"/>
        <v>TOTAL_GHG_CO2_EMISSIONS</v>
      </c>
      <c r="E530" t="str">
        <f t="shared" si="59"/>
        <v>Dynamic</v>
      </c>
      <c r="F530" t="str">
        <f ca="1">IF(AND(ISNUMBER($F$1632),$B$1132=1),$F$1632,HLOOKUP(INDIRECT(ADDRESS(2,COLUMN())),OFFSET($K$2,0,0,ROW()-1,5),ROW()-1,FALSE))</f>
        <v/>
      </c>
      <c r="G530" t="str">
        <f ca="1">IF(AND(ISNUMBER($G$1632),$B$1132=1),$G$1632,HLOOKUP(INDIRECT(ADDRESS(2,COLUMN())),OFFSET($K$2,0,0,ROW()-1,5),ROW()-1,FALSE))</f>
        <v/>
      </c>
      <c r="H530" t="str">
        <f ca="1">IF(AND(ISNUMBER($H$1632),$B$1132=1),$H$1632,HLOOKUP(INDIRECT(ADDRESS(2,COLUMN())),OFFSET($K$2,0,0,ROW()-1,5),ROW()-1,FALSE))</f>
        <v/>
      </c>
      <c r="I530" t="str">
        <f ca="1">IF(AND(ISNUMBER($I$1632),$B$1132=1),$I$1632,HLOOKUP(INDIRECT(ADDRESS(2,COLUMN())),OFFSET($K$2,0,0,ROW()-1,5),ROW()-1,FALSE))</f>
        <v/>
      </c>
      <c r="J530" t="str">
        <f ca="1">IF(AND(ISNUMBER($J$1632),$B$1132=1),$J$1632,HLOOKUP(INDIRECT(ADDRESS(2,COLUMN())),OFFSET($K$2,0,0,ROW()-1,5),ROW()-1,FALSE))</f>
        <v/>
      </c>
      <c r="K530" t="str">
        <f>""</f>
        <v/>
      </c>
      <c r="L530" t="str">
        <f>""</f>
        <v/>
      </c>
      <c r="M530" t="str">
        <f>""</f>
        <v/>
      </c>
      <c r="N530" t="str">
        <f>""</f>
        <v/>
      </c>
      <c r="O530" t="str">
        <f>""</f>
        <v/>
      </c>
    </row>
    <row r="531" spans="1:15" x14ac:dyDescent="0.25">
      <c r="A531" t="str">
        <f>"                        BAE Systems PLC"</f>
        <v xml:space="preserve">                        BAE Systems PLC</v>
      </c>
      <c r="B531" t="str">
        <f>"BA/ LN Equity"</f>
        <v>BA/ LN Equity</v>
      </c>
      <c r="C531" t="str">
        <f t="shared" si="57"/>
        <v>F0946</v>
      </c>
      <c r="D531" t="str">
        <f t="shared" si="58"/>
        <v>TOTAL_GHG_CO2_EMISSIONS</v>
      </c>
      <c r="E531" t="str">
        <f t="shared" si="59"/>
        <v>Dynamic</v>
      </c>
      <c r="F531" t="str">
        <f ca="1">IF(AND(ISNUMBER($F$1633),$B$1132=1),$F$1633,HLOOKUP(INDIRECT(ADDRESS(2,COLUMN())),OFFSET($K$2,0,0,ROW()-1,5),ROW()-1,FALSE))</f>
        <v/>
      </c>
      <c r="G531">
        <f ca="1">IF(AND(ISNUMBER($G$1633),$B$1132=1),$G$1633,HLOOKUP(INDIRECT(ADDRESS(2,COLUMN())),OFFSET($K$2,0,0,ROW()-1,5),ROW()-1,FALSE))</f>
        <v>0.41097601299999997</v>
      </c>
      <c r="H531">
        <f ca="1">IF(AND(ISNUMBER($H$1633),$B$1132=1),$H$1633,HLOOKUP(INDIRECT(ADDRESS(2,COLUMN())),OFFSET($K$2,0,0,ROW()-1,5),ROW()-1,FALSE))</f>
        <v>0.487397003</v>
      </c>
      <c r="I531">
        <f ca="1">IF(AND(ISNUMBER($I$1633),$B$1132=1),$I$1633,HLOOKUP(INDIRECT(ADDRESS(2,COLUMN())),OFFSET($K$2,0,0,ROW()-1,5),ROW()-1,FALSE))</f>
        <v>0.96543597400000003</v>
      </c>
      <c r="J531">
        <f ca="1">IF(AND(ISNUMBER($J$1633),$B$1132=1),$J$1633,HLOOKUP(INDIRECT(ADDRESS(2,COLUMN())),OFFSET($K$2,0,0,ROW()-1,5),ROW()-1,FALSE))</f>
        <v>1.020429993</v>
      </c>
      <c r="K531" t="str">
        <f>""</f>
        <v/>
      </c>
      <c r="L531">
        <f>0.410976013</f>
        <v>0.41097601299999997</v>
      </c>
      <c r="M531">
        <f>0.487397003</f>
        <v>0.487397003</v>
      </c>
      <c r="N531">
        <f>0.965435974</f>
        <v>0.96543597400000003</v>
      </c>
      <c r="O531">
        <f>1.020429993</f>
        <v>1.020429993</v>
      </c>
    </row>
    <row r="532" spans="1:15" x14ac:dyDescent="0.25">
      <c r="A532" t="str">
        <f>"                        Boeing Co/The"</f>
        <v xml:space="preserve">                        Boeing Co/The</v>
      </c>
      <c r="B532" t="str">
        <f>"BA US Equity"</f>
        <v>BA US Equity</v>
      </c>
      <c r="C532" t="str">
        <f t="shared" si="57"/>
        <v>F0946</v>
      </c>
      <c r="D532" t="str">
        <f t="shared" si="58"/>
        <v>TOTAL_GHG_CO2_EMISSIONS</v>
      </c>
      <c r="E532" t="str">
        <f t="shared" si="59"/>
        <v>Dynamic</v>
      </c>
      <c r="F532" t="str">
        <f ca="1">IF(AND(ISNUMBER($F$1634),$B$1132=1),$F$1634,HLOOKUP(INDIRECT(ADDRESS(2,COLUMN())),OFFSET($K$2,0,0,ROW()-1,5),ROW()-1,FALSE))</f>
        <v/>
      </c>
      <c r="G532">
        <f ca="1">IF(AND(ISNUMBER($G$1634),$B$1132=1),$G$1634,HLOOKUP(INDIRECT(ADDRESS(2,COLUMN())),OFFSET($K$2,0,0,ROW()-1,5),ROW()-1,FALSE))</f>
        <v>1.3680000000000001</v>
      </c>
      <c r="H532">
        <f ca="1">IF(AND(ISNUMBER($H$1634),$B$1132=1),$H$1634,HLOOKUP(INDIRECT(ADDRESS(2,COLUMN())),OFFSET($K$2,0,0,ROW()-1,5),ROW()-1,FALSE))</f>
        <v>1.36</v>
      </c>
      <c r="I532">
        <f ca="1">IF(AND(ISNUMBER($I$1634),$B$1132=1),$I$1634,HLOOKUP(INDIRECT(ADDRESS(2,COLUMN())),OFFSET($K$2,0,0,ROW()-1,5),ROW()-1,FALSE))</f>
        <v>1.484</v>
      </c>
      <c r="J532">
        <f ca="1">IF(AND(ISNUMBER($J$1634),$B$1132=1),$J$1634,HLOOKUP(INDIRECT(ADDRESS(2,COLUMN())),OFFSET($K$2,0,0,ROW()-1,5),ROW()-1,FALSE))</f>
        <v>1.538</v>
      </c>
      <c r="K532" t="str">
        <f>""</f>
        <v/>
      </c>
      <c r="L532">
        <f>1.368</f>
        <v>1.3680000000000001</v>
      </c>
      <c r="M532">
        <f>1.36</f>
        <v>1.36</v>
      </c>
      <c r="N532">
        <f>1.484</f>
        <v>1.484</v>
      </c>
      <c r="O532">
        <f>1.538</f>
        <v>1.538</v>
      </c>
    </row>
    <row r="533" spans="1:15" x14ac:dyDescent="0.25">
      <c r="A533" t="str">
        <f>"                        Dassault Aviation SA"</f>
        <v xml:space="preserve">                        Dassault Aviation SA</v>
      </c>
      <c r="B533" t="str">
        <f>"AM FP Equity"</f>
        <v>AM FP Equity</v>
      </c>
      <c r="C533" t="str">
        <f t="shared" si="57"/>
        <v>F0946</v>
      </c>
      <c r="D533" t="str">
        <f t="shared" si="58"/>
        <v>TOTAL_GHG_CO2_EMISSIONS</v>
      </c>
      <c r="E533" t="str">
        <f t="shared" si="59"/>
        <v>Dynamic</v>
      </c>
      <c r="F533">
        <f ca="1">IF(AND(ISNUMBER($F$1635),$B$1132=1),$F$1635,HLOOKUP(INDIRECT(ADDRESS(2,COLUMN())),OFFSET($K$2,0,0,ROW()-1,5),ROW()-1,FALSE))</f>
        <v>7.2397003000000001E-2</v>
      </c>
      <c r="G533">
        <f ca="1">IF(AND(ISNUMBER($G$1635),$B$1132=1),$G$1635,HLOOKUP(INDIRECT(ADDRESS(2,COLUMN())),OFFSET($K$2,0,0,ROW()-1,5),ROW()-1,FALSE))</f>
        <v>8.6386002000000003E-2</v>
      </c>
      <c r="H533">
        <f ca="1">IF(AND(ISNUMBER($H$1635),$B$1132=1),$H$1635,HLOOKUP(INDIRECT(ADDRESS(2,COLUMN())),OFFSET($K$2,0,0,ROW()-1,5),ROW()-1,FALSE))</f>
        <v>7.8453002999999993E-2</v>
      </c>
      <c r="I533">
        <f ca="1">IF(AND(ISNUMBER($I$1635),$B$1132=1),$I$1635,HLOOKUP(INDIRECT(ADDRESS(2,COLUMN())),OFFSET($K$2,0,0,ROW()-1,5),ROW()-1,FALSE))</f>
        <v>9.4540000999999999E-2</v>
      </c>
      <c r="J533">
        <f ca="1">IF(AND(ISNUMBER($J$1635),$B$1132=1),$J$1635,HLOOKUP(INDIRECT(ADDRESS(2,COLUMN())),OFFSET($K$2,0,0,ROW()-1,5),ROW()-1,FALSE))</f>
        <v>9.0776999999999997E-2</v>
      </c>
      <c r="K533">
        <f>0.072397003</f>
        <v>7.2397003000000001E-2</v>
      </c>
      <c r="L533">
        <f>0.086386002</f>
        <v>8.6386002000000003E-2</v>
      </c>
      <c r="M533">
        <f>0.078453003</f>
        <v>7.8453002999999993E-2</v>
      </c>
      <c r="N533">
        <f>0.094540001</f>
        <v>9.4540000999999999E-2</v>
      </c>
      <c r="O533">
        <f>0.090777</f>
        <v>9.0776999999999997E-2</v>
      </c>
    </row>
    <row r="534" spans="1:15" x14ac:dyDescent="0.25">
      <c r="A534" t="str">
        <f>"                        General Dynamics Corp"</f>
        <v xml:space="preserve">                        General Dynamics Corp</v>
      </c>
      <c r="B534" t="str">
        <f>"GD US Equity"</f>
        <v>GD US Equity</v>
      </c>
      <c r="C534" t="str">
        <f t="shared" si="57"/>
        <v>F0946</v>
      </c>
      <c r="D534" t="str">
        <f t="shared" si="58"/>
        <v>TOTAL_GHG_CO2_EMISSIONS</v>
      </c>
      <c r="E534" t="str">
        <f t="shared" si="59"/>
        <v>Dynamic</v>
      </c>
      <c r="F534" t="str">
        <f ca="1">IF(AND(ISNUMBER($F$1636),$B$1132=1),$F$1636,HLOOKUP(INDIRECT(ADDRESS(2,COLUMN())),OFFSET($K$2,0,0,ROW()-1,5),ROW()-1,FALSE))</f>
        <v/>
      </c>
      <c r="G534">
        <f ca="1">IF(AND(ISNUMBER($G$1636),$B$1132=1),$G$1636,HLOOKUP(INDIRECT(ADDRESS(2,COLUMN())),OFFSET($K$2,0,0,ROW()-1,5),ROW()-1,FALSE))</f>
        <v>0.71399999999999997</v>
      </c>
      <c r="H534" t="str">
        <f ca="1">IF(AND(ISNUMBER($H$1636),$B$1132=1),$H$1636,HLOOKUP(INDIRECT(ADDRESS(2,COLUMN())),OFFSET($K$2,0,0,ROW()-1,5),ROW()-1,FALSE))</f>
        <v/>
      </c>
      <c r="I534">
        <f ca="1">IF(AND(ISNUMBER($I$1636),$B$1132=1),$I$1636,HLOOKUP(INDIRECT(ADDRESS(2,COLUMN())),OFFSET($K$2,0,0,ROW()-1,5),ROW()-1,FALSE))</f>
        <v>0.76219999999999999</v>
      </c>
      <c r="J534">
        <f ca="1">IF(AND(ISNUMBER($J$1636),$B$1132=1),$J$1636,HLOOKUP(INDIRECT(ADDRESS(2,COLUMN())),OFFSET($K$2,0,0,ROW()-1,5),ROW()-1,FALSE))</f>
        <v>0.79416101100000003</v>
      </c>
      <c r="K534" t="str">
        <f>""</f>
        <v/>
      </c>
      <c r="L534">
        <f>0.714</f>
        <v>0.71399999999999997</v>
      </c>
      <c r="M534" t="str">
        <f>""</f>
        <v/>
      </c>
      <c r="N534">
        <f>0.7622</f>
        <v>0.76219999999999999</v>
      </c>
      <c r="O534">
        <f>0.794161011</f>
        <v>0.79416101100000003</v>
      </c>
    </row>
    <row r="535" spans="1:15" x14ac:dyDescent="0.25">
      <c r="A535" t="str">
        <f>"                        Huntington Ingalls Industries"</f>
        <v xml:space="preserve">                        Huntington Ingalls Industries</v>
      </c>
      <c r="B535" t="str">
        <f>"HII US Equity"</f>
        <v>HII US Equity</v>
      </c>
      <c r="C535" t="str">
        <f t="shared" si="57"/>
        <v>F0946</v>
      </c>
      <c r="D535" t="str">
        <f t="shared" si="58"/>
        <v>TOTAL_GHG_CO2_EMISSIONS</v>
      </c>
      <c r="E535" t="str">
        <f t="shared" si="59"/>
        <v>Dynamic</v>
      </c>
      <c r="F535" t="str">
        <f ca="1">IF(AND(ISNUMBER($F$1637),$B$1132=1),$F$1637,HLOOKUP(INDIRECT(ADDRESS(2,COLUMN())),OFFSET($K$2,0,0,ROW()-1,5),ROW()-1,FALSE))</f>
        <v/>
      </c>
      <c r="G535" t="str">
        <f ca="1">IF(AND(ISNUMBER($G$1637),$B$1132=1),$G$1637,HLOOKUP(INDIRECT(ADDRESS(2,COLUMN())),OFFSET($K$2,0,0,ROW()-1,5),ROW()-1,FALSE))</f>
        <v/>
      </c>
      <c r="H535" t="str">
        <f ca="1">IF(AND(ISNUMBER($H$1637),$B$1132=1),$H$1637,HLOOKUP(INDIRECT(ADDRESS(2,COLUMN())),OFFSET($K$2,0,0,ROW()-1,5),ROW()-1,FALSE))</f>
        <v/>
      </c>
      <c r="I535" t="str">
        <f ca="1">IF(AND(ISNUMBER($I$1637),$B$1132=1),$I$1637,HLOOKUP(INDIRECT(ADDRESS(2,COLUMN())),OFFSET($K$2,0,0,ROW()-1,5),ROW()-1,FALSE))</f>
        <v/>
      </c>
      <c r="J535" t="str">
        <f ca="1">IF(AND(ISNUMBER($J$1637),$B$1132=1),$J$1637,HLOOKUP(INDIRECT(ADDRESS(2,COLUMN())),OFFSET($K$2,0,0,ROW()-1,5),ROW()-1,FALSE))</f>
        <v/>
      </c>
      <c r="K535" t="str">
        <f>""</f>
        <v/>
      </c>
      <c r="L535" t="str">
        <f>""</f>
        <v/>
      </c>
      <c r="M535" t="str">
        <f>""</f>
        <v/>
      </c>
      <c r="N535" t="str">
        <f>""</f>
        <v/>
      </c>
      <c r="O535" t="str">
        <f>""</f>
        <v/>
      </c>
    </row>
    <row r="536" spans="1:15" x14ac:dyDescent="0.25">
      <c r="A536" t="str">
        <f>"                        L3Harris Technologies Inc"</f>
        <v xml:space="preserve">                        L3Harris Technologies Inc</v>
      </c>
      <c r="B536" t="str">
        <f>"LHX US Equity"</f>
        <v>LHX US Equity</v>
      </c>
      <c r="C536" t="str">
        <f t="shared" si="57"/>
        <v>F0946</v>
      </c>
      <c r="D536" t="str">
        <f t="shared" si="58"/>
        <v>TOTAL_GHG_CO2_EMISSIONS</v>
      </c>
      <c r="E536" t="str">
        <f t="shared" si="59"/>
        <v>Dynamic</v>
      </c>
      <c r="F536">
        <f ca="1">IF(AND(ISNUMBER($F$1638),$B$1132=1),$F$1638,HLOOKUP(INDIRECT(ADDRESS(2,COLUMN())),OFFSET($K$2,0,0,ROW()-1,5),ROW()-1,FALSE))</f>
        <v>0.22847500600000001</v>
      </c>
      <c r="G536">
        <f ca="1">IF(AND(ISNUMBER($G$1638),$B$1132=1),$G$1638,HLOOKUP(INDIRECT(ADDRESS(2,COLUMN())),OFFSET($K$2,0,0,ROW()-1,5),ROW()-1,FALSE))</f>
        <v>0.27628799399999998</v>
      </c>
      <c r="H536">
        <f ca="1">IF(AND(ISNUMBER($H$1638),$B$1132=1),$H$1638,HLOOKUP(INDIRECT(ADDRESS(2,COLUMN())),OFFSET($K$2,0,0,ROW()-1,5),ROW()-1,FALSE))</f>
        <v>0.37771200599999999</v>
      </c>
      <c r="I536">
        <f ca="1">IF(AND(ISNUMBER($I$1638),$B$1132=1),$I$1638,HLOOKUP(INDIRECT(ADDRESS(2,COLUMN())),OFFSET($K$2,0,0,ROW()-1,5),ROW()-1,FALSE))</f>
        <v>0.34949301199999999</v>
      </c>
      <c r="J536" t="str">
        <f ca="1">IF(AND(ISNUMBER($J$1638),$B$1132=1),$J$1638,HLOOKUP(INDIRECT(ADDRESS(2,COLUMN())),OFFSET($K$2,0,0,ROW()-1,5),ROW()-1,FALSE))</f>
        <v/>
      </c>
      <c r="K536">
        <f>0.228475006</f>
        <v>0.22847500600000001</v>
      </c>
      <c r="L536">
        <f>0.276287994</f>
        <v>0.27628799399999998</v>
      </c>
      <c r="M536">
        <f>0.377712006</f>
        <v>0.37771200599999999</v>
      </c>
      <c r="N536">
        <f>0.349493012</f>
        <v>0.34949301199999999</v>
      </c>
      <c r="O536" t="str">
        <f>""</f>
        <v/>
      </c>
    </row>
    <row r="537" spans="1:15" x14ac:dyDescent="0.25">
      <c r="A537" t="str">
        <f>"                        Leonardo SpA"</f>
        <v xml:space="preserve">                        Leonardo SpA</v>
      </c>
      <c r="B537" t="str">
        <f>"LDO IM Equity"</f>
        <v>LDO IM Equity</v>
      </c>
      <c r="C537" t="str">
        <f t="shared" si="57"/>
        <v>F0946</v>
      </c>
      <c r="D537" t="str">
        <f t="shared" si="58"/>
        <v>TOTAL_GHG_CO2_EMISSIONS</v>
      </c>
      <c r="E537" t="str">
        <f t="shared" si="59"/>
        <v>Dynamic</v>
      </c>
      <c r="F537">
        <f ca="1">IF(AND(ISNUMBER($F$1639),$B$1132=1),$F$1639,HLOOKUP(INDIRECT(ADDRESS(2,COLUMN())),OFFSET($K$2,0,0,ROW()-1,5),ROW()-1,FALSE))</f>
        <v>0.42614700300000002</v>
      </c>
      <c r="G537">
        <f ca="1">IF(AND(ISNUMBER($G$1639),$B$1132=1),$G$1639,HLOOKUP(INDIRECT(ADDRESS(2,COLUMN())),OFFSET($K$2,0,0,ROW()-1,5),ROW()-1,FALSE))</f>
        <v>0.47889099099999999</v>
      </c>
      <c r="H537">
        <f ca="1">IF(AND(ISNUMBER($H$1639),$B$1132=1),$H$1639,HLOOKUP(INDIRECT(ADDRESS(2,COLUMN())),OFFSET($K$2,0,0,ROW()-1,5),ROW()-1,FALSE))</f>
        <v>0.60866900599999996</v>
      </c>
      <c r="I537">
        <f ca="1">IF(AND(ISNUMBER($I$1639),$B$1132=1),$I$1639,HLOOKUP(INDIRECT(ADDRESS(2,COLUMN())),OFFSET($K$2,0,0,ROW()-1,5),ROW()-1,FALSE))</f>
        <v>0.60024798599999996</v>
      </c>
      <c r="J537">
        <f ca="1">IF(AND(ISNUMBER($J$1639),$B$1132=1),$J$1639,HLOOKUP(INDIRECT(ADDRESS(2,COLUMN())),OFFSET($K$2,0,0,ROW()-1,5),ROW()-1,FALSE))</f>
        <v>0.54897399899999999</v>
      </c>
      <c r="K537">
        <f>0.426147003</f>
        <v>0.42614700300000002</v>
      </c>
      <c r="L537">
        <f>0.478890991</f>
        <v>0.47889099099999999</v>
      </c>
      <c r="M537">
        <f>0.608669006</f>
        <v>0.60866900599999996</v>
      </c>
      <c r="N537">
        <f>0.600247986</f>
        <v>0.60024798599999996</v>
      </c>
      <c r="O537">
        <f>0.548973999</f>
        <v>0.54897399899999999</v>
      </c>
    </row>
    <row r="538" spans="1:15" x14ac:dyDescent="0.25">
      <c r="A538" t="str">
        <f>"                        Lockheed Martin Corp"</f>
        <v xml:space="preserve">                        Lockheed Martin Corp</v>
      </c>
      <c r="B538" t="str">
        <f>"LMT US Equity"</f>
        <v>LMT US Equity</v>
      </c>
      <c r="C538" t="str">
        <f t="shared" si="57"/>
        <v>F0946</v>
      </c>
      <c r="D538" t="str">
        <f t="shared" si="58"/>
        <v>TOTAL_GHG_CO2_EMISSIONS</v>
      </c>
      <c r="E538" t="str">
        <f t="shared" si="59"/>
        <v>Dynamic</v>
      </c>
      <c r="F538" t="str">
        <f ca="1">IF(AND(ISNUMBER($F$1640),$B$1132=1),$F$1640,HLOOKUP(INDIRECT(ADDRESS(2,COLUMN())),OFFSET($K$2,0,0,ROW()-1,5),ROW()-1,FALSE))</f>
        <v/>
      </c>
      <c r="G538">
        <f ca="1">IF(AND(ISNUMBER($G$1640),$B$1132=1),$G$1640,HLOOKUP(INDIRECT(ADDRESS(2,COLUMN())),OFFSET($K$2,0,0,ROW()-1,5),ROW()-1,FALSE))</f>
        <v>0.85227301</v>
      </c>
      <c r="H538">
        <f ca="1">IF(AND(ISNUMBER($H$1640),$B$1132=1),$H$1640,HLOOKUP(INDIRECT(ADDRESS(2,COLUMN())),OFFSET($K$2,0,0,ROW()-1,5),ROW()-1,FALSE))</f>
        <v>0.91883697499999994</v>
      </c>
      <c r="I538">
        <f ca="1">IF(AND(ISNUMBER($I$1640),$B$1132=1),$I$1640,HLOOKUP(INDIRECT(ADDRESS(2,COLUMN())),OFFSET($K$2,0,0,ROW()-1,5),ROW()-1,FALSE))</f>
        <v>0.96802099600000002</v>
      </c>
      <c r="J538">
        <f ca="1">IF(AND(ISNUMBER($J$1640),$B$1132=1),$J$1640,HLOOKUP(INDIRECT(ADDRESS(2,COLUMN())),OFFSET($K$2,0,0,ROW()-1,5),ROW()-1,FALSE))</f>
        <v>0.96463000499999996</v>
      </c>
      <c r="K538" t="str">
        <f>""</f>
        <v/>
      </c>
      <c r="L538">
        <f>0.85227301</f>
        <v>0.85227301</v>
      </c>
      <c r="M538">
        <f>0.918836975</f>
        <v>0.91883697499999994</v>
      </c>
      <c r="N538">
        <f>0.968020996</f>
        <v>0.96802099600000002</v>
      </c>
      <c r="O538">
        <f>0.964630005</f>
        <v>0.96463000499999996</v>
      </c>
    </row>
    <row r="539" spans="1:15" x14ac:dyDescent="0.25">
      <c r="A539" t="str">
        <f>"                        Northrop Grumman Corp"</f>
        <v xml:space="preserve">                        Northrop Grumman Corp</v>
      </c>
      <c r="B539" t="str">
        <f>"NOC US Equity"</f>
        <v>NOC US Equity</v>
      </c>
      <c r="C539" t="str">
        <f t="shared" si="57"/>
        <v>F0946</v>
      </c>
      <c r="D539" t="str">
        <f t="shared" si="58"/>
        <v>TOTAL_GHG_CO2_EMISSIONS</v>
      </c>
      <c r="E539" t="str">
        <f t="shared" si="59"/>
        <v>Dynamic</v>
      </c>
      <c r="F539">
        <f ca="1">IF(AND(ISNUMBER($F$1641),$B$1132=1),$F$1641,HLOOKUP(INDIRECT(ADDRESS(2,COLUMN())),OFFSET($K$2,0,0,ROW()-1,5),ROW()-1,FALSE))</f>
        <v>0.28223999</v>
      </c>
      <c r="G539">
        <f ca="1">IF(AND(ISNUMBER($G$1641),$B$1132=1),$G$1641,HLOOKUP(INDIRECT(ADDRESS(2,COLUMN())),OFFSET($K$2,0,0,ROW()-1,5),ROW()-1,FALSE))</f>
        <v>0.73502697800000005</v>
      </c>
      <c r="H539">
        <f ca="1">IF(AND(ISNUMBER($H$1641),$B$1132=1),$H$1641,HLOOKUP(INDIRECT(ADDRESS(2,COLUMN())),OFFSET($K$2,0,0,ROW()-1,5),ROW()-1,FALSE))</f>
        <v>0.42366799900000002</v>
      </c>
      <c r="I539">
        <f ca="1">IF(AND(ISNUMBER($I$1641),$B$1132=1),$I$1641,HLOOKUP(INDIRECT(ADDRESS(2,COLUMN())),OFFSET($K$2,0,0,ROW()-1,5),ROW()-1,FALSE))</f>
        <v>0.48495901499999999</v>
      </c>
      <c r="J539">
        <f ca="1">IF(AND(ISNUMBER($J$1641),$B$1132=1),$J$1641,HLOOKUP(INDIRECT(ADDRESS(2,COLUMN())),OFFSET($K$2,0,0,ROW()-1,5),ROW()-1,FALSE))</f>
        <v>0.49962701399999998</v>
      </c>
      <c r="K539">
        <f>0.28223999</f>
        <v>0.28223999</v>
      </c>
      <c r="L539">
        <f>0.735026978</f>
        <v>0.73502697800000005</v>
      </c>
      <c r="M539">
        <f>0.423667999</f>
        <v>0.42366799900000002</v>
      </c>
      <c r="N539">
        <f>0.484959015</f>
        <v>0.48495901499999999</v>
      </c>
      <c r="O539">
        <f>0.499627014</f>
        <v>0.49962701399999998</v>
      </c>
    </row>
    <row r="540" spans="1:15" x14ac:dyDescent="0.25">
      <c r="A540" t="str">
        <f>"                        Oshkosh Corp"</f>
        <v xml:space="preserve">                        Oshkosh Corp</v>
      </c>
      <c r="B540" t="str">
        <f>"OSK US Equity"</f>
        <v>OSK US Equity</v>
      </c>
      <c r="C540" t="str">
        <f t="shared" si="57"/>
        <v>F0946</v>
      </c>
      <c r="D540" t="str">
        <f t="shared" si="58"/>
        <v>TOTAL_GHG_CO2_EMISSIONS</v>
      </c>
      <c r="E540" t="str">
        <f t="shared" si="59"/>
        <v>Dynamic</v>
      </c>
      <c r="F540" t="str">
        <f ca="1">IF(AND(ISNUMBER($F$1642),$B$1132=1),$F$1642,HLOOKUP(INDIRECT(ADDRESS(2,COLUMN())),OFFSET($K$2,0,0,ROW()-1,5),ROW()-1,FALSE))</f>
        <v/>
      </c>
      <c r="G540">
        <f ca="1">IF(AND(ISNUMBER($G$1642),$B$1132=1),$G$1642,HLOOKUP(INDIRECT(ADDRESS(2,COLUMN())),OFFSET($K$2,0,0,ROW()-1,5),ROW()-1,FALSE))</f>
        <v>0.12947099300000001</v>
      </c>
      <c r="H540">
        <f ca="1">IF(AND(ISNUMBER($H$1642),$B$1132=1),$H$1642,HLOOKUP(INDIRECT(ADDRESS(2,COLUMN())),OFFSET($K$2,0,0,ROW()-1,5),ROW()-1,FALSE))</f>
        <v>0.14357800300000001</v>
      </c>
      <c r="I540">
        <f ca="1">IF(AND(ISNUMBER($I$1642),$B$1132=1),$I$1642,HLOOKUP(INDIRECT(ADDRESS(2,COLUMN())),OFFSET($K$2,0,0,ROW()-1,5),ROW()-1,FALSE))</f>
        <v>0.16275000000000001</v>
      </c>
      <c r="J540">
        <f ca="1">IF(AND(ISNUMBER($J$1642),$B$1132=1),$J$1642,HLOOKUP(INDIRECT(ADDRESS(2,COLUMN())),OFFSET($K$2,0,0,ROW()-1,5),ROW()-1,FALSE))</f>
        <v>0.16190499899999999</v>
      </c>
      <c r="K540" t="str">
        <f>""</f>
        <v/>
      </c>
      <c r="L540">
        <f>0.129470993</f>
        <v>0.12947099300000001</v>
      </c>
      <c r="M540">
        <f>0.143578003</f>
        <v>0.14357800300000001</v>
      </c>
      <c r="N540">
        <f>0.16275</f>
        <v>0.16275000000000001</v>
      </c>
      <c r="O540">
        <f>0.161904999</f>
        <v>0.16190499899999999</v>
      </c>
    </row>
    <row r="541" spans="1:15" x14ac:dyDescent="0.25">
      <c r="A541" t="str">
        <f>"                        Rheinmetall AG"</f>
        <v xml:space="preserve">                        Rheinmetall AG</v>
      </c>
      <c r="B541" t="str">
        <f>"RHM GR Equity"</f>
        <v>RHM GR Equity</v>
      </c>
      <c r="C541" t="str">
        <f t="shared" si="57"/>
        <v>F0946</v>
      </c>
      <c r="D541" t="str">
        <f t="shared" si="58"/>
        <v>TOTAL_GHG_CO2_EMISSIONS</v>
      </c>
      <c r="E541" t="str">
        <f t="shared" si="59"/>
        <v>Dynamic</v>
      </c>
      <c r="F541">
        <f ca="1">IF(AND(ISNUMBER($F$1643),$B$1132=1),$F$1643,HLOOKUP(INDIRECT(ADDRESS(2,COLUMN())),OFFSET($K$2,0,0,ROW()-1,5),ROW()-1,FALSE))</f>
        <v>0.32100399800000001</v>
      </c>
      <c r="G541">
        <f ca="1">IF(AND(ISNUMBER($G$1643),$B$1132=1),$G$1643,HLOOKUP(INDIRECT(ADDRESS(2,COLUMN())),OFFSET($K$2,0,0,ROW()-1,5),ROW()-1,FALSE))</f>
        <v>0.45088101200000003</v>
      </c>
      <c r="H541">
        <f ca="1">IF(AND(ISNUMBER($H$1643),$B$1132=1),$H$1643,HLOOKUP(INDIRECT(ADDRESS(2,COLUMN())),OFFSET($K$2,0,0,ROW()-1,5),ROW()-1,FALSE))</f>
        <v>0.410403992</v>
      </c>
      <c r="I541">
        <f ca="1">IF(AND(ISNUMBER($I$1643),$B$1132=1),$I$1643,HLOOKUP(INDIRECT(ADDRESS(2,COLUMN())),OFFSET($K$2,0,0,ROW()-1,5),ROW()-1,FALSE))</f>
        <v>0.46471600299999999</v>
      </c>
      <c r="J541">
        <f ca="1">IF(AND(ISNUMBER($J$1643),$B$1132=1),$J$1643,HLOOKUP(INDIRECT(ADDRESS(2,COLUMN())),OFFSET($K$2,0,0,ROW()-1,5),ROW()-1,FALSE))</f>
        <v>0.40211801200000002</v>
      </c>
      <c r="K541">
        <f>0.321003998</f>
        <v>0.32100399800000001</v>
      </c>
      <c r="L541">
        <f>0.450881012</f>
        <v>0.45088101200000003</v>
      </c>
      <c r="M541">
        <f>0.410403992</f>
        <v>0.410403992</v>
      </c>
      <c r="N541">
        <f>0.464716003</f>
        <v>0.46471600299999999</v>
      </c>
      <c r="O541">
        <f>0.402118012</f>
        <v>0.40211801200000002</v>
      </c>
    </row>
    <row r="542" spans="1:15" x14ac:dyDescent="0.25">
      <c r="A542" t="str">
        <f>"                        Raytheon Technologies Corp"</f>
        <v xml:space="preserve">                        Raytheon Technologies Corp</v>
      </c>
      <c r="B542" t="str">
        <f>"RTX US Equity"</f>
        <v>RTX US Equity</v>
      </c>
      <c r="C542" t="str">
        <f t="shared" si="57"/>
        <v>F0946</v>
      </c>
      <c r="D542" t="str">
        <f t="shared" si="58"/>
        <v>TOTAL_GHG_CO2_EMISSIONS</v>
      </c>
      <c r="E542" t="str">
        <f t="shared" si="59"/>
        <v>Dynamic</v>
      </c>
      <c r="F542" t="str">
        <f ca="1">IF(AND(ISNUMBER($F$1644),$B$1132=1),$F$1644,HLOOKUP(INDIRECT(ADDRESS(2,COLUMN())),OFFSET($K$2,0,0,ROW()-1,5),ROW()-1,FALSE))</f>
        <v/>
      </c>
      <c r="G542">
        <f ca="1">IF(AND(ISNUMBER($G$1644),$B$1132=1),$G$1644,HLOOKUP(INDIRECT(ADDRESS(2,COLUMN())),OFFSET($K$2,0,0,ROW()-1,5),ROW()-1,FALSE))</f>
        <v>1.45402002</v>
      </c>
      <c r="H542">
        <f ca="1">IF(AND(ISNUMBER($H$1644),$B$1132=1),$H$1644,HLOOKUP(INDIRECT(ADDRESS(2,COLUMN())),OFFSET($K$2,0,0,ROW()-1,5),ROW()-1,FALSE))</f>
        <v>1.5386099849999999</v>
      </c>
      <c r="I542">
        <f ca="1">IF(AND(ISNUMBER($I$1644),$B$1132=1),$I$1644,HLOOKUP(INDIRECT(ADDRESS(2,COLUMN())),OFFSET($K$2,0,0,ROW()-1,5),ROW()-1,FALSE))</f>
        <v>1.758099976</v>
      </c>
      <c r="J542">
        <f ca="1">IF(AND(ISNUMBER($J$1644),$B$1132=1),$J$1644,HLOOKUP(INDIRECT(ADDRESS(2,COLUMN())),OFFSET($K$2,0,0,ROW()-1,5),ROW()-1,FALSE))</f>
        <v>1.9</v>
      </c>
      <c r="K542" t="str">
        <f>""</f>
        <v/>
      </c>
      <c r="L542">
        <f>1.45402002</f>
        <v>1.45402002</v>
      </c>
      <c r="M542">
        <f>1.538609985</f>
        <v>1.5386099849999999</v>
      </c>
      <c r="N542">
        <f>1.758099976</f>
        <v>1.758099976</v>
      </c>
      <c r="O542">
        <f>1.9</f>
        <v>1.9</v>
      </c>
    </row>
    <row r="543" spans="1:15" x14ac:dyDescent="0.25">
      <c r="A543" t="str">
        <f>"                        Spirit AeroSystems Holdings In"</f>
        <v xml:space="preserve">                        Spirit AeroSystems Holdings In</v>
      </c>
      <c r="B543" t="str">
        <f>"SPR US Equity"</f>
        <v>SPR US Equity</v>
      </c>
      <c r="C543" t="str">
        <f t="shared" si="57"/>
        <v>F0946</v>
      </c>
      <c r="D543" t="str">
        <f t="shared" si="58"/>
        <v>TOTAL_GHG_CO2_EMISSIONS</v>
      </c>
      <c r="E543" t="str">
        <f t="shared" si="59"/>
        <v>Dynamic</v>
      </c>
      <c r="F543" t="str">
        <f ca="1">IF(AND(ISNUMBER($F$1645),$B$1132=1),$F$1645,HLOOKUP(INDIRECT(ADDRESS(2,COLUMN())),OFFSET($K$2,0,0,ROW()-1,5),ROW()-1,FALSE))</f>
        <v/>
      </c>
      <c r="G543">
        <f ca="1">IF(AND(ISNUMBER($G$1645),$B$1132=1),$G$1645,HLOOKUP(INDIRECT(ADDRESS(2,COLUMN())),OFFSET($K$2,0,0,ROW()-1,5),ROW()-1,FALSE))</f>
        <v>0.32690301500000002</v>
      </c>
      <c r="H543">
        <f ca="1">IF(AND(ISNUMBER($H$1645),$B$1132=1),$H$1645,HLOOKUP(INDIRECT(ADDRESS(2,COLUMN())),OFFSET($K$2,0,0,ROW()-1,5),ROW()-1,FALSE))</f>
        <v>0.33145001200000002</v>
      </c>
      <c r="I543">
        <f ca="1">IF(AND(ISNUMBER($I$1645),$B$1132=1),$I$1645,HLOOKUP(INDIRECT(ADDRESS(2,COLUMN())),OFFSET($K$2,0,0,ROW()-1,5),ROW()-1,FALSE))</f>
        <v>0.433479004</v>
      </c>
      <c r="J543">
        <f ca="1">IF(AND(ISNUMBER($J$1645),$B$1132=1),$J$1645,HLOOKUP(INDIRECT(ADDRESS(2,COLUMN())),OFFSET($K$2,0,0,ROW()-1,5),ROW()-1,FALSE))</f>
        <v>0.45509799200000001</v>
      </c>
      <c r="K543" t="str">
        <f>""</f>
        <v/>
      </c>
      <c r="L543">
        <f>0.326903015</f>
        <v>0.32690301500000002</v>
      </c>
      <c r="M543">
        <f>0.331450012</f>
        <v>0.33145001200000002</v>
      </c>
      <c r="N543">
        <f>0.433479004</f>
        <v>0.433479004</v>
      </c>
      <c r="O543">
        <f>0.455097992</f>
        <v>0.45509799200000001</v>
      </c>
    </row>
    <row r="544" spans="1:15" x14ac:dyDescent="0.25">
      <c r="A544" t="str">
        <f>"                        Thales SA"</f>
        <v xml:space="preserve">                        Thales SA</v>
      </c>
      <c r="B544" t="str">
        <f>"HO FP Equity"</f>
        <v>HO FP Equity</v>
      </c>
      <c r="C544" t="str">
        <f t="shared" si="57"/>
        <v>F0946</v>
      </c>
      <c r="D544" t="str">
        <f t="shared" si="58"/>
        <v>TOTAL_GHG_CO2_EMISSIONS</v>
      </c>
      <c r="E544" t="str">
        <f t="shared" si="59"/>
        <v>Dynamic</v>
      </c>
      <c r="F544">
        <f ca="1">IF(AND(ISNUMBER($F$1646),$B$1132=1),$F$1646,HLOOKUP(INDIRECT(ADDRESS(2,COLUMN())),OFFSET($K$2,0,0,ROW()-1,5),ROW()-1,FALSE))</f>
        <v>0.14799999999999999</v>
      </c>
      <c r="G544">
        <f ca="1">IF(AND(ISNUMBER($G$1646),$B$1132=1),$G$1646,HLOOKUP(INDIRECT(ADDRESS(2,COLUMN())),OFFSET($K$2,0,0,ROW()-1,5),ROW()-1,FALSE))</f>
        <v>0.22900000000000001</v>
      </c>
      <c r="H544">
        <f ca="1">IF(AND(ISNUMBER($H$1646),$B$1132=1),$H$1646,HLOOKUP(INDIRECT(ADDRESS(2,COLUMN())),OFFSET($K$2,0,0,ROW()-1,5),ROW()-1,FALSE))</f>
        <v>0.24299999999999999</v>
      </c>
      <c r="I544">
        <f ca="1">IF(AND(ISNUMBER($I$1646),$B$1132=1),$I$1646,HLOOKUP(INDIRECT(ADDRESS(2,COLUMN())),OFFSET($K$2,0,0,ROW()-1,5),ROW()-1,FALSE))</f>
        <v>0.249</v>
      </c>
      <c r="J544">
        <f ca="1">IF(AND(ISNUMBER($J$1646),$B$1132=1),$J$1646,HLOOKUP(INDIRECT(ADDRESS(2,COLUMN())),OFFSET($K$2,0,0,ROW()-1,5),ROW()-1,FALSE))</f>
        <v>0.21299999999999999</v>
      </c>
      <c r="K544">
        <f>0.148</f>
        <v>0.14799999999999999</v>
      </c>
      <c r="L544">
        <f>0.229</f>
        <v>0.22900000000000001</v>
      </c>
      <c r="M544">
        <f>0.243</f>
        <v>0.24299999999999999</v>
      </c>
      <c r="N544">
        <f>0.249</f>
        <v>0.249</v>
      </c>
      <c r="O544">
        <f>0.213</f>
        <v>0.21299999999999999</v>
      </c>
    </row>
    <row r="545" spans="1:15" x14ac:dyDescent="0.25">
      <c r="A545" t="str">
        <f>"                        Textron Inc"</f>
        <v xml:space="preserve">                        Textron Inc</v>
      </c>
      <c r="B545" t="str">
        <f>"TXT US Equity"</f>
        <v>TXT US Equity</v>
      </c>
      <c r="C545" t="str">
        <f t="shared" si="57"/>
        <v>F0946</v>
      </c>
      <c r="D545" t="str">
        <f t="shared" si="58"/>
        <v>TOTAL_GHG_CO2_EMISSIONS</v>
      </c>
      <c r="E545" t="str">
        <f t="shared" si="59"/>
        <v>Dynamic</v>
      </c>
      <c r="F545" t="str">
        <f ca="1">IF(AND(ISNUMBER($F$1647),$B$1132=1),$F$1647,HLOOKUP(INDIRECT(ADDRESS(2,COLUMN())),OFFSET($K$2,0,0,ROW()-1,5),ROW()-1,FALSE))</f>
        <v/>
      </c>
      <c r="G545">
        <f ca="1">IF(AND(ISNUMBER($G$1647),$B$1132=1),$G$1647,HLOOKUP(INDIRECT(ADDRESS(2,COLUMN())),OFFSET($K$2,0,0,ROW()-1,5),ROW()-1,FALSE))</f>
        <v>0.535624023</v>
      </c>
      <c r="H545">
        <f ca="1">IF(AND(ISNUMBER($H$1647),$B$1132=1),$H$1647,HLOOKUP(INDIRECT(ADDRESS(2,COLUMN())),OFFSET($K$2,0,0,ROW()-1,5),ROW()-1,FALSE))</f>
        <v>0.51124200399999997</v>
      </c>
      <c r="I545">
        <f ca="1">IF(AND(ISNUMBER($I$1647),$B$1132=1),$I$1647,HLOOKUP(INDIRECT(ADDRESS(2,COLUMN())),OFFSET($K$2,0,0,ROW()-1,5),ROW()-1,FALSE))</f>
        <v>0.60310400399999997</v>
      </c>
      <c r="J545">
        <f ca="1">IF(AND(ISNUMBER($J$1647),$B$1132=1),$J$1647,HLOOKUP(INDIRECT(ADDRESS(2,COLUMN())),OFFSET($K$2,0,0,ROW()-1,5),ROW()-1,FALSE))</f>
        <v>0.67834497100000002</v>
      </c>
      <c r="K545" t="str">
        <f>""</f>
        <v/>
      </c>
      <c r="L545">
        <f>0.535624023</f>
        <v>0.535624023</v>
      </c>
      <c r="M545">
        <f>0.511242004</f>
        <v>0.51124200399999997</v>
      </c>
      <c r="N545">
        <f>0.603104004</f>
        <v>0.60310400399999997</v>
      </c>
      <c r="O545">
        <f>0.678344971</f>
        <v>0.67834497100000002</v>
      </c>
    </row>
    <row r="546" spans="1:15" x14ac:dyDescent="0.25">
      <c r="A546" t="str">
        <f>"                Machinery"</f>
        <v xml:space="preserve">                Machinery</v>
      </c>
      <c r="B546" t="str">
        <f>""</f>
        <v/>
      </c>
      <c r="E546" t="str">
        <f>"Sum"</f>
        <v>Sum</v>
      </c>
      <c r="F546">
        <f ca="1">IF(ISERROR(IF(SUM($F$547:$F$637) = 0, "", SUM($F$547:$F$637))), "", (IF(SUM($F$547:$F$637) = 0, "", SUM($F$547:$F$637))))</f>
        <v>11.861148378000001</v>
      </c>
      <c r="G546">
        <f ca="1">IF(ISERROR(IF(SUM($G$547:$G$637) = 0, "", SUM($G$547:$G$637))), "", (IF(SUM($G$547:$G$637) = 0, "", SUM($G$547:$G$637))))</f>
        <v>33.918735149999996</v>
      </c>
      <c r="H546">
        <f ca="1">IF(ISERROR(IF(SUM($H$547:$H$637) = 0, "", SUM($H$547:$H$637))), "", (IF(SUM($H$547:$H$637) = 0, "", SUM($H$547:$H$637))))</f>
        <v>30.964133156000003</v>
      </c>
      <c r="I546">
        <f ca="1">IF(ISERROR(IF(SUM($I$547:$I$637) = 0, "", SUM($I$547:$I$637))), "", (IF(SUM($I$547:$I$637) = 0, "", SUM($I$547:$I$637))))</f>
        <v>34.139440673999992</v>
      </c>
      <c r="J546">
        <f ca="1">IF(ISERROR(IF(SUM($J$547:$J$637) = 0, "", SUM($J$547:$J$637))), "", (IF(SUM($J$547:$J$637) = 0, "", SUM($J$547:$J$637))))</f>
        <v>34.488598806999995</v>
      </c>
      <c r="K546" t="str">
        <f>""</f>
        <v/>
      </c>
      <c r="L546">
        <f>33.91873515</f>
        <v>33.918735150000003</v>
      </c>
      <c r="M546">
        <f>30.96413316</f>
        <v>30.964133159999999</v>
      </c>
      <c r="N546">
        <f>34.13944068</f>
        <v>34.13944068</v>
      </c>
      <c r="O546">
        <f>34.4885988</f>
        <v>34.488598799999998</v>
      </c>
    </row>
    <row r="547" spans="1:15" x14ac:dyDescent="0.25">
      <c r="A547" t="str">
        <f>"                    Iseki &amp; Co Ltd"</f>
        <v xml:space="preserve">                    Iseki &amp; Co Ltd</v>
      </c>
      <c r="B547" t="str">
        <f>"6310 JP Equity"</f>
        <v>6310 JP Equity</v>
      </c>
      <c r="C547" t="str">
        <f t="shared" ref="C547:C578" si="60">"F0946"</f>
        <v>F0946</v>
      </c>
      <c r="D547" t="str">
        <f t="shared" ref="D547:D578" si="61">"TOTAL_GHG_CO2_EMISSIONS"</f>
        <v>TOTAL_GHG_CO2_EMISSIONS</v>
      </c>
      <c r="E547" t="str">
        <f t="shared" ref="E547:E578" si="62">"Dynamic"</f>
        <v>Dynamic</v>
      </c>
      <c r="F547" t="str">
        <f ca="1">IF(AND(ISNUMBER($F$1648),$B$1132=1),$F$1648,HLOOKUP(INDIRECT(ADDRESS(2,COLUMN())),OFFSET($K$2,0,0,ROW()-1,5),ROW()-1,FALSE))</f>
        <v/>
      </c>
      <c r="G547">
        <f ca="1">IF(AND(ISNUMBER($G$1648),$B$1132=1),$G$1648,HLOOKUP(INDIRECT(ADDRESS(2,COLUMN())),OFFSET($K$2,0,0,ROW()-1,5),ROW()-1,FALSE))</f>
        <v>7.0000000000000007E-2</v>
      </c>
      <c r="H547">
        <f ca="1">IF(AND(ISNUMBER($H$1648),$B$1132=1),$H$1648,HLOOKUP(INDIRECT(ADDRESS(2,COLUMN())),OFFSET($K$2,0,0,ROW()-1,5),ROW()-1,FALSE))</f>
        <v>3.4099997999999999E-2</v>
      </c>
      <c r="I547">
        <f ca="1">IF(AND(ISNUMBER($I$1648),$B$1132=1),$I$1648,HLOOKUP(INDIRECT(ADDRESS(2,COLUMN())),OFFSET($K$2,0,0,ROW()-1,5),ROW()-1,FALSE))</f>
        <v>3.3700001E-2</v>
      </c>
      <c r="J547">
        <f ca="1">IF(AND(ISNUMBER($J$1648),$B$1132=1),$J$1648,HLOOKUP(INDIRECT(ADDRESS(2,COLUMN())),OFFSET($K$2,0,0,ROW()-1,5),ROW()-1,FALSE))</f>
        <v>3.2500000000000001E-2</v>
      </c>
      <c r="K547" t="str">
        <f>""</f>
        <v/>
      </c>
      <c r="L547">
        <f>0.07</f>
        <v>7.0000000000000007E-2</v>
      </c>
      <c r="M547">
        <f>0.034099998</f>
        <v>3.4099997999999999E-2</v>
      </c>
      <c r="N547">
        <f>0.033700001</f>
        <v>3.3700001E-2</v>
      </c>
      <c r="O547">
        <f>0.0325</f>
        <v>3.2500000000000001E-2</v>
      </c>
    </row>
    <row r="548" spans="1:15" x14ac:dyDescent="0.25">
      <c r="A548" t="str">
        <f>"                    Ag Growth International Inc"</f>
        <v xml:space="preserve">                    Ag Growth International Inc</v>
      </c>
      <c r="B548" t="str">
        <f>"AFN CN Equity"</f>
        <v>AFN CN Equity</v>
      </c>
      <c r="C548" t="str">
        <f t="shared" si="60"/>
        <v>F0946</v>
      </c>
      <c r="D548" t="str">
        <f t="shared" si="61"/>
        <v>TOTAL_GHG_CO2_EMISSIONS</v>
      </c>
      <c r="E548" t="str">
        <f t="shared" si="62"/>
        <v>Dynamic</v>
      </c>
      <c r="F548" t="str">
        <f ca="1">IF(AND(ISNUMBER($F$1649),$B$1132=1),$F$1649,HLOOKUP(INDIRECT(ADDRESS(2,COLUMN())),OFFSET($K$2,0,0,ROW()-1,5),ROW()-1,FALSE))</f>
        <v/>
      </c>
      <c r="G548" t="str">
        <f ca="1">IF(AND(ISNUMBER($G$1649),$B$1132=1),$G$1649,HLOOKUP(INDIRECT(ADDRESS(2,COLUMN())),OFFSET($K$2,0,0,ROW()-1,5),ROW()-1,FALSE))</f>
        <v/>
      </c>
      <c r="H548" t="str">
        <f ca="1">IF(AND(ISNUMBER($H$1649),$B$1132=1),$H$1649,HLOOKUP(INDIRECT(ADDRESS(2,COLUMN())),OFFSET($K$2,0,0,ROW()-1,5),ROW()-1,FALSE))</f>
        <v/>
      </c>
      <c r="I548" t="str">
        <f ca="1">IF(AND(ISNUMBER($I$1649),$B$1132=1),$I$1649,HLOOKUP(INDIRECT(ADDRESS(2,COLUMN())),OFFSET($K$2,0,0,ROW()-1,5),ROW()-1,FALSE))</f>
        <v/>
      </c>
      <c r="J548" t="str">
        <f ca="1">IF(AND(ISNUMBER($J$1649),$B$1132=1),$J$1649,HLOOKUP(INDIRECT(ADDRESS(2,COLUMN())),OFFSET($K$2,0,0,ROW()-1,5),ROW()-1,FALSE))</f>
        <v/>
      </c>
      <c r="K548" t="str">
        <f>""</f>
        <v/>
      </c>
      <c r="L548" t="str">
        <f>""</f>
        <v/>
      </c>
      <c r="M548" t="str">
        <f>""</f>
        <v/>
      </c>
      <c r="N548" t="str">
        <f>""</f>
        <v/>
      </c>
      <c r="O548" t="str">
        <f>""</f>
        <v/>
      </c>
    </row>
    <row r="549" spans="1:15" x14ac:dyDescent="0.25">
      <c r="A549" t="str">
        <f>"                    AGCO Corp"</f>
        <v xml:space="preserve">                    AGCO Corp</v>
      </c>
      <c r="B549" t="str">
        <f>"AGCO US Equity"</f>
        <v>AGCO US Equity</v>
      </c>
      <c r="C549" t="str">
        <f t="shared" si="60"/>
        <v>F0946</v>
      </c>
      <c r="D549" t="str">
        <f t="shared" si="61"/>
        <v>TOTAL_GHG_CO2_EMISSIONS</v>
      </c>
      <c r="E549" t="str">
        <f t="shared" si="62"/>
        <v>Dynamic</v>
      </c>
      <c r="F549" t="str">
        <f ca="1">IF(AND(ISNUMBER($F$1650),$B$1132=1),$F$1650,HLOOKUP(INDIRECT(ADDRESS(2,COLUMN())),OFFSET($K$2,0,0,ROW()-1,5),ROW()-1,FALSE))</f>
        <v/>
      </c>
      <c r="G549">
        <f ca="1">IF(AND(ISNUMBER($G$1650),$B$1132=1),$G$1650,HLOOKUP(INDIRECT(ADDRESS(2,COLUMN())),OFFSET($K$2,0,0,ROW()-1,5),ROW()-1,FALSE))</f>
        <v>0.15601800499999999</v>
      </c>
      <c r="H549" t="str">
        <f ca="1">IF(AND(ISNUMBER($H$1650),$B$1132=1),$H$1650,HLOOKUP(INDIRECT(ADDRESS(2,COLUMN())),OFFSET($K$2,0,0,ROW()-1,5),ROW()-1,FALSE))</f>
        <v/>
      </c>
      <c r="I549" t="str">
        <f ca="1">IF(AND(ISNUMBER($I$1650),$B$1132=1),$I$1650,HLOOKUP(INDIRECT(ADDRESS(2,COLUMN())),OFFSET($K$2,0,0,ROW()-1,5),ROW()-1,FALSE))</f>
        <v/>
      </c>
      <c r="J549" t="str">
        <f ca="1">IF(AND(ISNUMBER($J$1650),$B$1132=1),$J$1650,HLOOKUP(INDIRECT(ADDRESS(2,COLUMN())),OFFSET($K$2,0,0,ROW()-1,5),ROW()-1,FALSE))</f>
        <v/>
      </c>
      <c r="K549" t="str">
        <f>""</f>
        <v/>
      </c>
      <c r="L549">
        <f>0.156018005</f>
        <v>0.15601800499999999</v>
      </c>
      <c r="M549" t="str">
        <f>""</f>
        <v/>
      </c>
      <c r="N549" t="str">
        <f>""</f>
        <v/>
      </c>
      <c r="O549" t="str">
        <f>""</f>
        <v/>
      </c>
    </row>
    <row r="550" spans="1:15" x14ac:dyDescent="0.25">
      <c r="A550" t="str">
        <f>"                    Alamo Group Inc"</f>
        <v xml:space="preserve">                    Alamo Group Inc</v>
      </c>
      <c r="B550" t="str">
        <f>"ALG US Equity"</f>
        <v>ALG US Equity</v>
      </c>
      <c r="C550" t="str">
        <f t="shared" si="60"/>
        <v>F0946</v>
      </c>
      <c r="D550" t="str">
        <f t="shared" si="61"/>
        <v>TOTAL_GHG_CO2_EMISSIONS</v>
      </c>
      <c r="E550" t="str">
        <f t="shared" si="62"/>
        <v>Dynamic</v>
      </c>
      <c r="F550">
        <f ca="1">IF(AND(ISNUMBER($F$1651),$B$1132=1),$F$1651,HLOOKUP(INDIRECT(ADDRESS(2,COLUMN())),OFFSET($K$2,0,0,ROW()-1,5),ROW()-1,FALSE))</f>
        <v>4.5186001000000003E-2</v>
      </c>
      <c r="G550">
        <f ca="1">IF(AND(ISNUMBER($G$1651),$B$1132=1),$G$1651,HLOOKUP(INDIRECT(ADDRESS(2,COLUMN())),OFFSET($K$2,0,0,ROW()-1,5),ROW()-1,FALSE))</f>
        <v>4.1095000999999999E-2</v>
      </c>
      <c r="H550">
        <f ca="1">IF(AND(ISNUMBER($H$1651),$B$1132=1),$H$1651,HLOOKUP(INDIRECT(ADDRESS(2,COLUMN())),OFFSET($K$2,0,0,ROW()-1,5),ROW()-1,FALSE))</f>
        <v>9.4417999000000002E-2</v>
      </c>
      <c r="I550">
        <f ca="1">IF(AND(ISNUMBER($I$1651),$B$1132=1),$I$1651,HLOOKUP(INDIRECT(ADDRESS(2,COLUMN())),OFFSET($K$2,0,0,ROW()-1,5),ROW()-1,FALSE))</f>
        <v>8.9321998999999999E-2</v>
      </c>
      <c r="J550" t="str">
        <f ca="1">IF(AND(ISNUMBER($J$1651),$B$1132=1),$J$1651,HLOOKUP(INDIRECT(ADDRESS(2,COLUMN())),OFFSET($K$2,0,0,ROW()-1,5),ROW()-1,FALSE))</f>
        <v/>
      </c>
      <c r="K550">
        <f>0.045186001</f>
        <v>4.5186001000000003E-2</v>
      </c>
      <c r="L550">
        <f>0.041095001</f>
        <v>4.1095000999999999E-2</v>
      </c>
      <c r="M550">
        <f>0.094417999</f>
        <v>9.4417999000000002E-2</v>
      </c>
      <c r="N550">
        <f>0.089321999</f>
        <v>8.9321998999999999E-2</v>
      </c>
      <c r="O550" t="str">
        <f>""</f>
        <v/>
      </c>
    </row>
    <row r="551" spans="1:15" x14ac:dyDescent="0.25">
      <c r="A551" t="str">
        <f>"                    Ashtead Group PLC"</f>
        <v xml:space="preserve">                    Ashtead Group PLC</v>
      </c>
      <c r="B551" t="str">
        <f>"AHT LN Equity"</f>
        <v>AHT LN Equity</v>
      </c>
      <c r="C551" t="str">
        <f t="shared" si="60"/>
        <v>F0946</v>
      </c>
      <c r="D551" t="str">
        <f t="shared" si="61"/>
        <v>TOTAL_GHG_CO2_EMISSIONS</v>
      </c>
      <c r="E551" t="str">
        <f t="shared" si="62"/>
        <v>Dynamic</v>
      </c>
      <c r="F551" t="str">
        <f ca="1">IF(AND(ISNUMBER($F$1652),$B$1132=1),$F$1652,HLOOKUP(INDIRECT(ADDRESS(2,COLUMN())),OFFSET($K$2,0,0,ROW()-1,5),ROW()-1,FALSE))</f>
        <v/>
      </c>
      <c r="G551">
        <f ca="1">IF(AND(ISNUMBER($G$1652),$B$1132=1),$G$1652,HLOOKUP(INDIRECT(ADDRESS(2,COLUMN())),OFFSET($K$2,0,0,ROW()-1,5),ROW()-1,FALSE))</f>
        <v>0.32982000700000003</v>
      </c>
      <c r="H551">
        <f ca="1">IF(AND(ISNUMBER($H$1652),$B$1132=1),$H$1652,HLOOKUP(INDIRECT(ADDRESS(2,COLUMN())),OFFSET($K$2,0,0,ROW()-1,5),ROW()-1,FALSE))</f>
        <v>0.318970001</v>
      </c>
      <c r="I551">
        <f ca="1">IF(AND(ISNUMBER($I$1652),$B$1132=1),$I$1652,HLOOKUP(INDIRECT(ADDRESS(2,COLUMN())),OFFSET($K$2,0,0,ROW()-1,5),ROW()-1,FALSE))</f>
        <v>0.33252700800000001</v>
      </c>
      <c r="J551">
        <f ca="1">IF(AND(ISNUMBER($J$1652),$B$1132=1),$J$1652,HLOOKUP(INDIRECT(ADDRESS(2,COLUMN())),OFFSET($K$2,0,0,ROW()-1,5),ROW()-1,FALSE))</f>
        <v>0.30373400900000003</v>
      </c>
      <c r="K551" t="str">
        <f>""</f>
        <v/>
      </c>
      <c r="L551">
        <f>0.329820007</f>
        <v>0.32982000700000003</v>
      </c>
      <c r="M551">
        <f>0.318970001</f>
        <v>0.318970001</v>
      </c>
      <c r="N551">
        <f>0.332527008</f>
        <v>0.33252700800000001</v>
      </c>
      <c r="O551">
        <f>0.303734009</f>
        <v>0.30373400900000003</v>
      </c>
    </row>
    <row r="552" spans="1:15" x14ac:dyDescent="0.25">
      <c r="A552" t="str">
        <f>"                    Astec Industries Inc"</f>
        <v xml:space="preserve">                    Astec Industries Inc</v>
      </c>
      <c r="B552" t="str">
        <f>"ASTE US Equity"</f>
        <v>ASTE US Equity</v>
      </c>
      <c r="C552" t="str">
        <f t="shared" si="60"/>
        <v>F0946</v>
      </c>
      <c r="D552" t="str">
        <f t="shared" si="61"/>
        <v>TOTAL_GHG_CO2_EMISSIONS</v>
      </c>
      <c r="E552" t="str">
        <f t="shared" si="62"/>
        <v>Dynamic</v>
      </c>
      <c r="F552" t="str">
        <f ca="1">IF(AND(ISNUMBER($F$1653),$B$1132=1),$F$1653,HLOOKUP(INDIRECT(ADDRESS(2,COLUMN())),OFFSET($K$2,0,0,ROW()-1,5),ROW()-1,FALSE))</f>
        <v/>
      </c>
      <c r="G552" t="str">
        <f ca="1">IF(AND(ISNUMBER($G$1653),$B$1132=1),$G$1653,HLOOKUP(INDIRECT(ADDRESS(2,COLUMN())),OFFSET($K$2,0,0,ROW()-1,5),ROW()-1,FALSE))</f>
        <v/>
      </c>
      <c r="H552" t="str">
        <f ca="1">IF(AND(ISNUMBER($H$1653),$B$1132=1),$H$1653,HLOOKUP(INDIRECT(ADDRESS(2,COLUMN())),OFFSET($K$2,0,0,ROW()-1,5),ROW()-1,FALSE))</f>
        <v/>
      </c>
      <c r="I552" t="str">
        <f ca="1">IF(AND(ISNUMBER($I$1653),$B$1132=1),$I$1653,HLOOKUP(INDIRECT(ADDRESS(2,COLUMN())),OFFSET($K$2,0,0,ROW()-1,5),ROW()-1,FALSE))</f>
        <v/>
      </c>
      <c r="J552" t="str">
        <f ca="1">IF(AND(ISNUMBER($J$1653),$B$1132=1),$J$1653,HLOOKUP(INDIRECT(ADDRESS(2,COLUMN())),OFFSET($K$2,0,0,ROW()-1,5),ROW()-1,FALSE))</f>
        <v/>
      </c>
      <c r="K552" t="str">
        <f>""</f>
        <v/>
      </c>
      <c r="L552" t="str">
        <f>""</f>
        <v/>
      </c>
      <c r="M552" t="str">
        <f>""</f>
        <v/>
      </c>
      <c r="N552" t="str">
        <f>""</f>
        <v/>
      </c>
      <c r="O552" t="str">
        <f>""</f>
        <v/>
      </c>
    </row>
    <row r="553" spans="1:15" x14ac:dyDescent="0.25">
      <c r="A553" t="str">
        <f>"                    Atlas Copco AB"</f>
        <v xml:space="preserve">                    Atlas Copco AB</v>
      </c>
      <c r="B553" t="str">
        <f>"ATCOA SS Equity"</f>
        <v>ATCOA SS Equity</v>
      </c>
      <c r="C553" t="str">
        <f t="shared" si="60"/>
        <v>F0946</v>
      </c>
      <c r="D553" t="str">
        <f t="shared" si="61"/>
        <v>TOTAL_GHG_CO2_EMISSIONS</v>
      </c>
      <c r="E553" t="str">
        <f t="shared" si="62"/>
        <v>Dynamic</v>
      </c>
      <c r="F553">
        <f ca="1">IF(AND(ISNUMBER($F$1654),$B$1132=1),$F$1654,HLOOKUP(INDIRECT(ADDRESS(2,COLUMN())),OFFSET($K$2,0,0,ROW()-1,5),ROW()-1,FALSE))</f>
        <v>0.215</v>
      </c>
      <c r="G553">
        <f ca="1">IF(AND(ISNUMBER($G$1654),$B$1132=1),$G$1654,HLOOKUP(INDIRECT(ADDRESS(2,COLUMN())),OFFSET($K$2,0,0,ROW()-1,5),ROW()-1,FALSE))</f>
        <v>0.12449400300000001</v>
      </c>
      <c r="H553">
        <f ca="1">IF(AND(ISNUMBER($H$1654),$B$1132=1),$H$1654,HLOOKUP(INDIRECT(ADDRESS(2,COLUMN())),OFFSET($K$2,0,0,ROW()-1,5),ROW()-1,FALSE))</f>
        <v>0.11600000000000001</v>
      </c>
      <c r="I553">
        <f ca="1">IF(AND(ISNUMBER($I$1654),$B$1132=1),$I$1654,HLOOKUP(INDIRECT(ADDRESS(2,COLUMN())),OFFSET($K$2,0,0,ROW()-1,5),ROW()-1,FALSE))</f>
        <v>0.12</v>
      </c>
      <c r="J553">
        <f ca="1">IF(AND(ISNUMBER($J$1654),$B$1132=1),$J$1654,HLOOKUP(INDIRECT(ADDRESS(2,COLUMN())),OFFSET($K$2,0,0,ROW()-1,5),ROW()-1,FALSE))</f>
        <v>9.2999999999999999E-2</v>
      </c>
      <c r="K553">
        <f>0.215</f>
        <v>0.215</v>
      </c>
      <c r="L553">
        <f>0.124494003</f>
        <v>0.12449400300000001</v>
      </c>
      <c r="M553">
        <f>0.116</f>
        <v>0.11600000000000001</v>
      </c>
      <c r="N553">
        <f>0.12</f>
        <v>0.12</v>
      </c>
      <c r="O553">
        <f>0.093</f>
        <v>9.2999999999999999E-2</v>
      </c>
    </row>
    <row r="554" spans="1:15" x14ac:dyDescent="0.25">
      <c r="A554" t="str">
        <f>"                    Barloworld Ltd"</f>
        <v xml:space="preserve">                    Barloworld Ltd</v>
      </c>
      <c r="B554" t="str">
        <f>"BAW SJ Equity"</f>
        <v>BAW SJ Equity</v>
      </c>
      <c r="C554" t="str">
        <f t="shared" si="60"/>
        <v>F0946</v>
      </c>
      <c r="D554" t="str">
        <f t="shared" si="61"/>
        <v>TOTAL_GHG_CO2_EMISSIONS</v>
      </c>
      <c r="E554" t="str">
        <f t="shared" si="62"/>
        <v>Dynamic</v>
      </c>
      <c r="F554">
        <f ca="1">IF(AND(ISNUMBER($F$1655),$B$1132=1),$F$1655,HLOOKUP(INDIRECT(ADDRESS(2,COLUMN())),OFFSET($K$2,0,0,ROW()-1,5),ROW()-1,FALSE))</f>
        <v>0.51418298299999998</v>
      </c>
      <c r="G554">
        <f ca="1">IF(AND(ISNUMBER($G$1655),$B$1132=1),$G$1655,HLOOKUP(INDIRECT(ADDRESS(2,COLUMN())),OFFSET($K$2,0,0,ROW()-1,5),ROW()-1,FALSE))</f>
        <v>0.46880999800000001</v>
      </c>
      <c r="H554">
        <f ca="1">IF(AND(ISNUMBER($H$1655),$B$1132=1),$H$1655,HLOOKUP(INDIRECT(ADDRESS(2,COLUMN())),OFFSET($K$2,0,0,ROW()-1,5),ROW()-1,FALSE))</f>
        <v>0.19354600499999999</v>
      </c>
      <c r="I554">
        <f ca="1">IF(AND(ISNUMBER($I$1655),$B$1132=1),$I$1655,HLOOKUP(INDIRECT(ADDRESS(2,COLUMN())),OFFSET($K$2,0,0,ROW()-1,5),ROW()-1,FALSE))</f>
        <v>0.243477997</v>
      </c>
      <c r="J554">
        <f ca="1">IF(AND(ISNUMBER($J$1655),$B$1132=1),$J$1655,HLOOKUP(INDIRECT(ADDRESS(2,COLUMN())),OFFSET($K$2,0,0,ROW()-1,5),ROW()-1,FALSE))</f>
        <v>0.25764999399999999</v>
      </c>
      <c r="K554">
        <f>0.514182983</f>
        <v>0.51418298299999998</v>
      </c>
      <c r="L554">
        <f>0.468809998</f>
        <v>0.46880999800000001</v>
      </c>
      <c r="M554">
        <f>0.193546005</f>
        <v>0.19354600499999999</v>
      </c>
      <c r="N554">
        <f>0.243477997</f>
        <v>0.243477997</v>
      </c>
      <c r="O554">
        <f>0.257649994</f>
        <v>0.25764999399999999</v>
      </c>
    </row>
    <row r="555" spans="1:15" x14ac:dyDescent="0.25">
      <c r="A555" t="str">
        <f>"                    BOMAG GmbH"</f>
        <v xml:space="preserve">                    BOMAG GmbH</v>
      </c>
      <c r="B555" t="str">
        <f>"3664607Z GR Equity"</f>
        <v>3664607Z GR Equity</v>
      </c>
      <c r="C555" t="str">
        <f t="shared" si="60"/>
        <v>F0946</v>
      </c>
      <c r="D555" t="str">
        <f t="shared" si="61"/>
        <v>TOTAL_GHG_CO2_EMISSIONS</v>
      </c>
      <c r="E555" t="str">
        <f t="shared" si="62"/>
        <v>Dynamic</v>
      </c>
      <c r="F555" t="str">
        <f ca="1">IF(AND(ISNUMBER($F$1656),$B$1132=1),$F$1656,HLOOKUP(INDIRECT(ADDRESS(2,COLUMN())),OFFSET($K$2,0,0,ROW()-1,5),ROW()-1,FALSE))</f>
        <v/>
      </c>
      <c r="G555" t="str">
        <f ca="1">IF(AND(ISNUMBER($G$1656),$B$1132=1),$G$1656,HLOOKUP(INDIRECT(ADDRESS(2,COLUMN())),OFFSET($K$2,0,0,ROW()-1,5),ROW()-1,FALSE))</f>
        <v/>
      </c>
      <c r="H555" t="str">
        <f ca="1">IF(AND(ISNUMBER($H$1656),$B$1132=1),$H$1656,HLOOKUP(INDIRECT(ADDRESS(2,COLUMN())),OFFSET($K$2,0,0,ROW()-1,5),ROW()-1,FALSE))</f>
        <v/>
      </c>
      <c r="I555" t="str">
        <f ca="1">IF(AND(ISNUMBER($I$1656),$B$1132=1),$I$1656,HLOOKUP(INDIRECT(ADDRESS(2,COLUMN())),OFFSET($K$2,0,0,ROW()-1,5),ROW()-1,FALSE))</f>
        <v/>
      </c>
      <c r="J555" t="str">
        <f ca="1">IF(AND(ISNUMBER($J$1656),$B$1132=1),$J$1656,HLOOKUP(INDIRECT(ADDRESS(2,COLUMN())),OFFSET($K$2,0,0,ROW()-1,5),ROW()-1,FALSE))</f>
        <v/>
      </c>
      <c r="K555" t="str">
        <f>""</f>
        <v/>
      </c>
      <c r="L555" t="str">
        <f>""</f>
        <v/>
      </c>
      <c r="M555" t="str">
        <f>""</f>
        <v/>
      </c>
      <c r="N555" t="str">
        <f>""</f>
        <v/>
      </c>
      <c r="O555" t="str">
        <f>""</f>
        <v/>
      </c>
    </row>
    <row r="556" spans="1:15" x14ac:dyDescent="0.25">
      <c r="A556" t="str">
        <f>"                    Boom Logistics Ltd"</f>
        <v xml:space="preserve">                    Boom Logistics Ltd</v>
      </c>
      <c r="B556" t="str">
        <f>"BOL AU Equity"</f>
        <v>BOL AU Equity</v>
      </c>
      <c r="C556" t="str">
        <f t="shared" si="60"/>
        <v>F0946</v>
      </c>
      <c r="D556" t="str">
        <f t="shared" si="61"/>
        <v>TOTAL_GHG_CO2_EMISSIONS</v>
      </c>
      <c r="E556" t="str">
        <f t="shared" si="62"/>
        <v>Dynamic</v>
      </c>
      <c r="F556" t="str">
        <f ca="1">IF(AND(ISNUMBER($F$1657),$B$1132=1),$F$1657,HLOOKUP(INDIRECT(ADDRESS(2,COLUMN())),OFFSET($K$2,0,0,ROW()-1,5),ROW()-1,FALSE))</f>
        <v/>
      </c>
      <c r="G556" t="str">
        <f ca="1">IF(AND(ISNUMBER($G$1657),$B$1132=1),$G$1657,HLOOKUP(INDIRECT(ADDRESS(2,COLUMN())),OFFSET($K$2,0,0,ROW()-1,5),ROW()-1,FALSE))</f>
        <v/>
      </c>
      <c r="H556" t="str">
        <f ca="1">IF(AND(ISNUMBER($H$1657),$B$1132=1),$H$1657,HLOOKUP(INDIRECT(ADDRESS(2,COLUMN())),OFFSET($K$2,0,0,ROW()-1,5),ROW()-1,FALSE))</f>
        <v/>
      </c>
      <c r="I556" t="str">
        <f ca="1">IF(AND(ISNUMBER($I$1657),$B$1132=1),$I$1657,HLOOKUP(INDIRECT(ADDRESS(2,COLUMN())),OFFSET($K$2,0,0,ROW()-1,5),ROW()-1,FALSE))</f>
        <v/>
      </c>
      <c r="J556" t="str">
        <f ca="1">IF(AND(ISNUMBER($J$1657),$B$1132=1),$J$1657,HLOOKUP(INDIRECT(ADDRESS(2,COLUMN())),OFFSET($K$2,0,0,ROW()-1,5),ROW()-1,FALSE))</f>
        <v/>
      </c>
      <c r="K556" t="str">
        <f>""</f>
        <v/>
      </c>
      <c r="L556" t="str">
        <f>""</f>
        <v/>
      </c>
      <c r="M556" t="str">
        <f>""</f>
        <v/>
      </c>
      <c r="N556" t="str">
        <f>""</f>
        <v/>
      </c>
      <c r="O556" t="str">
        <f>""</f>
        <v/>
      </c>
    </row>
    <row r="557" spans="1:15" x14ac:dyDescent="0.25">
      <c r="A557" t="str">
        <f>"                    Bucher Industries AG"</f>
        <v xml:space="preserve">                    Bucher Industries AG</v>
      </c>
      <c r="B557" t="str">
        <f>"BUCN SW Equity"</f>
        <v>BUCN SW Equity</v>
      </c>
      <c r="C557" t="str">
        <f t="shared" si="60"/>
        <v>F0946</v>
      </c>
      <c r="D557" t="str">
        <f t="shared" si="61"/>
        <v>TOTAL_GHG_CO2_EMISSIONS</v>
      </c>
      <c r="E557" t="str">
        <f t="shared" si="62"/>
        <v>Dynamic</v>
      </c>
      <c r="F557">
        <f ca="1">IF(AND(ISNUMBER($F$1658),$B$1132=1),$F$1658,HLOOKUP(INDIRECT(ADDRESS(2,COLUMN())),OFFSET($K$2,0,0,ROW()-1,5),ROW()-1,FALSE))</f>
        <v>8.9671997000000003E-2</v>
      </c>
      <c r="G557">
        <f ca="1">IF(AND(ISNUMBER($G$1658),$B$1132=1),$G$1658,HLOOKUP(INDIRECT(ADDRESS(2,COLUMN())),OFFSET($K$2,0,0,ROW()-1,5),ROW()-1,FALSE))</f>
        <v>8.9206000999999993E-2</v>
      </c>
      <c r="H557">
        <f ca="1">IF(AND(ISNUMBER($H$1658),$B$1132=1),$H$1658,HLOOKUP(INDIRECT(ADDRESS(2,COLUMN())),OFFSET($K$2,0,0,ROW()-1,5),ROW()-1,FALSE))</f>
        <v>8.0226996999999994E-2</v>
      </c>
      <c r="I557">
        <f ca="1">IF(AND(ISNUMBER($I$1658),$B$1132=1),$I$1658,HLOOKUP(INDIRECT(ADDRESS(2,COLUMN())),OFFSET($K$2,0,0,ROW()-1,5),ROW()-1,FALSE))</f>
        <v>8.5288002000000002E-2</v>
      </c>
      <c r="J557">
        <f ca="1">IF(AND(ISNUMBER($J$1658),$B$1132=1),$J$1658,HLOOKUP(INDIRECT(ADDRESS(2,COLUMN())),OFFSET($K$2,0,0,ROW()-1,5),ROW()-1,FALSE))</f>
        <v>9.3269996999999993E-2</v>
      </c>
      <c r="K557">
        <f>0.089671997</f>
        <v>8.9671997000000003E-2</v>
      </c>
      <c r="L557">
        <f>0.089206001</f>
        <v>8.9206000999999993E-2</v>
      </c>
      <c r="M557">
        <f>0.080226997</f>
        <v>8.0226996999999994E-2</v>
      </c>
      <c r="N557">
        <f>0.085288002</f>
        <v>8.5288002000000002E-2</v>
      </c>
      <c r="O557">
        <f>0.093269997</f>
        <v>9.3269996999999993E-2</v>
      </c>
    </row>
    <row r="558" spans="1:15" x14ac:dyDescent="0.25">
      <c r="A558" t="str">
        <f>"                    Buhler Industries Inc"</f>
        <v xml:space="preserve">                    Buhler Industries Inc</v>
      </c>
      <c r="B558" t="str">
        <f>"BUI CN Equity"</f>
        <v>BUI CN Equity</v>
      </c>
      <c r="C558" t="str">
        <f t="shared" si="60"/>
        <v>F0946</v>
      </c>
      <c r="D558" t="str">
        <f t="shared" si="61"/>
        <v>TOTAL_GHG_CO2_EMISSIONS</v>
      </c>
      <c r="E558" t="str">
        <f t="shared" si="62"/>
        <v>Dynamic</v>
      </c>
      <c r="F558" t="str">
        <f ca="1">IF(AND(ISNUMBER($F$1659),$B$1132=1),$F$1659,HLOOKUP(INDIRECT(ADDRESS(2,COLUMN())),OFFSET($K$2,0,0,ROW()-1,5),ROW()-1,FALSE))</f>
        <v/>
      </c>
      <c r="G558" t="str">
        <f ca="1">IF(AND(ISNUMBER($G$1659),$B$1132=1),$G$1659,HLOOKUP(INDIRECT(ADDRESS(2,COLUMN())),OFFSET($K$2,0,0,ROW()-1,5),ROW()-1,FALSE))</f>
        <v/>
      </c>
      <c r="H558" t="str">
        <f ca="1">IF(AND(ISNUMBER($H$1659),$B$1132=1),$H$1659,HLOOKUP(INDIRECT(ADDRESS(2,COLUMN())),OFFSET($K$2,0,0,ROW()-1,5),ROW()-1,FALSE))</f>
        <v/>
      </c>
      <c r="I558" t="str">
        <f ca="1">IF(AND(ISNUMBER($I$1659),$B$1132=1),$I$1659,HLOOKUP(INDIRECT(ADDRESS(2,COLUMN())),OFFSET($K$2,0,0,ROW()-1,5),ROW()-1,FALSE))</f>
        <v/>
      </c>
      <c r="J558" t="str">
        <f ca="1">IF(AND(ISNUMBER($J$1659),$B$1132=1),$J$1659,HLOOKUP(INDIRECT(ADDRESS(2,COLUMN())),OFFSET($K$2,0,0,ROW()-1,5),ROW()-1,FALSE))</f>
        <v/>
      </c>
      <c r="K558" t="str">
        <f>""</f>
        <v/>
      </c>
      <c r="L558" t="str">
        <f>""</f>
        <v/>
      </c>
      <c r="M558" t="str">
        <f>""</f>
        <v/>
      </c>
      <c r="N558" t="str">
        <f>""</f>
        <v/>
      </c>
      <c r="O558" t="str">
        <f>""</f>
        <v/>
      </c>
    </row>
    <row r="559" spans="1:15" x14ac:dyDescent="0.25">
      <c r="A559" t="str">
        <f>"                    Boart Longyear Ltd"</f>
        <v xml:space="preserve">                    Boart Longyear Ltd</v>
      </c>
      <c r="B559" t="str">
        <f>"1923730D AU Equity"</f>
        <v>1923730D AU Equity</v>
      </c>
      <c r="C559" t="str">
        <f t="shared" si="60"/>
        <v>F0946</v>
      </c>
      <c r="D559" t="str">
        <f t="shared" si="61"/>
        <v>TOTAL_GHG_CO2_EMISSIONS</v>
      </c>
      <c r="E559" t="str">
        <f t="shared" si="62"/>
        <v>Dynamic</v>
      </c>
      <c r="F559" t="str">
        <f ca="1">IF(AND(ISNUMBER($F$1660),$B$1132=1),$F$1660,HLOOKUP(INDIRECT(ADDRESS(2,COLUMN())),OFFSET($K$2,0,0,ROW()-1,5),ROW()-1,FALSE))</f>
        <v/>
      </c>
      <c r="G559" t="str">
        <f ca="1">IF(AND(ISNUMBER($G$1660),$B$1132=1),$G$1660,HLOOKUP(INDIRECT(ADDRESS(2,COLUMN())),OFFSET($K$2,0,0,ROW()-1,5),ROW()-1,FALSE))</f>
        <v/>
      </c>
      <c r="H559" t="str">
        <f ca="1">IF(AND(ISNUMBER($H$1660),$B$1132=1),$H$1660,HLOOKUP(INDIRECT(ADDRESS(2,COLUMN())),OFFSET($K$2,0,0,ROW()-1,5),ROW()-1,FALSE))</f>
        <v/>
      </c>
      <c r="I559" t="str">
        <f ca="1">IF(AND(ISNUMBER($I$1660),$B$1132=1),$I$1660,HLOOKUP(INDIRECT(ADDRESS(2,COLUMN())),OFFSET($K$2,0,0,ROW()-1,5),ROW()-1,FALSE))</f>
        <v/>
      </c>
      <c r="J559" t="str">
        <f ca="1">IF(AND(ISNUMBER($J$1660),$B$1132=1),$J$1660,HLOOKUP(INDIRECT(ADDRESS(2,COLUMN())),OFFSET($K$2,0,0,ROW()-1,5),ROW()-1,FALSE))</f>
        <v/>
      </c>
      <c r="K559" t="str">
        <f>""</f>
        <v/>
      </c>
      <c r="L559" t="str">
        <f>""</f>
        <v/>
      </c>
      <c r="M559" t="str">
        <f>""</f>
        <v/>
      </c>
      <c r="N559" t="str">
        <f>""</f>
        <v/>
      </c>
      <c r="O559" t="str">
        <f>""</f>
        <v/>
      </c>
    </row>
    <row r="560" spans="1:15" x14ac:dyDescent="0.25">
      <c r="A560" t="str">
        <f>"                    Caterpillar Inc"</f>
        <v xml:space="preserve">                    Caterpillar Inc</v>
      </c>
      <c r="B560" t="str">
        <f>"CAT US Equity"</f>
        <v>CAT US Equity</v>
      </c>
      <c r="C560" t="str">
        <f t="shared" si="60"/>
        <v>F0946</v>
      </c>
      <c r="D560" t="str">
        <f t="shared" si="61"/>
        <v>TOTAL_GHG_CO2_EMISSIONS</v>
      </c>
      <c r="E560" t="str">
        <f t="shared" si="62"/>
        <v>Dynamic</v>
      </c>
      <c r="F560">
        <f ca="1">IF(AND(ISNUMBER($F$1661),$B$1132=1),$F$1661,HLOOKUP(INDIRECT(ADDRESS(2,COLUMN())),OFFSET($K$2,0,0,ROW()-1,5),ROW()-1,FALSE))</f>
        <v>1.54</v>
      </c>
      <c r="G560">
        <f ca="1">IF(AND(ISNUMBER($G$1661),$B$1132=1),$G$1661,HLOOKUP(INDIRECT(ADDRESS(2,COLUMN())),OFFSET($K$2,0,0,ROW()-1,5),ROW()-1,FALSE))</f>
        <v>1.59</v>
      </c>
      <c r="H560">
        <f ca="1">IF(AND(ISNUMBER($H$1661),$B$1132=1),$H$1661,HLOOKUP(INDIRECT(ADDRESS(2,COLUMN())),OFFSET($K$2,0,0,ROW()-1,5),ROW()-1,FALSE))</f>
        <v>1.5209999999999999</v>
      </c>
      <c r="I560">
        <f ca="1">IF(AND(ISNUMBER($I$1661),$B$1132=1),$I$1661,HLOOKUP(INDIRECT(ADDRESS(2,COLUMN())),OFFSET($K$2,0,0,ROW()-1,5),ROW()-1,FALSE))</f>
        <v>1.831</v>
      </c>
      <c r="J560">
        <f ca="1">IF(AND(ISNUMBER($J$1661),$B$1132=1),$J$1661,HLOOKUP(INDIRECT(ADDRESS(2,COLUMN())),OFFSET($K$2,0,0,ROW()-1,5),ROW()-1,FALSE))</f>
        <v>2.25</v>
      </c>
      <c r="K560">
        <f>1.54</f>
        <v>1.54</v>
      </c>
      <c r="L560">
        <f>1.59</f>
        <v>1.59</v>
      </c>
      <c r="M560">
        <f>1.521</f>
        <v>1.5209999999999999</v>
      </c>
      <c r="N560">
        <f>1.831</f>
        <v>1.831</v>
      </c>
      <c r="O560">
        <f>2.25</f>
        <v>2.25</v>
      </c>
    </row>
    <row r="561" spans="1:15" x14ac:dyDescent="0.25">
      <c r="A561" t="str">
        <f>"                    China Communications Construct"</f>
        <v xml:space="preserve">                    China Communications Construct</v>
      </c>
      <c r="B561" t="str">
        <f>"1800 HK Equity"</f>
        <v>1800 HK Equity</v>
      </c>
      <c r="C561" t="str">
        <f t="shared" si="60"/>
        <v>F0946</v>
      </c>
      <c r="D561" t="str">
        <f t="shared" si="61"/>
        <v>TOTAL_GHG_CO2_EMISSIONS</v>
      </c>
      <c r="E561" t="str">
        <f t="shared" si="62"/>
        <v>Dynamic</v>
      </c>
      <c r="F561">
        <f ca="1">IF(AND(ISNUMBER($F$1662),$B$1132=1),$F$1662,HLOOKUP(INDIRECT(ADDRESS(2,COLUMN())),OFFSET($K$2,0,0,ROW()-1,5),ROW()-1,FALSE))</f>
        <v>4.68</v>
      </c>
      <c r="G561">
        <f ca="1">IF(AND(ISNUMBER($G$1662),$B$1132=1),$G$1662,HLOOKUP(INDIRECT(ADDRESS(2,COLUMN())),OFFSET($K$2,0,0,ROW()-1,5),ROW()-1,FALSE))</f>
        <v>4.1269999999999998</v>
      </c>
      <c r="H561">
        <f ca="1">IF(AND(ISNUMBER($H$1662),$B$1132=1),$H$1662,HLOOKUP(INDIRECT(ADDRESS(2,COLUMN())),OFFSET($K$2,0,0,ROW()-1,5),ROW()-1,FALSE))</f>
        <v>3.9099599610000002</v>
      </c>
      <c r="I561">
        <f ca="1">IF(AND(ISNUMBER($I$1662),$B$1132=1),$I$1662,HLOOKUP(INDIRECT(ADDRESS(2,COLUMN())),OFFSET($K$2,0,0,ROW()-1,5),ROW()-1,FALSE))</f>
        <v>4.6559999999999997</v>
      </c>
      <c r="J561">
        <f ca="1">IF(AND(ISNUMBER($J$1662),$B$1132=1),$J$1662,HLOOKUP(INDIRECT(ADDRESS(2,COLUMN())),OFFSET($K$2,0,0,ROW()-1,5),ROW()-1,FALSE))</f>
        <v>5.7160000000000002</v>
      </c>
      <c r="K561">
        <f>4.68</f>
        <v>4.68</v>
      </c>
      <c r="L561">
        <f>4.127</f>
        <v>4.1269999999999998</v>
      </c>
      <c r="M561">
        <f>3.909959961</f>
        <v>3.9099599610000002</v>
      </c>
      <c r="N561">
        <f>4.656</f>
        <v>4.6559999999999997</v>
      </c>
      <c r="O561">
        <f>5.716</f>
        <v>5.7160000000000002</v>
      </c>
    </row>
    <row r="562" spans="1:15" x14ac:dyDescent="0.25">
      <c r="A562" t="str">
        <f>"                    Claas KGaA mbH"</f>
        <v xml:space="preserve">                    Claas KGaA mbH</v>
      </c>
      <c r="B562" t="str">
        <f>"CLSO GR Equity"</f>
        <v>CLSO GR Equity</v>
      </c>
      <c r="C562" t="str">
        <f t="shared" si="60"/>
        <v>F0946</v>
      </c>
      <c r="D562" t="str">
        <f t="shared" si="61"/>
        <v>TOTAL_GHG_CO2_EMISSIONS</v>
      </c>
      <c r="E562" t="str">
        <f t="shared" si="62"/>
        <v>Dynamic</v>
      </c>
      <c r="F562" t="str">
        <f ca="1">IF(AND(ISNUMBER($F$1663),$B$1132=1),$F$1663,HLOOKUP(INDIRECT(ADDRESS(2,COLUMN())),OFFSET($K$2,0,0,ROW()-1,5),ROW()-1,FALSE))</f>
        <v/>
      </c>
      <c r="G562" t="str">
        <f ca="1">IF(AND(ISNUMBER($G$1663),$B$1132=1),$G$1663,HLOOKUP(INDIRECT(ADDRESS(2,COLUMN())),OFFSET($K$2,0,0,ROW()-1,5),ROW()-1,FALSE))</f>
        <v/>
      </c>
      <c r="H562" t="str">
        <f ca="1">IF(AND(ISNUMBER($H$1663),$B$1132=1),$H$1663,HLOOKUP(INDIRECT(ADDRESS(2,COLUMN())),OFFSET($K$2,0,0,ROW()-1,5),ROW()-1,FALSE))</f>
        <v/>
      </c>
      <c r="I562" t="str">
        <f ca="1">IF(AND(ISNUMBER($I$1663),$B$1132=1),$I$1663,HLOOKUP(INDIRECT(ADDRESS(2,COLUMN())),OFFSET($K$2,0,0,ROW()-1,5),ROW()-1,FALSE))</f>
        <v/>
      </c>
      <c r="J562" t="str">
        <f ca="1">IF(AND(ISNUMBER($J$1663),$B$1132=1),$J$1663,HLOOKUP(INDIRECT(ADDRESS(2,COLUMN())),OFFSET($K$2,0,0,ROW()-1,5),ROW()-1,FALSE))</f>
        <v/>
      </c>
      <c r="K562" t="str">
        <f>""</f>
        <v/>
      </c>
      <c r="L562" t="str">
        <f>""</f>
        <v/>
      </c>
      <c r="M562" t="str">
        <f>""</f>
        <v/>
      </c>
      <c r="N562" t="str">
        <f>""</f>
        <v/>
      </c>
      <c r="O562" t="str">
        <f>""</f>
        <v/>
      </c>
    </row>
    <row r="563" spans="1:15" x14ac:dyDescent="0.25">
      <c r="A563" t="str">
        <f>"                    CNH Industrial NV"</f>
        <v xml:space="preserve">                    CNH Industrial NV</v>
      </c>
      <c r="B563" t="str">
        <f>"CNHI US Equity"</f>
        <v>CNHI US Equity</v>
      </c>
      <c r="C563" t="str">
        <f t="shared" si="60"/>
        <v>F0946</v>
      </c>
      <c r="D563" t="str">
        <f t="shared" si="61"/>
        <v>TOTAL_GHG_CO2_EMISSIONS</v>
      </c>
      <c r="E563" t="str">
        <f t="shared" si="62"/>
        <v>Dynamic</v>
      </c>
      <c r="F563" t="str">
        <f ca="1">IF(AND(ISNUMBER($F$1664),$B$1132=1),$F$1664,HLOOKUP(INDIRECT(ADDRESS(2,COLUMN())),OFFSET($K$2,0,0,ROW()-1,5),ROW()-1,FALSE))</f>
        <v/>
      </c>
      <c r="G563">
        <f ca="1">IF(AND(ISNUMBER($G$1664),$B$1132=1),$G$1664,HLOOKUP(INDIRECT(ADDRESS(2,COLUMN())),OFFSET($K$2,0,0,ROW()-1,5),ROW()-1,FALSE))</f>
        <v>0.45000399800000002</v>
      </c>
      <c r="H563">
        <f ca="1">IF(AND(ISNUMBER($H$1664),$B$1132=1),$H$1664,HLOOKUP(INDIRECT(ADDRESS(2,COLUMN())),OFFSET($K$2,0,0,ROW()-1,5),ROW()-1,FALSE))</f>
        <v>0.38719799799999999</v>
      </c>
      <c r="I563">
        <f ca="1">IF(AND(ISNUMBER($I$1664),$B$1132=1),$I$1664,HLOOKUP(INDIRECT(ADDRESS(2,COLUMN())),OFFSET($K$2,0,0,ROW()-1,5),ROW()-1,FALSE))</f>
        <v>0.48068200700000002</v>
      </c>
      <c r="J563">
        <f ca="1">IF(AND(ISNUMBER($J$1664),$B$1132=1),$J$1664,HLOOKUP(INDIRECT(ADDRESS(2,COLUMN())),OFFSET($K$2,0,0,ROW()-1,5),ROW()-1,FALSE))</f>
        <v>0.49684799200000002</v>
      </c>
      <c r="K563" t="str">
        <f>""</f>
        <v/>
      </c>
      <c r="L563">
        <f>0.450003998</f>
        <v>0.45000399800000002</v>
      </c>
      <c r="M563">
        <f>0.387197998</f>
        <v>0.38719799799999999</v>
      </c>
      <c r="N563">
        <f>0.480682007</f>
        <v>0.48068200700000002</v>
      </c>
      <c r="O563">
        <f>0.496847992</f>
        <v>0.49684799200000002</v>
      </c>
    </row>
    <row r="564" spans="1:15" x14ac:dyDescent="0.25">
      <c r="A564" t="str">
        <f>"                    Daedong Corp"</f>
        <v xml:space="preserve">                    Daedong Corp</v>
      </c>
      <c r="B564" t="str">
        <f>"000490 KS Equity"</f>
        <v>000490 KS Equity</v>
      </c>
      <c r="C564" t="str">
        <f t="shared" si="60"/>
        <v>F0946</v>
      </c>
      <c r="D564" t="str">
        <f t="shared" si="61"/>
        <v>TOTAL_GHG_CO2_EMISSIONS</v>
      </c>
      <c r="E564" t="str">
        <f t="shared" si="62"/>
        <v>Dynamic</v>
      </c>
      <c r="F564" t="str">
        <f ca="1">IF(AND(ISNUMBER($F$1665),$B$1132=1),$F$1665,HLOOKUP(INDIRECT(ADDRESS(2,COLUMN())),OFFSET($K$2,0,0,ROW()-1,5),ROW()-1,FALSE))</f>
        <v/>
      </c>
      <c r="G564">
        <f ca="1">IF(AND(ISNUMBER($G$1665),$B$1132=1),$G$1665,HLOOKUP(INDIRECT(ADDRESS(2,COLUMN())),OFFSET($K$2,0,0,ROW()-1,5),ROW()-1,FALSE))</f>
        <v>4.2014000000000003E-2</v>
      </c>
      <c r="H564">
        <f ca="1">IF(AND(ISNUMBER($H$1665),$B$1132=1),$H$1665,HLOOKUP(INDIRECT(ADDRESS(2,COLUMN())),OFFSET($K$2,0,0,ROW()-1,5),ROW()-1,FALSE))</f>
        <v>3.4749001000000002E-2</v>
      </c>
      <c r="I564">
        <f ca="1">IF(AND(ISNUMBER($I$1665),$B$1132=1),$I$1665,HLOOKUP(INDIRECT(ADDRESS(2,COLUMN())),OFFSET($K$2,0,0,ROW()-1,5),ROW()-1,FALSE))</f>
        <v>3.4172001E-2</v>
      </c>
      <c r="J564">
        <f ca="1">IF(AND(ISNUMBER($J$1665),$B$1132=1),$J$1665,HLOOKUP(INDIRECT(ADDRESS(2,COLUMN())),OFFSET($K$2,0,0,ROW()-1,5),ROW()-1,FALSE))</f>
        <v>3.4749001000000002E-2</v>
      </c>
      <c r="K564" t="str">
        <f>""</f>
        <v/>
      </c>
      <c r="L564">
        <f>0.042014</f>
        <v>4.2014000000000003E-2</v>
      </c>
      <c r="M564">
        <f>0.034749001</f>
        <v>3.4749001000000002E-2</v>
      </c>
      <c r="N564">
        <f>0.034172001</f>
        <v>3.4172001E-2</v>
      </c>
      <c r="O564">
        <f>0.034749001</f>
        <v>3.4749001000000002E-2</v>
      </c>
    </row>
    <row r="565" spans="1:15" x14ac:dyDescent="0.25">
      <c r="A565" t="str">
        <f>"                    Deere &amp; Co"</f>
        <v xml:space="preserve">                    Deere &amp; Co</v>
      </c>
      <c r="B565" t="str">
        <f>"DE US Equity"</f>
        <v>DE US Equity</v>
      </c>
      <c r="C565" t="str">
        <f t="shared" si="60"/>
        <v>F0946</v>
      </c>
      <c r="D565" t="str">
        <f t="shared" si="61"/>
        <v>TOTAL_GHG_CO2_EMISSIONS</v>
      </c>
      <c r="E565" t="str">
        <f t="shared" si="62"/>
        <v>Dynamic</v>
      </c>
      <c r="F565" t="str">
        <f ca="1">IF(AND(ISNUMBER($F$1666),$B$1132=1),$F$1666,HLOOKUP(INDIRECT(ADDRESS(2,COLUMN())),OFFSET($K$2,0,0,ROW()-1,5),ROW()-1,FALSE))</f>
        <v/>
      </c>
      <c r="G565">
        <f ca="1">IF(AND(ISNUMBER($G$1666),$B$1132=1),$G$1666,HLOOKUP(INDIRECT(ADDRESS(2,COLUMN())),OFFSET($K$2,0,0,ROW()-1,5),ROW()-1,FALSE))</f>
        <v>1.1080000000000001</v>
      </c>
      <c r="H565" t="str">
        <f ca="1">IF(AND(ISNUMBER($H$1666),$B$1132=1),$H$1666,HLOOKUP(INDIRECT(ADDRESS(2,COLUMN())),OFFSET($K$2,0,0,ROW()-1,5),ROW()-1,FALSE))</f>
        <v/>
      </c>
      <c r="I565" t="str">
        <f ca="1">IF(AND(ISNUMBER($I$1666),$B$1132=1),$I$1666,HLOOKUP(INDIRECT(ADDRESS(2,COLUMN())),OFFSET($K$2,0,0,ROW()-1,5),ROW()-1,FALSE))</f>
        <v/>
      </c>
      <c r="J565" t="str">
        <f ca="1">IF(AND(ISNUMBER($J$1666),$B$1132=1),$J$1666,HLOOKUP(INDIRECT(ADDRESS(2,COLUMN())),OFFSET($K$2,0,0,ROW()-1,5),ROW()-1,FALSE))</f>
        <v/>
      </c>
      <c r="K565" t="str">
        <f>""</f>
        <v/>
      </c>
      <c r="L565">
        <f>1.108</f>
        <v>1.1080000000000001</v>
      </c>
      <c r="M565" t="str">
        <f>""</f>
        <v/>
      </c>
      <c r="N565" t="str">
        <f>""</f>
        <v/>
      </c>
      <c r="O565" t="str">
        <f>""</f>
        <v/>
      </c>
    </row>
    <row r="566" spans="1:15" x14ac:dyDescent="0.25">
      <c r="A566" t="str">
        <f>"                    Emeco Holdings Ltd"</f>
        <v xml:space="preserve">                    Emeco Holdings Ltd</v>
      </c>
      <c r="B566" t="str">
        <f>"EHL AU Equity"</f>
        <v>EHL AU Equity</v>
      </c>
      <c r="C566" t="str">
        <f t="shared" si="60"/>
        <v>F0946</v>
      </c>
      <c r="D566" t="str">
        <f t="shared" si="61"/>
        <v>TOTAL_GHG_CO2_EMISSIONS</v>
      </c>
      <c r="E566" t="str">
        <f t="shared" si="62"/>
        <v>Dynamic</v>
      </c>
      <c r="F566" t="str">
        <f ca="1">IF(AND(ISNUMBER($F$1667),$B$1132=1),$F$1667,HLOOKUP(INDIRECT(ADDRESS(2,COLUMN())),OFFSET($K$2,0,0,ROW()-1,5),ROW()-1,FALSE))</f>
        <v/>
      </c>
      <c r="G566" t="str">
        <f ca="1">IF(AND(ISNUMBER($G$1667),$B$1132=1),$G$1667,HLOOKUP(INDIRECT(ADDRESS(2,COLUMN())),OFFSET($K$2,0,0,ROW()-1,5),ROW()-1,FALSE))</f>
        <v/>
      </c>
      <c r="H566" t="str">
        <f ca="1">IF(AND(ISNUMBER($H$1667),$B$1132=1),$H$1667,HLOOKUP(INDIRECT(ADDRESS(2,COLUMN())),OFFSET($K$2,0,0,ROW()-1,5),ROW()-1,FALSE))</f>
        <v/>
      </c>
      <c r="I566" t="str">
        <f ca="1">IF(AND(ISNUMBER($I$1667),$B$1132=1),$I$1667,HLOOKUP(INDIRECT(ADDRESS(2,COLUMN())),OFFSET($K$2,0,0,ROW()-1,5),ROW()-1,FALSE))</f>
        <v/>
      </c>
      <c r="J566" t="str">
        <f ca="1">IF(AND(ISNUMBER($J$1667),$B$1132=1),$J$1667,HLOOKUP(INDIRECT(ADDRESS(2,COLUMN())),OFFSET($K$2,0,0,ROW()-1,5),ROW()-1,FALSE))</f>
        <v/>
      </c>
      <c r="K566" t="str">
        <f>""</f>
        <v/>
      </c>
      <c r="L566" t="str">
        <f>""</f>
        <v/>
      </c>
      <c r="M566" t="str">
        <f>""</f>
        <v/>
      </c>
      <c r="N566" t="str">
        <f>""</f>
        <v/>
      </c>
      <c r="O566" t="str">
        <f>""</f>
        <v/>
      </c>
    </row>
    <row r="567" spans="1:15" x14ac:dyDescent="0.25">
      <c r="A567" t="str">
        <f>"                    Exel Industries"</f>
        <v xml:space="preserve">                    Exel Industries</v>
      </c>
      <c r="B567" t="str">
        <f>"EXE FP Equity"</f>
        <v>EXE FP Equity</v>
      </c>
      <c r="C567" t="str">
        <f t="shared" si="60"/>
        <v>F0946</v>
      </c>
      <c r="D567" t="str">
        <f t="shared" si="61"/>
        <v>TOTAL_GHG_CO2_EMISSIONS</v>
      </c>
      <c r="E567" t="str">
        <f t="shared" si="62"/>
        <v>Dynamic</v>
      </c>
      <c r="F567">
        <f ca="1">IF(AND(ISNUMBER($F$1668),$B$1132=1),$F$1668,HLOOKUP(INDIRECT(ADDRESS(2,COLUMN())),OFFSET($K$2,0,0,ROW()-1,5),ROW()-1,FALSE))</f>
        <v>2.0976101E-2</v>
      </c>
      <c r="G567">
        <f ca="1">IF(AND(ISNUMBER($G$1668),$B$1132=1),$G$1668,HLOOKUP(INDIRECT(ADDRESS(2,COLUMN())),OFFSET($K$2,0,0,ROW()-1,5),ROW()-1,FALSE))</f>
        <v>3.1502701000000001E-2</v>
      </c>
      <c r="H567">
        <f ca="1">IF(AND(ISNUMBER($H$1668),$B$1132=1),$H$1668,HLOOKUP(INDIRECT(ADDRESS(2,COLUMN())),OFFSET($K$2,0,0,ROW()-1,5),ROW()-1,FALSE))</f>
        <v>3.1496798999999999E-2</v>
      </c>
      <c r="I567" t="str">
        <f ca="1">IF(AND(ISNUMBER($I$1668),$B$1132=1),$I$1668,HLOOKUP(INDIRECT(ADDRESS(2,COLUMN())),OFFSET($K$2,0,0,ROW()-1,5),ROW()-1,FALSE))</f>
        <v/>
      </c>
      <c r="J567" t="str">
        <f ca="1">IF(AND(ISNUMBER($J$1668),$B$1132=1),$J$1668,HLOOKUP(INDIRECT(ADDRESS(2,COLUMN())),OFFSET($K$2,0,0,ROW()-1,5),ROW()-1,FALSE))</f>
        <v/>
      </c>
      <c r="K567">
        <f>0.020976101</f>
        <v>2.0976101E-2</v>
      </c>
      <c r="L567">
        <f>0.031502701</f>
        <v>3.1502701000000001E-2</v>
      </c>
      <c r="M567">
        <f>0.031496799</f>
        <v>3.1496798999999999E-2</v>
      </c>
      <c r="N567" t="str">
        <f>""</f>
        <v/>
      </c>
      <c r="O567" t="str">
        <f>""</f>
        <v/>
      </c>
    </row>
    <row r="568" spans="1:15" x14ac:dyDescent="0.25">
      <c r="A568" t="str">
        <f>"                    Escorts Kubota Ltd"</f>
        <v xml:space="preserve">                    Escorts Kubota Ltd</v>
      </c>
      <c r="B568" t="str">
        <f>"ESCORTS IN Equity"</f>
        <v>ESCORTS IN Equity</v>
      </c>
      <c r="C568" t="str">
        <f t="shared" si="60"/>
        <v>F0946</v>
      </c>
      <c r="D568" t="str">
        <f t="shared" si="61"/>
        <v>TOTAL_GHG_CO2_EMISSIONS</v>
      </c>
      <c r="E568" t="str">
        <f t="shared" si="62"/>
        <v>Dynamic</v>
      </c>
      <c r="F568" t="str">
        <f ca="1">IF(AND(ISNUMBER($F$1669),$B$1132=1),$F$1669,HLOOKUP(INDIRECT(ADDRESS(2,COLUMN())),OFFSET($K$2,0,0,ROW()-1,5),ROW()-1,FALSE))</f>
        <v/>
      </c>
      <c r="G568">
        <f ca="1">IF(AND(ISNUMBER($G$1669),$B$1132=1),$G$1669,HLOOKUP(INDIRECT(ADDRESS(2,COLUMN())),OFFSET($K$2,0,0,ROW()-1,5),ROW()-1,FALSE))</f>
        <v>4.8518699999999998E-2</v>
      </c>
      <c r="H568">
        <f ca="1">IF(AND(ISNUMBER($H$1669),$B$1132=1),$H$1669,HLOOKUP(INDIRECT(ADDRESS(2,COLUMN())),OFFSET($K$2,0,0,ROW()-1,5),ROW()-1,FALSE))</f>
        <v>7.0742599000000003E-2</v>
      </c>
      <c r="I568">
        <f ca="1">IF(AND(ISNUMBER($I$1669),$B$1132=1),$I$1669,HLOOKUP(INDIRECT(ADDRESS(2,COLUMN())),OFFSET($K$2,0,0,ROW()-1,5),ROW()-1,FALSE))</f>
        <v>6.7957497000000006E-2</v>
      </c>
      <c r="J568">
        <f ca="1">IF(AND(ISNUMBER($J$1669),$B$1132=1),$J$1669,HLOOKUP(INDIRECT(ADDRESS(2,COLUMN())),OFFSET($K$2,0,0,ROW()-1,5),ROW()-1,FALSE))</f>
        <v>6.5760299999999994E-2</v>
      </c>
      <c r="K568" t="str">
        <f>""</f>
        <v/>
      </c>
      <c r="L568">
        <f>0.0485187</f>
        <v>4.8518699999999998E-2</v>
      </c>
      <c r="M568">
        <f>0.070742599</f>
        <v>7.0742599000000003E-2</v>
      </c>
      <c r="N568">
        <f>0.067957497</f>
        <v>6.7957497000000006E-2</v>
      </c>
      <c r="O568">
        <f>0.0657603</f>
        <v>6.5760299999999994E-2</v>
      </c>
    </row>
    <row r="569" spans="1:15" x14ac:dyDescent="0.25">
      <c r="A569" t="str">
        <f>"                    Ferreycorp SAA"</f>
        <v xml:space="preserve">                    Ferreycorp SAA</v>
      </c>
      <c r="B569" t="str">
        <f>"FERREYC1 PE Equity"</f>
        <v>FERREYC1 PE Equity</v>
      </c>
      <c r="C569" t="str">
        <f t="shared" si="60"/>
        <v>F0946</v>
      </c>
      <c r="D569" t="str">
        <f t="shared" si="61"/>
        <v>TOTAL_GHG_CO2_EMISSIONS</v>
      </c>
      <c r="E569" t="str">
        <f t="shared" si="62"/>
        <v>Dynamic</v>
      </c>
      <c r="F569">
        <f ca="1">IF(AND(ISNUMBER($F$1670),$B$1132=1),$F$1670,HLOOKUP(INDIRECT(ADDRESS(2,COLUMN())),OFFSET($K$2,0,0,ROW()-1,5),ROW()-1,FALSE))</f>
        <v>3.6702599999999998E-3</v>
      </c>
      <c r="G569">
        <f ca="1">IF(AND(ISNUMBER($G$1670),$B$1132=1),$G$1670,HLOOKUP(INDIRECT(ADDRESS(2,COLUMN())),OFFSET($K$2,0,0,ROW()-1,5),ROW()-1,FALSE))</f>
        <v>3.33665E-3</v>
      </c>
      <c r="H569">
        <f ca="1">IF(AND(ISNUMBER($H$1670),$B$1132=1),$H$1670,HLOOKUP(INDIRECT(ADDRESS(2,COLUMN())),OFFSET($K$2,0,0,ROW()-1,5),ROW()-1,FALSE))</f>
        <v>2.4981999999999999E-3</v>
      </c>
      <c r="I569">
        <f ca="1">IF(AND(ISNUMBER($I$1670),$B$1132=1),$I$1670,HLOOKUP(INDIRECT(ADDRESS(2,COLUMN())),OFFSET($K$2,0,0,ROW()-1,5),ROW()-1,FALSE))</f>
        <v>2.2721999999999998E-3</v>
      </c>
      <c r="J569">
        <f ca="1">IF(AND(ISNUMBER($J$1670),$B$1132=1),$J$1670,HLOOKUP(INDIRECT(ADDRESS(2,COLUMN())),OFFSET($K$2,0,0,ROW()-1,5),ROW()-1,FALSE))</f>
        <v>2.69448E-3</v>
      </c>
      <c r="K569">
        <f>0.00367026</f>
        <v>3.6702599999999998E-3</v>
      </c>
      <c r="L569">
        <f>0.00333665</f>
        <v>3.33665E-3</v>
      </c>
      <c r="M569">
        <f>0.0024982</f>
        <v>2.4981999999999999E-3</v>
      </c>
      <c r="N569">
        <f>0.0022722</f>
        <v>2.2721999999999998E-3</v>
      </c>
      <c r="O569">
        <f>0.00269448</f>
        <v>2.69448E-3</v>
      </c>
    </row>
    <row r="570" spans="1:15" x14ac:dyDescent="0.25">
      <c r="A570" t="str">
        <f>"                    Finning International Inc"</f>
        <v xml:space="preserve">                    Finning International Inc</v>
      </c>
      <c r="B570" t="str">
        <f>"FTT CN Equity"</f>
        <v>FTT CN Equity</v>
      </c>
      <c r="C570" t="str">
        <f t="shared" si="60"/>
        <v>F0946</v>
      </c>
      <c r="D570" t="str">
        <f t="shared" si="61"/>
        <v>TOTAL_GHG_CO2_EMISSIONS</v>
      </c>
      <c r="E570" t="str">
        <f t="shared" si="62"/>
        <v>Dynamic</v>
      </c>
      <c r="F570">
        <f ca="1">IF(AND(ISNUMBER($F$1671),$B$1132=1),$F$1671,HLOOKUP(INDIRECT(ADDRESS(2,COLUMN())),OFFSET($K$2,0,0,ROW()-1,5),ROW()-1,FALSE))</f>
        <v>8.0028000000000002E-2</v>
      </c>
      <c r="G570">
        <f ca="1">IF(AND(ISNUMBER($G$1671),$B$1132=1),$G$1671,HLOOKUP(INDIRECT(ADDRESS(2,COLUMN())),OFFSET($K$2,0,0,ROW()-1,5),ROW()-1,FALSE))</f>
        <v>9.4232001999999995E-2</v>
      </c>
      <c r="H570">
        <f ca="1">IF(AND(ISNUMBER($H$1671),$B$1132=1),$H$1671,HLOOKUP(INDIRECT(ADDRESS(2,COLUMN())),OFFSET($K$2,0,0,ROW()-1,5),ROW()-1,FALSE))</f>
        <v>8.0902000000000002E-2</v>
      </c>
      <c r="I570">
        <f ca="1">IF(AND(ISNUMBER($I$1671),$B$1132=1),$I$1671,HLOOKUP(INDIRECT(ADDRESS(2,COLUMN())),OFFSET($K$2,0,0,ROW()-1,5),ROW()-1,FALSE))</f>
        <v>0.100559998</v>
      </c>
      <c r="J570">
        <f ca="1">IF(AND(ISNUMBER($J$1671),$B$1132=1),$J$1671,HLOOKUP(INDIRECT(ADDRESS(2,COLUMN())),OFFSET($K$2,0,0,ROW()-1,5),ROW()-1,FALSE))</f>
        <v>0.104755997</v>
      </c>
      <c r="K570">
        <f>0.080028</f>
        <v>8.0028000000000002E-2</v>
      </c>
      <c r="L570">
        <f>0.094232002</f>
        <v>9.4232001999999995E-2</v>
      </c>
      <c r="M570">
        <f>0.080902</f>
        <v>8.0902000000000002E-2</v>
      </c>
      <c r="N570">
        <f>0.100559998</f>
        <v>0.100559998</v>
      </c>
      <c r="O570">
        <f>0.104755997</f>
        <v>0.104755997</v>
      </c>
    </row>
    <row r="571" spans="1:15" x14ac:dyDescent="0.25">
      <c r="A571" t="str">
        <f>"                    First Tractor Co Ltd"</f>
        <v xml:space="preserve">                    First Tractor Co Ltd</v>
      </c>
      <c r="B571" t="str">
        <f>"601038 CH Equity"</f>
        <v>601038 CH Equity</v>
      </c>
      <c r="C571" t="str">
        <f t="shared" si="60"/>
        <v>F0946</v>
      </c>
      <c r="D571" t="str">
        <f t="shared" si="61"/>
        <v>TOTAL_GHG_CO2_EMISSIONS</v>
      </c>
      <c r="E571" t="str">
        <f t="shared" si="62"/>
        <v>Dynamic</v>
      </c>
      <c r="F571" t="str">
        <f ca="1">IF(AND(ISNUMBER($F$1672),$B$1132=1),$F$1672,HLOOKUP(INDIRECT(ADDRESS(2,COLUMN())),OFFSET($K$2,0,0,ROW()-1,5),ROW()-1,FALSE))</f>
        <v/>
      </c>
      <c r="G571">
        <f ca="1">IF(AND(ISNUMBER($G$1672),$B$1132=1),$G$1672,HLOOKUP(INDIRECT(ADDRESS(2,COLUMN())),OFFSET($K$2,0,0,ROW()-1,5),ROW()-1,FALSE))</f>
        <v>0.14616000400000001</v>
      </c>
      <c r="H571">
        <f ca="1">IF(AND(ISNUMBER($H$1672),$B$1132=1),$H$1672,HLOOKUP(INDIRECT(ADDRESS(2,COLUMN())),OFFSET($K$2,0,0,ROW()-1,5),ROW()-1,FALSE))</f>
        <v>0.139703995</v>
      </c>
      <c r="I571">
        <f ca="1">IF(AND(ISNUMBER($I$1672),$B$1132=1),$I$1672,HLOOKUP(INDIRECT(ADDRESS(2,COLUMN())),OFFSET($K$2,0,0,ROW()-1,5),ROW()-1,FALSE))</f>
        <v>0.117144997</v>
      </c>
      <c r="J571">
        <f ca="1">IF(AND(ISNUMBER($J$1672),$B$1132=1),$J$1672,HLOOKUP(INDIRECT(ADDRESS(2,COLUMN())),OFFSET($K$2,0,0,ROW()-1,5),ROW()-1,FALSE))</f>
        <v>0.142546005</v>
      </c>
      <c r="K571" t="str">
        <f>""</f>
        <v/>
      </c>
      <c r="L571">
        <f>0.146160004</f>
        <v>0.14616000400000001</v>
      </c>
      <c r="M571">
        <f>0.139703995</f>
        <v>0.139703995</v>
      </c>
      <c r="N571">
        <f>0.117144997</f>
        <v>0.117144997</v>
      </c>
      <c r="O571">
        <f>0.142546005</f>
        <v>0.142546005</v>
      </c>
    </row>
    <row r="572" spans="1:15" x14ac:dyDescent="0.25">
      <c r="A572" t="str">
        <f>"                    FLSmidth &amp; Co A/S"</f>
        <v xml:space="preserve">                    FLSmidth &amp; Co A/S</v>
      </c>
      <c r="B572" t="str">
        <f>"FLS DC Equity"</f>
        <v>FLS DC Equity</v>
      </c>
      <c r="C572" t="str">
        <f t="shared" si="60"/>
        <v>F0946</v>
      </c>
      <c r="D572" t="str">
        <f t="shared" si="61"/>
        <v>TOTAL_GHG_CO2_EMISSIONS</v>
      </c>
      <c r="E572" t="str">
        <f t="shared" si="62"/>
        <v>Dynamic</v>
      </c>
      <c r="F572">
        <f ca="1">IF(AND(ISNUMBER($F$1673),$B$1132=1),$F$1673,HLOOKUP(INDIRECT(ADDRESS(2,COLUMN())),OFFSET($K$2,0,0,ROW()-1,5),ROW()-1,FALSE))</f>
        <v>3.6507998999999999E-2</v>
      </c>
      <c r="G572">
        <f ca="1">IF(AND(ISNUMBER($G$1673),$B$1132=1),$G$1673,HLOOKUP(INDIRECT(ADDRESS(2,COLUMN())),OFFSET($K$2,0,0,ROW()-1,5),ROW()-1,FALSE))</f>
        <v>3.7830002000000001E-2</v>
      </c>
      <c r="H572">
        <f ca="1">IF(AND(ISNUMBER($H$1673),$B$1132=1),$H$1673,HLOOKUP(INDIRECT(ADDRESS(2,COLUMN())),OFFSET($K$2,0,0,ROW()-1,5),ROW()-1,FALSE))</f>
        <v>3.6957499999999997E-2</v>
      </c>
      <c r="I572">
        <f ca="1">IF(AND(ISNUMBER($I$1673),$B$1132=1),$I$1673,HLOOKUP(INDIRECT(ADDRESS(2,COLUMN())),OFFSET($K$2,0,0,ROW()-1,5),ROW()-1,FALSE))</f>
        <v>5.0745998E-2</v>
      </c>
      <c r="J572">
        <f ca="1">IF(AND(ISNUMBER($J$1673),$B$1132=1),$J$1673,HLOOKUP(INDIRECT(ADDRESS(2,COLUMN())),OFFSET($K$2,0,0,ROW()-1,5),ROW()-1,FALSE))</f>
        <v>6.0430999999999999E-2</v>
      </c>
      <c r="K572">
        <f>0.036507999</f>
        <v>3.6507998999999999E-2</v>
      </c>
      <c r="L572">
        <f>0.037830002</f>
        <v>3.7830002000000001E-2</v>
      </c>
      <c r="M572">
        <f>0.0369575</f>
        <v>3.6957499999999997E-2</v>
      </c>
      <c r="N572">
        <f>0.050745998</f>
        <v>5.0745998E-2</v>
      </c>
      <c r="O572">
        <f>0.060431</f>
        <v>6.0430999999999999E-2</v>
      </c>
    </row>
    <row r="573" spans="1:15" x14ac:dyDescent="0.25">
      <c r="A573" t="str">
        <f>"                    Weichai Lovol Heavy Industry C"</f>
        <v xml:space="preserve">                    Weichai Lovol Heavy Industry C</v>
      </c>
      <c r="B573" t="str">
        <f>"FLIHIZ CH Equity"</f>
        <v>FLIHIZ CH Equity</v>
      </c>
      <c r="C573" t="str">
        <f t="shared" si="60"/>
        <v>F0946</v>
      </c>
      <c r="D573" t="str">
        <f t="shared" si="61"/>
        <v>TOTAL_GHG_CO2_EMISSIONS</v>
      </c>
      <c r="E573" t="str">
        <f t="shared" si="62"/>
        <v>Dynamic</v>
      </c>
      <c r="F573" t="str">
        <f ca="1">IF(AND(ISNUMBER($F$1674),$B$1132=1),$F$1674,HLOOKUP(INDIRECT(ADDRESS(2,COLUMN())),OFFSET($K$2,0,0,ROW()-1,5),ROW()-1,FALSE))</f>
        <v/>
      </c>
      <c r="G573" t="str">
        <f ca="1">IF(AND(ISNUMBER($G$1674),$B$1132=1),$G$1674,HLOOKUP(INDIRECT(ADDRESS(2,COLUMN())),OFFSET($K$2,0,0,ROW()-1,5),ROW()-1,FALSE))</f>
        <v/>
      </c>
      <c r="H573" t="str">
        <f ca="1">IF(AND(ISNUMBER($H$1674),$B$1132=1),$H$1674,HLOOKUP(INDIRECT(ADDRESS(2,COLUMN())),OFFSET($K$2,0,0,ROW()-1,5),ROW()-1,FALSE))</f>
        <v/>
      </c>
      <c r="I573" t="str">
        <f ca="1">IF(AND(ISNUMBER($I$1674),$B$1132=1),$I$1674,HLOOKUP(INDIRECT(ADDRESS(2,COLUMN())),OFFSET($K$2,0,0,ROW()-1,5),ROW()-1,FALSE))</f>
        <v/>
      </c>
      <c r="J573" t="str">
        <f ca="1">IF(AND(ISNUMBER($J$1674),$B$1132=1),$J$1674,HLOOKUP(INDIRECT(ADDRESS(2,COLUMN())),OFFSET($K$2,0,0,ROW()-1,5),ROW()-1,FALSE))</f>
        <v/>
      </c>
      <c r="K573" t="str">
        <f>""</f>
        <v/>
      </c>
      <c r="L573" t="str">
        <f>""</f>
        <v/>
      </c>
      <c r="M573" t="str">
        <f>""</f>
        <v/>
      </c>
      <c r="N573" t="str">
        <f>""</f>
        <v/>
      </c>
      <c r="O573" t="str">
        <f>""</f>
        <v/>
      </c>
    </row>
    <row r="574" spans="1:15" x14ac:dyDescent="0.25">
      <c r="A574" t="str">
        <f>"                    Furukawa Co Ltd"</f>
        <v xml:space="preserve">                    Furukawa Co Ltd</v>
      </c>
      <c r="B574" t="str">
        <f>"5715 JP Equity"</f>
        <v>5715 JP Equity</v>
      </c>
      <c r="C574" t="str">
        <f t="shared" si="60"/>
        <v>F0946</v>
      </c>
      <c r="D574" t="str">
        <f t="shared" si="61"/>
        <v>TOTAL_GHG_CO2_EMISSIONS</v>
      </c>
      <c r="E574" t="str">
        <f t="shared" si="62"/>
        <v>Dynamic</v>
      </c>
      <c r="F574" t="str">
        <f ca="1">IF(AND(ISNUMBER($F$1675),$B$1132=1),$F$1675,HLOOKUP(INDIRECT(ADDRESS(2,COLUMN())),OFFSET($K$2,0,0,ROW()-1,5),ROW()-1,FALSE))</f>
        <v/>
      </c>
      <c r="G574">
        <f ca="1">IF(AND(ISNUMBER($G$1675),$B$1132=1),$G$1675,HLOOKUP(INDIRECT(ADDRESS(2,COLUMN())),OFFSET($K$2,0,0,ROW()-1,5),ROW()-1,FALSE))</f>
        <v>2.2103999999999999E-2</v>
      </c>
      <c r="H574">
        <f ca="1">IF(AND(ISNUMBER($H$1675),$B$1132=1),$H$1675,HLOOKUP(INDIRECT(ADDRESS(2,COLUMN())),OFFSET($K$2,0,0,ROW()-1,5),ROW()-1,FALSE))</f>
        <v>2.0903000000000001E-2</v>
      </c>
      <c r="I574">
        <f ca="1">IF(AND(ISNUMBER($I$1675),$B$1132=1),$I$1675,HLOOKUP(INDIRECT(ADDRESS(2,COLUMN())),OFFSET($K$2,0,0,ROW()-1,5),ROW()-1,FALSE))</f>
        <v>2.1930000000000002E-2</v>
      </c>
      <c r="J574">
        <f ca="1">IF(AND(ISNUMBER($J$1675),$B$1132=1),$J$1675,HLOOKUP(INDIRECT(ADDRESS(2,COLUMN())),OFFSET($K$2,0,0,ROW()-1,5),ROW()-1,FALSE))</f>
        <v>2.5999999999999999E-2</v>
      </c>
      <c r="K574" t="str">
        <f>""</f>
        <v/>
      </c>
      <c r="L574">
        <f>0.022104</f>
        <v>2.2103999999999999E-2</v>
      </c>
      <c r="M574">
        <f>0.020903</f>
        <v>2.0903000000000001E-2</v>
      </c>
      <c r="N574">
        <f>0.02193</f>
        <v>2.1930000000000002E-2</v>
      </c>
      <c r="O574">
        <f>0.026</f>
        <v>2.5999999999999999E-2</v>
      </c>
    </row>
    <row r="575" spans="1:15" x14ac:dyDescent="0.25">
      <c r="A575" t="str">
        <f>"                    Gecoss Corp"</f>
        <v xml:space="preserve">                    Gecoss Corp</v>
      </c>
      <c r="B575" t="str">
        <f>"9991 JP Equity"</f>
        <v>9991 JP Equity</v>
      </c>
      <c r="C575" t="str">
        <f t="shared" si="60"/>
        <v>F0946</v>
      </c>
      <c r="D575" t="str">
        <f t="shared" si="61"/>
        <v>TOTAL_GHG_CO2_EMISSIONS</v>
      </c>
      <c r="E575" t="str">
        <f t="shared" si="62"/>
        <v>Dynamic</v>
      </c>
      <c r="F575" t="str">
        <f ca="1">IF(AND(ISNUMBER($F$1676),$B$1132=1),$F$1676,HLOOKUP(INDIRECT(ADDRESS(2,COLUMN())),OFFSET($K$2,0,0,ROW()-1,5),ROW()-1,FALSE))</f>
        <v/>
      </c>
      <c r="G575" t="str">
        <f ca="1">IF(AND(ISNUMBER($G$1676),$B$1132=1),$G$1676,HLOOKUP(INDIRECT(ADDRESS(2,COLUMN())),OFFSET($K$2,0,0,ROW()-1,5),ROW()-1,FALSE))</f>
        <v/>
      </c>
      <c r="H575" t="str">
        <f ca="1">IF(AND(ISNUMBER($H$1676),$B$1132=1),$H$1676,HLOOKUP(INDIRECT(ADDRESS(2,COLUMN())),OFFSET($K$2,0,0,ROW()-1,5),ROW()-1,FALSE))</f>
        <v/>
      </c>
      <c r="I575" t="str">
        <f ca="1">IF(AND(ISNUMBER($I$1676),$B$1132=1),$I$1676,HLOOKUP(INDIRECT(ADDRESS(2,COLUMN())),OFFSET($K$2,0,0,ROW()-1,5),ROW()-1,FALSE))</f>
        <v/>
      </c>
      <c r="J575" t="str">
        <f ca="1">IF(AND(ISNUMBER($J$1676),$B$1132=1),$J$1676,HLOOKUP(INDIRECT(ADDRESS(2,COLUMN())),OFFSET($K$2,0,0,ROW()-1,5),ROW()-1,FALSE))</f>
        <v/>
      </c>
      <c r="K575" t="str">
        <f>""</f>
        <v/>
      </c>
      <c r="L575" t="str">
        <f>""</f>
        <v/>
      </c>
      <c r="M575" t="str">
        <f>""</f>
        <v/>
      </c>
      <c r="N575" t="str">
        <f>""</f>
        <v/>
      </c>
      <c r="O575" t="str">
        <f>""</f>
        <v/>
      </c>
    </row>
    <row r="576" spans="1:15" x14ac:dyDescent="0.25">
      <c r="A576" t="str">
        <f>"                    General de Alquiler de Maquina"</f>
        <v xml:space="preserve">                    General de Alquiler de Maquina</v>
      </c>
      <c r="B576" t="str">
        <f>"GAM SM Equity"</f>
        <v>GAM SM Equity</v>
      </c>
      <c r="C576" t="str">
        <f t="shared" si="60"/>
        <v>F0946</v>
      </c>
      <c r="D576" t="str">
        <f t="shared" si="61"/>
        <v>TOTAL_GHG_CO2_EMISSIONS</v>
      </c>
      <c r="E576" t="str">
        <f t="shared" si="62"/>
        <v>Dynamic</v>
      </c>
      <c r="F576">
        <f ca="1">IF(AND(ISNUMBER($F$1677),$B$1132=1),$F$1677,HLOOKUP(INDIRECT(ADDRESS(2,COLUMN())),OFFSET($K$2,0,0,ROW()-1,5),ROW()-1,FALSE))</f>
        <v>7.7679999999999997E-3</v>
      </c>
      <c r="G576">
        <f ca="1">IF(AND(ISNUMBER($G$1677),$B$1132=1),$G$1677,HLOOKUP(INDIRECT(ADDRESS(2,COLUMN())),OFFSET($K$2,0,0,ROW()-1,5),ROW()-1,FALSE))</f>
        <v>9.1149999999999998E-3</v>
      </c>
      <c r="H576">
        <f ca="1">IF(AND(ISNUMBER($H$1677),$B$1132=1),$H$1677,HLOOKUP(INDIRECT(ADDRESS(2,COLUMN())),OFFSET($K$2,0,0,ROW()-1,5),ROW()-1,FALSE))</f>
        <v>7.0989499999999997E-3</v>
      </c>
      <c r="I576">
        <f ca="1">IF(AND(ISNUMBER($I$1677),$B$1132=1),$I$1677,HLOOKUP(INDIRECT(ADDRESS(2,COLUMN())),OFFSET($K$2,0,0,ROW()-1,5),ROW()-1,FALSE))</f>
        <v>9.2130000000000007E-3</v>
      </c>
      <c r="J576" t="str">
        <f ca="1">IF(AND(ISNUMBER($J$1677),$B$1132=1),$J$1677,HLOOKUP(INDIRECT(ADDRESS(2,COLUMN())),OFFSET($K$2,0,0,ROW()-1,5),ROW()-1,FALSE))</f>
        <v/>
      </c>
      <c r="K576">
        <f>0.007768</f>
        <v>7.7679999999999997E-3</v>
      </c>
      <c r="L576">
        <f>0.009115</f>
        <v>9.1149999999999998E-3</v>
      </c>
      <c r="M576">
        <f>0.00709895</f>
        <v>7.0989499999999997E-3</v>
      </c>
      <c r="N576">
        <f>0.009213</f>
        <v>9.2130000000000007E-3</v>
      </c>
      <c r="O576" t="str">
        <f>""</f>
        <v/>
      </c>
    </row>
    <row r="577" spans="1:15" x14ac:dyDescent="0.25">
      <c r="A577" t="str">
        <f>"                    Gifore Agricultural Science &amp;"</f>
        <v xml:space="preserve">                    Gifore Agricultural Science &amp;</v>
      </c>
      <c r="B577" t="str">
        <f>"300022 CH Equity"</f>
        <v>300022 CH Equity</v>
      </c>
      <c r="C577" t="str">
        <f t="shared" si="60"/>
        <v>F0946</v>
      </c>
      <c r="D577" t="str">
        <f t="shared" si="61"/>
        <v>TOTAL_GHG_CO2_EMISSIONS</v>
      </c>
      <c r="E577" t="str">
        <f t="shared" si="62"/>
        <v>Dynamic</v>
      </c>
      <c r="F577" t="str">
        <f ca="1">IF(AND(ISNUMBER($F$1678),$B$1132=1),$F$1678,HLOOKUP(INDIRECT(ADDRESS(2,COLUMN())),OFFSET($K$2,0,0,ROW()-1,5),ROW()-1,FALSE))</f>
        <v/>
      </c>
      <c r="G577" t="str">
        <f ca="1">IF(AND(ISNUMBER($G$1678),$B$1132=1),$G$1678,HLOOKUP(INDIRECT(ADDRESS(2,COLUMN())),OFFSET($K$2,0,0,ROW()-1,5),ROW()-1,FALSE))</f>
        <v/>
      </c>
      <c r="H577" t="str">
        <f ca="1">IF(AND(ISNUMBER($H$1678),$B$1132=1),$H$1678,HLOOKUP(INDIRECT(ADDRESS(2,COLUMN())),OFFSET($K$2,0,0,ROW()-1,5),ROW()-1,FALSE))</f>
        <v/>
      </c>
      <c r="I577" t="str">
        <f ca="1">IF(AND(ISNUMBER($I$1678),$B$1132=1),$I$1678,HLOOKUP(INDIRECT(ADDRESS(2,COLUMN())),OFFSET($K$2,0,0,ROW()-1,5),ROW()-1,FALSE))</f>
        <v/>
      </c>
      <c r="J577" t="str">
        <f ca="1">IF(AND(ISNUMBER($J$1678),$B$1132=1),$J$1678,HLOOKUP(INDIRECT(ADDRESS(2,COLUMN())),OFFSET($K$2,0,0,ROW()-1,5),ROW()-1,FALSE))</f>
        <v/>
      </c>
      <c r="K577" t="str">
        <f>""</f>
        <v/>
      </c>
      <c r="L577" t="str">
        <f>""</f>
        <v/>
      </c>
      <c r="M577" t="str">
        <f>""</f>
        <v/>
      </c>
      <c r="N577" t="str">
        <f>""</f>
        <v/>
      </c>
      <c r="O577" t="str">
        <f>""</f>
        <v/>
      </c>
    </row>
    <row r="578" spans="1:15" x14ac:dyDescent="0.25">
      <c r="A578" t="str">
        <f>"                    Guangxi Liugong Machinery Co L"</f>
        <v xml:space="preserve">                    Guangxi Liugong Machinery Co L</v>
      </c>
      <c r="B578" t="str">
        <f>"000528 CH Equity"</f>
        <v>000528 CH Equity</v>
      </c>
      <c r="C578" t="str">
        <f t="shared" si="60"/>
        <v>F0946</v>
      </c>
      <c r="D578" t="str">
        <f t="shared" si="61"/>
        <v>TOTAL_GHG_CO2_EMISSIONS</v>
      </c>
      <c r="E578" t="str">
        <f t="shared" si="62"/>
        <v>Dynamic</v>
      </c>
      <c r="F578" t="str">
        <f ca="1">IF(AND(ISNUMBER($F$1679),$B$1132=1),$F$1679,HLOOKUP(INDIRECT(ADDRESS(2,COLUMN())),OFFSET($K$2,0,0,ROW()-1,5),ROW()-1,FALSE))</f>
        <v/>
      </c>
      <c r="G578" t="str">
        <f ca="1">IF(AND(ISNUMBER($G$1679),$B$1132=1),$G$1679,HLOOKUP(INDIRECT(ADDRESS(2,COLUMN())),OFFSET($K$2,0,0,ROW()-1,5),ROW()-1,FALSE))</f>
        <v/>
      </c>
      <c r="H578" t="str">
        <f ca="1">IF(AND(ISNUMBER($H$1679),$B$1132=1),$H$1679,HLOOKUP(INDIRECT(ADDRESS(2,COLUMN())),OFFSET($K$2,0,0,ROW()-1,5),ROW()-1,FALSE))</f>
        <v/>
      </c>
      <c r="I578" t="str">
        <f ca="1">IF(AND(ISNUMBER($I$1679),$B$1132=1),$I$1679,HLOOKUP(INDIRECT(ADDRESS(2,COLUMN())),OFFSET($K$2,0,0,ROW()-1,5),ROW()-1,FALSE))</f>
        <v/>
      </c>
      <c r="J578" t="str">
        <f ca="1">IF(AND(ISNUMBER($J$1679),$B$1132=1),$J$1679,HLOOKUP(INDIRECT(ADDRESS(2,COLUMN())),OFFSET($K$2,0,0,ROW()-1,5),ROW()-1,FALSE))</f>
        <v/>
      </c>
      <c r="K578" t="str">
        <f>""</f>
        <v/>
      </c>
      <c r="L578" t="str">
        <f>""</f>
        <v/>
      </c>
      <c r="M578" t="str">
        <f>""</f>
        <v/>
      </c>
      <c r="N578" t="str">
        <f>""</f>
        <v/>
      </c>
      <c r="O578" t="str">
        <f>""</f>
        <v/>
      </c>
    </row>
    <row r="579" spans="1:15" x14ac:dyDescent="0.25">
      <c r="A579" t="str">
        <f>"                    H&amp;E Equipment Services Inc"</f>
        <v xml:space="preserve">                    H&amp;E Equipment Services Inc</v>
      </c>
      <c r="B579" t="str">
        <f>"HEES US Equity"</f>
        <v>HEES US Equity</v>
      </c>
      <c r="C579" t="str">
        <f t="shared" ref="C579:C610" si="63">"F0946"</f>
        <v>F0946</v>
      </c>
      <c r="D579" t="str">
        <f t="shared" ref="D579:D610" si="64">"TOTAL_GHG_CO2_EMISSIONS"</f>
        <v>TOTAL_GHG_CO2_EMISSIONS</v>
      </c>
      <c r="E579" t="str">
        <f t="shared" ref="E579:E610" si="65">"Dynamic"</f>
        <v>Dynamic</v>
      </c>
      <c r="F579" t="str">
        <f ca="1">IF(AND(ISNUMBER($F$1680),$B$1132=1),$F$1680,HLOOKUP(INDIRECT(ADDRESS(2,COLUMN())),OFFSET($K$2,0,0,ROW()-1,5),ROW()-1,FALSE))</f>
        <v/>
      </c>
      <c r="G579" t="str">
        <f ca="1">IF(AND(ISNUMBER($G$1680),$B$1132=1),$G$1680,HLOOKUP(INDIRECT(ADDRESS(2,COLUMN())),OFFSET($K$2,0,0,ROW()-1,5),ROW()-1,FALSE))</f>
        <v/>
      </c>
      <c r="H579" t="str">
        <f ca="1">IF(AND(ISNUMBER($H$1680),$B$1132=1),$H$1680,HLOOKUP(INDIRECT(ADDRESS(2,COLUMN())),OFFSET($K$2,0,0,ROW()-1,5),ROW()-1,FALSE))</f>
        <v/>
      </c>
      <c r="I579" t="str">
        <f ca="1">IF(AND(ISNUMBER($I$1680),$B$1132=1),$I$1680,HLOOKUP(INDIRECT(ADDRESS(2,COLUMN())),OFFSET($K$2,0,0,ROW()-1,5),ROW()-1,FALSE))</f>
        <v/>
      </c>
      <c r="J579" t="str">
        <f ca="1">IF(AND(ISNUMBER($J$1680),$B$1132=1),$J$1680,HLOOKUP(INDIRECT(ADDRESS(2,COLUMN())),OFFSET($K$2,0,0,ROW()-1,5),ROW()-1,FALSE))</f>
        <v/>
      </c>
      <c r="K579" t="str">
        <f>""</f>
        <v/>
      </c>
      <c r="L579" t="str">
        <f>""</f>
        <v/>
      </c>
      <c r="M579" t="str">
        <f>""</f>
        <v/>
      </c>
      <c r="N579" t="str">
        <f>""</f>
        <v/>
      </c>
      <c r="O579" t="str">
        <f>""</f>
        <v/>
      </c>
    </row>
    <row r="580" spans="1:15" x14ac:dyDescent="0.25">
      <c r="A580" t="str">
        <f>"                    Haulotte Group SA"</f>
        <v xml:space="preserve">                    Haulotte Group SA</v>
      </c>
      <c r="B580" t="str">
        <f>"PIG FP Equity"</f>
        <v>PIG FP Equity</v>
      </c>
      <c r="C580" t="str">
        <f t="shared" si="63"/>
        <v>F0946</v>
      </c>
      <c r="D580" t="str">
        <f t="shared" si="64"/>
        <v>TOTAL_GHG_CO2_EMISSIONS</v>
      </c>
      <c r="E580" t="str">
        <f t="shared" si="65"/>
        <v>Dynamic</v>
      </c>
      <c r="F580">
        <f ca="1">IF(AND(ISNUMBER($F$1681),$B$1132=1),$F$1681,HLOOKUP(INDIRECT(ADDRESS(2,COLUMN())),OFFSET($K$2,0,0,ROW()-1,5),ROW()-1,FALSE))</f>
        <v>1.0007E-2</v>
      </c>
      <c r="G580">
        <f ca="1">IF(AND(ISNUMBER($G$1681),$B$1132=1),$G$1681,HLOOKUP(INDIRECT(ADDRESS(2,COLUMN())),OFFSET($K$2,0,0,ROW()-1,5),ROW()-1,FALSE))</f>
        <v>5.6620000000000004E-3</v>
      </c>
      <c r="H580">
        <f ca="1">IF(AND(ISNUMBER($H$1681),$B$1132=1),$H$1681,HLOOKUP(INDIRECT(ADDRESS(2,COLUMN())),OFFSET($K$2,0,0,ROW()-1,5),ROW()-1,FALSE))</f>
        <v>3.3040000000000001E-3</v>
      </c>
      <c r="I580">
        <f ca="1">IF(AND(ISNUMBER($I$1681),$B$1132=1),$I$1681,HLOOKUP(INDIRECT(ADDRESS(2,COLUMN())),OFFSET($K$2,0,0,ROW()-1,5),ROW()-1,FALSE))</f>
        <v>6.5709999999999996E-3</v>
      </c>
      <c r="J580">
        <f ca="1">IF(AND(ISNUMBER($J$1681),$B$1132=1),$J$1681,HLOOKUP(INDIRECT(ADDRESS(2,COLUMN())),OFFSET($K$2,0,0,ROW()-1,5),ROW()-1,FALSE))</f>
        <v>7.5510000000000004E-3</v>
      </c>
      <c r="K580">
        <f>0.010007</f>
        <v>1.0007E-2</v>
      </c>
      <c r="L580">
        <f>0.005662</f>
        <v>5.6620000000000004E-3</v>
      </c>
      <c r="M580">
        <f>0.003304</f>
        <v>3.3040000000000001E-3</v>
      </c>
      <c r="N580">
        <f>0.006571</f>
        <v>6.5709999999999996E-3</v>
      </c>
      <c r="O580">
        <f>0.007551</f>
        <v>7.5510000000000004E-3</v>
      </c>
    </row>
    <row r="581" spans="1:15" x14ac:dyDescent="0.25">
      <c r="A581" t="str">
        <f>"                    Herc Holdings Inc"</f>
        <v xml:space="preserve">                    Herc Holdings Inc</v>
      </c>
      <c r="B581" t="str">
        <f>"HRI US Equity"</f>
        <v>HRI US Equity</v>
      </c>
      <c r="C581" t="str">
        <f t="shared" si="63"/>
        <v>F0946</v>
      </c>
      <c r="D581" t="str">
        <f t="shared" si="64"/>
        <v>TOTAL_GHG_CO2_EMISSIONS</v>
      </c>
      <c r="E581" t="str">
        <f t="shared" si="65"/>
        <v>Dynamic</v>
      </c>
      <c r="F581" t="str">
        <f ca="1">IF(AND(ISNUMBER($F$1682),$B$1132=1),$F$1682,HLOOKUP(INDIRECT(ADDRESS(2,COLUMN())),OFFSET($K$2,0,0,ROW()-1,5),ROW()-1,FALSE))</f>
        <v/>
      </c>
      <c r="G581" t="str">
        <f ca="1">IF(AND(ISNUMBER($G$1682),$B$1132=1),$G$1682,HLOOKUP(INDIRECT(ADDRESS(2,COLUMN())),OFFSET($K$2,0,0,ROW()-1,5),ROW()-1,FALSE))</f>
        <v/>
      </c>
      <c r="H581" t="str">
        <f ca="1">IF(AND(ISNUMBER($H$1682),$B$1132=1),$H$1682,HLOOKUP(INDIRECT(ADDRESS(2,COLUMN())),OFFSET($K$2,0,0,ROW()-1,5),ROW()-1,FALSE))</f>
        <v/>
      </c>
      <c r="I581" t="str">
        <f ca="1">IF(AND(ISNUMBER($I$1682),$B$1132=1),$I$1682,HLOOKUP(INDIRECT(ADDRESS(2,COLUMN())),OFFSET($K$2,0,0,ROW()-1,5),ROW()-1,FALSE))</f>
        <v/>
      </c>
      <c r="J581" t="str">
        <f ca="1">IF(AND(ISNUMBER($J$1682),$B$1132=1),$J$1682,HLOOKUP(INDIRECT(ADDRESS(2,COLUMN())),OFFSET($K$2,0,0,ROW()-1,5),ROW()-1,FALSE))</f>
        <v/>
      </c>
      <c r="K581" t="str">
        <f>""</f>
        <v/>
      </c>
      <c r="L581" t="str">
        <f>""</f>
        <v/>
      </c>
      <c r="M581" t="str">
        <f>""</f>
        <v/>
      </c>
      <c r="N581" t="str">
        <f>""</f>
        <v/>
      </c>
      <c r="O581" t="str">
        <f>""</f>
        <v/>
      </c>
    </row>
    <row r="582" spans="1:15" x14ac:dyDescent="0.25">
      <c r="A582" t="str">
        <f>"                    Hexindo Adiperkasa Tbk PT"</f>
        <v xml:space="preserve">                    Hexindo Adiperkasa Tbk PT</v>
      </c>
      <c r="B582" t="str">
        <f>"HEXA IJ Equity"</f>
        <v>HEXA IJ Equity</v>
      </c>
      <c r="C582" t="str">
        <f t="shared" si="63"/>
        <v>F0946</v>
      </c>
      <c r="D582" t="str">
        <f t="shared" si="64"/>
        <v>TOTAL_GHG_CO2_EMISSIONS</v>
      </c>
      <c r="E582" t="str">
        <f t="shared" si="65"/>
        <v>Dynamic</v>
      </c>
      <c r="F582" t="str">
        <f ca="1">IF(AND(ISNUMBER($F$1683),$B$1132=1),$F$1683,HLOOKUP(INDIRECT(ADDRESS(2,COLUMN())),OFFSET($K$2,0,0,ROW()-1,5),ROW()-1,FALSE))</f>
        <v/>
      </c>
      <c r="G582" t="str">
        <f ca="1">IF(AND(ISNUMBER($G$1683),$B$1132=1),$G$1683,HLOOKUP(INDIRECT(ADDRESS(2,COLUMN())),OFFSET($K$2,0,0,ROW()-1,5),ROW()-1,FALSE))</f>
        <v/>
      </c>
      <c r="H582" t="str">
        <f ca="1">IF(AND(ISNUMBER($H$1683),$B$1132=1),$H$1683,HLOOKUP(INDIRECT(ADDRESS(2,COLUMN())),OFFSET($K$2,0,0,ROW()-1,5),ROW()-1,FALSE))</f>
        <v/>
      </c>
      <c r="I582" t="str">
        <f ca="1">IF(AND(ISNUMBER($I$1683),$B$1132=1),$I$1683,HLOOKUP(INDIRECT(ADDRESS(2,COLUMN())),OFFSET($K$2,0,0,ROW()-1,5),ROW()-1,FALSE))</f>
        <v/>
      </c>
      <c r="J582" t="str">
        <f ca="1">IF(AND(ISNUMBER($J$1683),$B$1132=1),$J$1683,HLOOKUP(INDIRECT(ADDRESS(2,COLUMN())),OFFSET($K$2,0,0,ROW()-1,5),ROW()-1,FALSE))</f>
        <v/>
      </c>
      <c r="K582" t="str">
        <f>""</f>
        <v/>
      </c>
      <c r="L582" t="str">
        <f>""</f>
        <v/>
      </c>
      <c r="M582" t="str">
        <f>""</f>
        <v/>
      </c>
      <c r="N582" t="str">
        <f>""</f>
        <v/>
      </c>
      <c r="O582" t="str">
        <f>""</f>
        <v/>
      </c>
    </row>
    <row r="583" spans="1:15" x14ac:dyDescent="0.25">
      <c r="A583" t="str">
        <f>"                    Hitachi Construction Machinery"</f>
        <v xml:space="preserve">                    Hitachi Construction Machinery</v>
      </c>
      <c r="B583" t="str">
        <f>"6305 JP Equity"</f>
        <v>6305 JP Equity</v>
      </c>
      <c r="C583" t="str">
        <f t="shared" si="63"/>
        <v>F0946</v>
      </c>
      <c r="D583" t="str">
        <f t="shared" si="64"/>
        <v>TOTAL_GHG_CO2_EMISSIONS</v>
      </c>
      <c r="E583" t="str">
        <f t="shared" si="65"/>
        <v>Dynamic</v>
      </c>
      <c r="F583" t="str">
        <f ca="1">IF(AND(ISNUMBER($F$1684),$B$1132=1),$F$1684,HLOOKUP(INDIRECT(ADDRESS(2,COLUMN())),OFFSET($K$2,0,0,ROW()-1,5),ROW()-1,FALSE))</f>
        <v/>
      </c>
      <c r="G583">
        <f ca="1">IF(AND(ISNUMBER($G$1684),$B$1132=1),$G$1684,HLOOKUP(INDIRECT(ADDRESS(2,COLUMN())),OFFSET($K$2,0,0,ROW()-1,5),ROW()-1,FALSE))</f>
        <v>0.277096008</v>
      </c>
      <c r="H583">
        <f ca="1">IF(AND(ISNUMBER($H$1684),$B$1132=1),$H$1684,HLOOKUP(INDIRECT(ADDRESS(2,COLUMN())),OFFSET($K$2,0,0,ROW()-1,5),ROW()-1,FALSE))</f>
        <v>0.27520498700000001</v>
      </c>
      <c r="I583">
        <f ca="1">IF(AND(ISNUMBER($I$1684),$B$1132=1),$I$1684,HLOOKUP(INDIRECT(ADDRESS(2,COLUMN())),OFFSET($K$2,0,0,ROW()-1,5),ROW()-1,FALSE))</f>
        <v>0.32481900000000002</v>
      </c>
      <c r="J583">
        <f ca="1">IF(AND(ISNUMBER($J$1684),$B$1132=1),$J$1684,HLOOKUP(INDIRECT(ADDRESS(2,COLUMN())),OFFSET($K$2,0,0,ROW()-1,5),ROW()-1,FALSE))</f>
        <v>0.31961898799999999</v>
      </c>
      <c r="K583" t="str">
        <f>""</f>
        <v/>
      </c>
      <c r="L583">
        <f>0.277096008</f>
        <v>0.277096008</v>
      </c>
      <c r="M583">
        <f>0.275204987</f>
        <v>0.27520498700000001</v>
      </c>
      <c r="N583">
        <f>0.324819</f>
        <v>0.32481900000000002</v>
      </c>
      <c r="O583">
        <f>0.319618988</f>
        <v>0.31961898799999999</v>
      </c>
    </row>
    <row r="584" spans="1:15" x14ac:dyDescent="0.25">
      <c r="A584" t="str">
        <f>"                    Hyundai Doosan Infracore Co Lt"</f>
        <v xml:space="preserve">                    Hyundai Doosan Infracore Co Lt</v>
      </c>
      <c r="B584" t="str">
        <f>"042670 KS Equity"</f>
        <v>042670 KS Equity</v>
      </c>
      <c r="C584" t="str">
        <f t="shared" si="63"/>
        <v>F0946</v>
      </c>
      <c r="D584" t="str">
        <f t="shared" si="64"/>
        <v>TOTAL_GHG_CO2_EMISSIONS</v>
      </c>
      <c r="E584" t="str">
        <f t="shared" si="65"/>
        <v>Dynamic</v>
      </c>
      <c r="F584" t="str">
        <f ca="1">IF(AND(ISNUMBER($F$1685),$B$1132=1),$F$1685,HLOOKUP(INDIRECT(ADDRESS(2,COLUMN())),OFFSET($K$2,0,0,ROW()-1,5),ROW()-1,FALSE))</f>
        <v/>
      </c>
      <c r="G584">
        <f ca="1">IF(AND(ISNUMBER($G$1685),$B$1132=1),$G$1685,HLOOKUP(INDIRECT(ADDRESS(2,COLUMN())),OFFSET($K$2,0,0,ROW()-1,5),ROW()-1,FALSE))</f>
        <v>0.13145399499999999</v>
      </c>
      <c r="H584">
        <f ca="1">IF(AND(ISNUMBER($H$1685),$B$1132=1),$H$1685,HLOOKUP(INDIRECT(ADDRESS(2,COLUMN())),OFFSET($K$2,0,0,ROW()-1,5),ROW()-1,FALSE))</f>
        <v>0.123889</v>
      </c>
      <c r="I584">
        <f ca="1">IF(AND(ISNUMBER($I$1685),$B$1132=1),$I$1685,HLOOKUP(INDIRECT(ADDRESS(2,COLUMN())),OFFSET($K$2,0,0,ROW()-1,5),ROW()-1,FALSE))</f>
        <v>0.141399002</v>
      </c>
      <c r="J584">
        <f ca="1">IF(AND(ISNUMBER($J$1685),$B$1132=1),$J$1685,HLOOKUP(INDIRECT(ADDRESS(2,COLUMN())),OFFSET($K$2,0,0,ROW()-1,5),ROW()-1,FALSE))</f>
        <v>0.14011300700000001</v>
      </c>
      <c r="K584" t="str">
        <f>""</f>
        <v/>
      </c>
      <c r="L584">
        <f>0.131453995</f>
        <v>0.13145399499999999</v>
      </c>
      <c r="M584">
        <f>0.123889</f>
        <v>0.123889</v>
      </c>
      <c r="N584">
        <f>0.141399002</f>
        <v>0.141399002</v>
      </c>
      <c r="O584">
        <f>0.140113007</f>
        <v>0.14011300700000001</v>
      </c>
    </row>
    <row r="585" spans="1:15" x14ac:dyDescent="0.25">
      <c r="A585" t="str">
        <f>"                    JC Bamford Excavators Ltd"</f>
        <v xml:space="preserve">                    JC Bamford Excavators Ltd</v>
      </c>
      <c r="B585" t="str">
        <f>"1324730Z LN Equity"</f>
        <v>1324730Z LN Equity</v>
      </c>
      <c r="C585" t="str">
        <f t="shared" si="63"/>
        <v>F0946</v>
      </c>
      <c r="D585" t="str">
        <f t="shared" si="64"/>
        <v>TOTAL_GHG_CO2_EMISSIONS</v>
      </c>
      <c r="E585" t="str">
        <f t="shared" si="65"/>
        <v>Dynamic</v>
      </c>
      <c r="F585" t="str">
        <f ca="1">IF(AND(ISNUMBER($F$1686),$B$1132=1),$F$1686,HLOOKUP(INDIRECT(ADDRESS(2,COLUMN())),OFFSET($K$2,0,0,ROW()-1,5),ROW()-1,FALSE))</f>
        <v/>
      </c>
      <c r="G585" t="str">
        <f ca="1">IF(AND(ISNUMBER($G$1686),$B$1132=1),$G$1686,HLOOKUP(INDIRECT(ADDRESS(2,COLUMN())),OFFSET($K$2,0,0,ROW()-1,5),ROW()-1,FALSE))</f>
        <v/>
      </c>
      <c r="H585" t="str">
        <f ca="1">IF(AND(ISNUMBER($H$1686),$B$1132=1),$H$1686,HLOOKUP(INDIRECT(ADDRESS(2,COLUMN())),OFFSET($K$2,0,0,ROW()-1,5),ROW()-1,FALSE))</f>
        <v/>
      </c>
      <c r="I585" t="str">
        <f ca="1">IF(AND(ISNUMBER($I$1686),$B$1132=1),$I$1686,HLOOKUP(INDIRECT(ADDRESS(2,COLUMN())),OFFSET($K$2,0,0,ROW()-1,5),ROW()-1,FALSE))</f>
        <v/>
      </c>
      <c r="J585" t="str">
        <f ca="1">IF(AND(ISNUMBER($J$1686),$B$1132=1),$J$1686,HLOOKUP(INDIRECT(ADDRESS(2,COLUMN())),OFFSET($K$2,0,0,ROW()-1,5),ROW()-1,FALSE))</f>
        <v/>
      </c>
      <c r="K585" t="str">
        <f>""</f>
        <v/>
      </c>
      <c r="L585" t="str">
        <f>""</f>
        <v/>
      </c>
      <c r="M585" t="str">
        <f>""</f>
        <v/>
      </c>
      <c r="N585" t="str">
        <f>""</f>
        <v/>
      </c>
      <c r="O585" t="str">
        <f>""</f>
        <v/>
      </c>
    </row>
    <row r="586" spans="1:15" x14ac:dyDescent="0.25">
      <c r="A586" t="str">
        <f>"                    Korea Shipbuilding &amp; Offshore"</f>
        <v xml:space="preserve">                    Korea Shipbuilding &amp; Offshore</v>
      </c>
      <c r="B586" t="str">
        <f>"009540 KS Equity"</f>
        <v>009540 KS Equity</v>
      </c>
      <c r="C586" t="str">
        <f t="shared" si="63"/>
        <v>F0946</v>
      </c>
      <c r="D586" t="str">
        <f t="shared" si="64"/>
        <v>TOTAL_GHG_CO2_EMISSIONS</v>
      </c>
      <c r="E586" t="str">
        <f t="shared" si="65"/>
        <v>Dynamic</v>
      </c>
      <c r="F586" t="str">
        <f ca="1">IF(AND(ISNUMBER($F$1687),$B$1132=1),$F$1687,HLOOKUP(INDIRECT(ADDRESS(2,COLUMN())),OFFSET($K$2,0,0,ROW()-1,5),ROW()-1,FALSE))</f>
        <v/>
      </c>
      <c r="G586">
        <f ca="1">IF(AND(ISNUMBER($G$1687),$B$1132=1),$G$1687,HLOOKUP(INDIRECT(ADDRESS(2,COLUMN())),OFFSET($K$2,0,0,ROW()-1,5),ROW()-1,FALSE))</f>
        <v>0.95534198000000004</v>
      </c>
      <c r="H586">
        <f ca="1">IF(AND(ISNUMBER($H$1687),$B$1132=1),$H$1687,HLOOKUP(INDIRECT(ADDRESS(2,COLUMN())),OFFSET($K$2,0,0,ROW()-1,5),ROW()-1,FALSE))</f>
        <v>0.93211901900000005</v>
      </c>
      <c r="I586">
        <f ca="1">IF(AND(ISNUMBER($I$1687),$B$1132=1),$I$1687,HLOOKUP(INDIRECT(ADDRESS(2,COLUMN())),OFFSET($K$2,0,0,ROW()-1,5),ROW()-1,FALSE))</f>
        <v>0.90634100299999998</v>
      </c>
      <c r="J586">
        <f ca="1">IF(AND(ISNUMBER($J$1687),$B$1132=1),$J$1687,HLOOKUP(INDIRECT(ADDRESS(2,COLUMN())),OFFSET($K$2,0,0,ROW()-1,5),ROW()-1,FALSE))</f>
        <v>0.70157702600000005</v>
      </c>
      <c r="K586" t="str">
        <f>""</f>
        <v/>
      </c>
      <c r="L586">
        <f>0.95534198</f>
        <v>0.95534198000000004</v>
      </c>
      <c r="M586">
        <f>0.932119019</f>
        <v>0.93211901900000005</v>
      </c>
      <c r="N586">
        <f>0.906341003</f>
        <v>0.90634100299999998</v>
      </c>
      <c r="O586">
        <f>0.701577026</f>
        <v>0.70157702600000005</v>
      </c>
    </row>
    <row r="587" spans="1:15" x14ac:dyDescent="0.25">
      <c r="A587" t="str">
        <f>"                    Kukje Machinery Co Ltd"</f>
        <v xml:space="preserve">                    Kukje Machinery Co Ltd</v>
      </c>
      <c r="B587" t="str">
        <f>"1154Z KS Equity"</f>
        <v>1154Z KS Equity</v>
      </c>
      <c r="C587" t="str">
        <f t="shared" si="63"/>
        <v>F0946</v>
      </c>
      <c r="D587" t="str">
        <f t="shared" si="64"/>
        <v>TOTAL_GHG_CO2_EMISSIONS</v>
      </c>
      <c r="E587" t="str">
        <f t="shared" si="65"/>
        <v>Dynamic</v>
      </c>
      <c r="F587" t="str">
        <f ca="1">IF(AND(ISNUMBER($F$1688),$B$1132=1),$F$1688,HLOOKUP(INDIRECT(ADDRESS(2,COLUMN())),OFFSET($K$2,0,0,ROW()-1,5),ROW()-1,FALSE))</f>
        <v/>
      </c>
      <c r="G587" t="str">
        <f ca="1">IF(AND(ISNUMBER($G$1688),$B$1132=1),$G$1688,HLOOKUP(INDIRECT(ADDRESS(2,COLUMN())),OFFSET($K$2,0,0,ROW()-1,5),ROW()-1,FALSE))</f>
        <v/>
      </c>
      <c r="H587" t="str">
        <f ca="1">IF(AND(ISNUMBER($H$1688),$B$1132=1),$H$1688,HLOOKUP(INDIRECT(ADDRESS(2,COLUMN())),OFFSET($K$2,0,0,ROW()-1,5),ROW()-1,FALSE))</f>
        <v/>
      </c>
      <c r="I587" t="str">
        <f ca="1">IF(AND(ISNUMBER($I$1688),$B$1132=1),$I$1688,HLOOKUP(INDIRECT(ADDRESS(2,COLUMN())),OFFSET($K$2,0,0,ROW()-1,5),ROW()-1,FALSE))</f>
        <v/>
      </c>
      <c r="J587" t="str">
        <f ca="1">IF(AND(ISNUMBER($J$1688),$B$1132=1),$J$1688,HLOOKUP(INDIRECT(ADDRESS(2,COLUMN())),OFFSET($K$2,0,0,ROW()-1,5),ROW()-1,FALSE))</f>
        <v/>
      </c>
      <c r="K587" t="str">
        <f>""</f>
        <v/>
      </c>
      <c r="L587" t="str">
        <f>""</f>
        <v/>
      </c>
      <c r="M587" t="str">
        <f>""</f>
        <v/>
      </c>
      <c r="N587" t="str">
        <f>""</f>
        <v/>
      </c>
      <c r="O587" t="str">
        <f>""</f>
        <v/>
      </c>
    </row>
    <row r="588" spans="1:15" x14ac:dyDescent="0.25">
      <c r="A588" t="str">
        <f>"                    Kato Works Co Ltd"</f>
        <v xml:space="preserve">                    Kato Works Co Ltd</v>
      </c>
      <c r="B588" t="str">
        <f>"6390 JP Equity"</f>
        <v>6390 JP Equity</v>
      </c>
      <c r="C588" t="str">
        <f t="shared" si="63"/>
        <v>F0946</v>
      </c>
      <c r="D588" t="str">
        <f t="shared" si="64"/>
        <v>TOTAL_GHG_CO2_EMISSIONS</v>
      </c>
      <c r="E588" t="str">
        <f t="shared" si="65"/>
        <v>Dynamic</v>
      </c>
      <c r="F588" t="str">
        <f ca="1">IF(AND(ISNUMBER($F$1689),$B$1132=1),$F$1689,HLOOKUP(INDIRECT(ADDRESS(2,COLUMN())),OFFSET($K$2,0,0,ROW()-1,5),ROW()-1,FALSE))</f>
        <v/>
      </c>
      <c r="G588" t="str">
        <f ca="1">IF(AND(ISNUMBER($G$1689),$B$1132=1),$G$1689,HLOOKUP(INDIRECT(ADDRESS(2,COLUMN())),OFFSET($K$2,0,0,ROW()-1,5),ROW()-1,FALSE))</f>
        <v/>
      </c>
      <c r="H588" t="str">
        <f ca="1">IF(AND(ISNUMBER($H$1689),$B$1132=1),$H$1689,HLOOKUP(INDIRECT(ADDRESS(2,COLUMN())),OFFSET($K$2,0,0,ROW()-1,5),ROW()-1,FALSE))</f>
        <v/>
      </c>
      <c r="I588" t="str">
        <f ca="1">IF(AND(ISNUMBER($I$1689),$B$1132=1),$I$1689,HLOOKUP(INDIRECT(ADDRESS(2,COLUMN())),OFFSET($K$2,0,0,ROW()-1,5),ROW()-1,FALSE))</f>
        <v/>
      </c>
      <c r="J588" t="str">
        <f ca="1">IF(AND(ISNUMBER($J$1689),$B$1132=1),$J$1689,HLOOKUP(INDIRECT(ADDRESS(2,COLUMN())),OFFSET($K$2,0,0,ROW()-1,5),ROW()-1,FALSE))</f>
        <v/>
      </c>
      <c r="K588" t="str">
        <f>""</f>
        <v/>
      </c>
      <c r="L588" t="str">
        <f>""</f>
        <v/>
      </c>
      <c r="M588" t="str">
        <f>""</f>
        <v/>
      </c>
      <c r="N588" t="str">
        <f>""</f>
        <v/>
      </c>
      <c r="O588" t="str">
        <f>""</f>
        <v/>
      </c>
    </row>
    <row r="589" spans="1:15" x14ac:dyDescent="0.25">
      <c r="A589" t="str">
        <f>"                    Kobe Steel Ltd"</f>
        <v xml:space="preserve">                    Kobe Steel Ltd</v>
      </c>
      <c r="B589" t="str">
        <f>"5406 JP Equity"</f>
        <v>5406 JP Equity</v>
      </c>
      <c r="C589" t="str">
        <f t="shared" si="63"/>
        <v>F0946</v>
      </c>
      <c r="D589" t="str">
        <f t="shared" si="64"/>
        <v>TOTAL_GHG_CO2_EMISSIONS</v>
      </c>
      <c r="E589" t="str">
        <f t="shared" si="65"/>
        <v>Dynamic</v>
      </c>
      <c r="F589" t="str">
        <f ca="1">IF(AND(ISNUMBER($F$1690),$B$1132=1),$F$1690,HLOOKUP(INDIRECT(ADDRESS(2,COLUMN())),OFFSET($K$2,0,0,ROW()-1,5),ROW()-1,FALSE))</f>
        <v/>
      </c>
      <c r="G589">
        <f ca="1">IF(AND(ISNUMBER($G$1690),$B$1132=1),$G$1690,HLOOKUP(INDIRECT(ADDRESS(2,COLUMN())),OFFSET($K$2,0,0,ROW()-1,5),ROW()-1,FALSE))</f>
        <v>16.100000000000001</v>
      </c>
      <c r="H589">
        <f ca="1">IF(AND(ISNUMBER($H$1690),$B$1132=1),$H$1690,HLOOKUP(INDIRECT(ADDRESS(2,COLUMN())),OFFSET($K$2,0,0,ROW()-1,5),ROW()-1,FALSE))</f>
        <v>15.3</v>
      </c>
      <c r="I589">
        <f ca="1">IF(AND(ISNUMBER($I$1690),$B$1132=1),$I$1690,HLOOKUP(INDIRECT(ADDRESS(2,COLUMN())),OFFSET($K$2,0,0,ROW()-1,5),ROW()-1,FALSE))</f>
        <v>16.5</v>
      </c>
      <c r="J589">
        <f ca="1">IF(AND(ISNUMBER($J$1690),$B$1132=1),$J$1690,HLOOKUP(INDIRECT(ADDRESS(2,COLUMN())),OFFSET($K$2,0,0,ROW()-1,5),ROW()-1,FALSE))</f>
        <v>17.399999999999999</v>
      </c>
      <c r="K589" t="str">
        <f>""</f>
        <v/>
      </c>
      <c r="L589">
        <f>16.1</f>
        <v>16.100000000000001</v>
      </c>
      <c r="M589">
        <f>15.3</f>
        <v>15.3</v>
      </c>
      <c r="N589">
        <f>16.5</f>
        <v>16.5</v>
      </c>
      <c r="O589">
        <f>17.4</f>
        <v>17.399999999999999</v>
      </c>
    </row>
    <row r="590" spans="1:15" x14ac:dyDescent="0.25">
      <c r="A590" t="str">
        <f>"                    Komatsu Ltd"</f>
        <v xml:space="preserve">                    Komatsu Ltd</v>
      </c>
      <c r="B590" t="str">
        <f>"6301 JP Equity"</f>
        <v>6301 JP Equity</v>
      </c>
      <c r="C590" t="str">
        <f t="shared" si="63"/>
        <v>F0946</v>
      </c>
      <c r="D590" t="str">
        <f t="shared" si="64"/>
        <v>TOTAL_GHG_CO2_EMISSIONS</v>
      </c>
      <c r="E590" t="str">
        <f t="shared" si="65"/>
        <v>Dynamic</v>
      </c>
      <c r="F590" t="str">
        <f ca="1">IF(AND(ISNUMBER($F$1691),$B$1132=1),$F$1691,HLOOKUP(INDIRECT(ADDRESS(2,COLUMN())),OFFSET($K$2,0,0,ROW()-1,5),ROW()-1,FALSE))</f>
        <v/>
      </c>
      <c r="G590">
        <f ca="1">IF(AND(ISNUMBER($G$1691),$B$1132=1),$G$1691,HLOOKUP(INDIRECT(ADDRESS(2,COLUMN())),OFFSET($K$2,0,0,ROW()-1,5),ROW()-1,FALSE))</f>
        <v>0.46120001199999999</v>
      </c>
      <c r="H590">
        <f ca="1">IF(AND(ISNUMBER($H$1691),$B$1132=1),$H$1691,HLOOKUP(INDIRECT(ADDRESS(2,COLUMN())),OFFSET($K$2,0,0,ROW()-1,5),ROW()-1,FALSE))</f>
        <v>0.38179998799999998</v>
      </c>
      <c r="I590">
        <f ca="1">IF(AND(ISNUMBER($I$1691),$B$1132=1),$I$1691,HLOOKUP(INDIRECT(ADDRESS(2,COLUMN())),OFFSET($K$2,0,0,ROW()-1,5),ROW()-1,FALSE))</f>
        <v>0.40400000000000003</v>
      </c>
      <c r="J590">
        <f ca="1">IF(AND(ISNUMBER($J$1691),$B$1132=1),$J$1691,HLOOKUP(INDIRECT(ADDRESS(2,COLUMN())),OFFSET($K$2,0,0,ROW()-1,5),ROW()-1,FALSE))</f>
        <v>2.657</v>
      </c>
      <c r="K590" t="str">
        <f>""</f>
        <v/>
      </c>
      <c r="L590">
        <f>0.461200012</f>
        <v>0.46120001199999999</v>
      </c>
      <c r="M590">
        <f>0.381799988</f>
        <v>0.38179998799999998</v>
      </c>
      <c r="N590">
        <f>0.404</f>
        <v>0.40400000000000003</v>
      </c>
      <c r="O590">
        <f>2.657</f>
        <v>2.657</v>
      </c>
    </row>
    <row r="591" spans="1:15" x14ac:dyDescent="0.25">
      <c r="A591" t="str">
        <f>"                    Kubota Corp"</f>
        <v xml:space="preserve">                    Kubota Corp</v>
      </c>
      <c r="B591" t="str">
        <f>"6326 JP Equity"</f>
        <v>6326 JP Equity</v>
      </c>
      <c r="C591" t="str">
        <f t="shared" si="63"/>
        <v>F0946</v>
      </c>
      <c r="D591" t="str">
        <f t="shared" si="64"/>
        <v>TOTAL_GHG_CO2_EMISSIONS</v>
      </c>
      <c r="E591" t="str">
        <f t="shared" si="65"/>
        <v>Dynamic</v>
      </c>
      <c r="F591" t="str">
        <f ca="1">IF(AND(ISNUMBER($F$1692),$B$1132=1),$F$1692,HLOOKUP(INDIRECT(ADDRESS(2,COLUMN())),OFFSET($K$2,0,0,ROW()-1,5),ROW()-1,FALSE))</f>
        <v/>
      </c>
      <c r="G591">
        <f ca="1">IF(AND(ISNUMBER($G$1692),$B$1132=1),$G$1692,HLOOKUP(INDIRECT(ADDRESS(2,COLUMN())),OFFSET($K$2,0,0,ROW()-1,5),ROW()-1,FALSE))</f>
        <v>0.65357202199999997</v>
      </c>
      <c r="H591">
        <f ca="1">IF(AND(ISNUMBER($H$1692),$B$1132=1),$H$1692,HLOOKUP(INDIRECT(ADDRESS(2,COLUMN())),OFFSET($K$2,0,0,ROW()-1,5),ROW()-1,FALSE))</f>
        <v>0.56999999999999995</v>
      </c>
      <c r="I591">
        <f ca="1">IF(AND(ISNUMBER($I$1692),$B$1132=1),$I$1692,HLOOKUP(INDIRECT(ADDRESS(2,COLUMN())),OFFSET($K$2,0,0,ROW()-1,5),ROW()-1,FALSE))</f>
        <v>0.63</v>
      </c>
      <c r="J591">
        <f ca="1">IF(AND(ISNUMBER($J$1692),$B$1132=1),$J$1692,HLOOKUP(INDIRECT(ADDRESS(2,COLUMN())),OFFSET($K$2,0,0,ROW()-1,5),ROW()-1,FALSE))</f>
        <v>0.64700000000000002</v>
      </c>
      <c r="K591" t="str">
        <f>""</f>
        <v/>
      </c>
      <c r="L591">
        <f>0.653572022</f>
        <v>0.65357202199999997</v>
      </c>
      <c r="M591">
        <f>0.57</f>
        <v>0.56999999999999995</v>
      </c>
      <c r="N591">
        <f>0.63</f>
        <v>0.63</v>
      </c>
      <c r="O591">
        <f>0.647</f>
        <v>0.64700000000000002</v>
      </c>
    </row>
    <row r="592" spans="1:15" x14ac:dyDescent="0.25">
      <c r="A592" t="str">
        <f>"                    Lonking Holdings Ltd"</f>
        <v xml:space="preserve">                    Lonking Holdings Ltd</v>
      </c>
      <c r="B592" t="str">
        <f>"3339 HK Equity"</f>
        <v>3339 HK Equity</v>
      </c>
      <c r="C592" t="str">
        <f t="shared" si="63"/>
        <v>F0946</v>
      </c>
      <c r="D592" t="str">
        <f t="shared" si="64"/>
        <v>TOTAL_GHG_CO2_EMISSIONS</v>
      </c>
      <c r="E592" t="str">
        <f t="shared" si="65"/>
        <v>Dynamic</v>
      </c>
      <c r="F592" t="str">
        <f ca="1">IF(AND(ISNUMBER($F$1693),$B$1132=1),$F$1693,HLOOKUP(INDIRECT(ADDRESS(2,COLUMN())),OFFSET($K$2,0,0,ROW()-1,5),ROW()-1,FALSE))</f>
        <v/>
      </c>
      <c r="G592">
        <f ca="1">IF(AND(ISNUMBER($G$1693),$B$1132=1),$G$1693,HLOOKUP(INDIRECT(ADDRESS(2,COLUMN())),OFFSET($K$2,0,0,ROW()-1,5),ROW()-1,FALSE))</f>
        <v>0.27184500099999998</v>
      </c>
      <c r="H592">
        <f ca="1">IF(AND(ISNUMBER($H$1693),$B$1132=1),$H$1693,HLOOKUP(INDIRECT(ADDRESS(2,COLUMN())),OFFSET($K$2,0,0,ROW()-1,5),ROW()-1,FALSE))</f>
        <v>0.26370901499999999</v>
      </c>
      <c r="I592">
        <f ca="1">IF(AND(ISNUMBER($I$1693),$B$1132=1),$I$1693,HLOOKUP(INDIRECT(ADDRESS(2,COLUMN())),OFFSET($K$2,0,0,ROW()-1,5),ROW()-1,FALSE))</f>
        <v>0.22591999800000001</v>
      </c>
      <c r="J592">
        <f ca="1">IF(AND(ISNUMBER($J$1693),$B$1132=1),$J$1693,HLOOKUP(INDIRECT(ADDRESS(2,COLUMN())),OFFSET($K$2,0,0,ROW()-1,5),ROW()-1,FALSE))</f>
        <v>0.24249999999999999</v>
      </c>
      <c r="K592" t="str">
        <f>""</f>
        <v/>
      </c>
      <c r="L592">
        <f>0.271845001</f>
        <v>0.27184500099999998</v>
      </c>
      <c r="M592">
        <f>0.263709015</f>
        <v>0.26370901499999999</v>
      </c>
      <c r="N592">
        <f>0.225919998</f>
        <v>0.22591999800000001</v>
      </c>
      <c r="O592">
        <f>0.2425</f>
        <v>0.24249999999999999</v>
      </c>
    </row>
    <row r="593" spans="1:15" x14ac:dyDescent="0.25">
      <c r="A593" t="str">
        <f>"                    Liebherr-International Deutsch"</f>
        <v xml:space="preserve">                    Liebherr-International Deutsch</v>
      </c>
      <c r="B593" t="str">
        <f>"LIEB GR Equity"</f>
        <v>LIEB GR Equity</v>
      </c>
      <c r="C593" t="str">
        <f t="shared" si="63"/>
        <v>F0946</v>
      </c>
      <c r="D593" t="str">
        <f t="shared" si="64"/>
        <v>TOTAL_GHG_CO2_EMISSIONS</v>
      </c>
      <c r="E593" t="str">
        <f t="shared" si="65"/>
        <v>Dynamic</v>
      </c>
      <c r="F593" t="str">
        <f ca="1">IF(AND(ISNUMBER($F$1694),$B$1132=1),$F$1694,HLOOKUP(INDIRECT(ADDRESS(2,COLUMN())),OFFSET($K$2,0,0,ROW()-1,5),ROW()-1,FALSE))</f>
        <v/>
      </c>
      <c r="G593" t="str">
        <f ca="1">IF(AND(ISNUMBER($G$1694),$B$1132=1),$G$1694,HLOOKUP(INDIRECT(ADDRESS(2,COLUMN())),OFFSET($K$2,0,0,ROW()-1,5),ROW()-1,FALSE))</f>
        <v/>
      </c>
      <c r="H593" t="str">
        <f ca="1">IF(AND(ISNUMBER($H$1694),$B$1132=1),$H$1694,HLOOKUP(INDIRECT(ADDRESS(2,COLUMN())),OFFSET($K$2,0,0,ROW()-1,5),ROW()-1,FALSE))</f>
        <v/>
      </c>
      <c r="I593" t="str">
        <f ca="1">IF(AND(ISNUMBER($I$1694),$B$1132=1),$I$1694,HLOOKUP(INDIRECT(ADDRESS(2,COLUMN())),OFFSET($K$2,0,0,ROW()-1,5),ROW()-1,FALSE))</f>
        <v/>
      </c>
      <c r="J593" t="str">
        <f ca="1">IF(AND(ISNUMBER($J$1694),$B$1132=1),$J$1694,HLOOKUP(INDIRECT(ADDRESS(2,COLUMN())),OFFSET($K$2,0,0,ROW()-1,5),ROW()-1,FALSE))</f>
        <v/>
      </c>
      <c r="K593" t="str">
        <f>""</f>
        <v/>
      </c>
      <c r="L593" t="str">
        <f>""</f>
        <v/>
      </c>
      <c r="M593" t="str">
        <f>""</f>
        <v/>
      </c>
      <c r="N593" t="str">
        <f>""</f>
        <v/>
      </c>
      <c r="O593" t="str">
        <f>""</f>
        <v/>
      </c>
    </row>
    <row r="594" spans="1:15" x14ac:dyDescent="0.25">
      <c r="A594" t="str">
        <f>"                    Lindsay Corp"</f>
        <v xml:space="preserve">                    Lindsay Corp</v>
      </c>
      <c r="B594" t="str">
        <f>"LNN US Equity"</f>
        <v>LNN US Equity</v>
      </c>
      <c r="C594" t="str">
        <f t="shared" si="63"/>
        <v>F0946</v>
      </c>
      <c r="D594" t="str">
        <f t="shared" si="64"/>
        <v>TOTAL_GHG_CO2_EMISSIONS</v>
      </c>
      <c r="E594" t="str">
        <f t="shared" si="65"/>
        <v>Dynamic</v>
      </c>
      <c r="F594" t="str">
        <f ca="1">IF(AND(ISNUMBER($F$1695),$B$1132=1),$F$1695,HLOOKUP(INDIRECT(ADDRESS(2,COLUMN())),OFFSET($K$2,0,0,ROW()-1,5),ROW()-1,FALSE))</f>
        <v/>
      </c>
      <c r="G594" t="str">
        <f ca="1">IF(AND(ISNUMBER($G$1695),$B$1132=1),$G$1695,HLOOKUP(INDIRECT(ADDRESS(2,COLUMN())),OFFSET($K$2,0,0,ROW()-1,5),ROW()-1,FALSE))</f>
        <v/>
      </c>
      <c r="H594" t="str">
        <f ca="1">IF(AND(ISNUMBER($H$1695),$B$1132=1),$H$1695,HLOOKUP(INDIRECT(ADDRESS(2,COLUMN())),OFFSET($K$2,0,0,ROW()-1,5),ROW()-1,FALSE))</f>
        <v/>
      </c>
      <c r="I594" t="str">
        <f ca="1">IF(AND(ISNUMBER($I$1695),$B$1132=1),$I$1695,HLOOKUP(INDIRECT(ADDRESS(2,COLUMN())),OFFSET($K$2,0,0,ROW()-1,5),ROW()-1,FALSE))</f>
        <v/>
      </c>
      <c r="J594" t="str">
        <f ca="1">IF(AND(ISNUMBER($J$1695),$B$1132=1),$J$1695,HLOOKUP(INDIRECT(ADDRESS(2,COLUMN())),OFFSET($K$2,0,0,ROW()-1,5),ROW()-1,FALSE))</f>
        <v/>
      </c>
      <c r="K594" t="str">
        <f>""</f>
        <v/>
      </c>
      <c r="L594" t="str">
        <f>""</f>
        <v/>
      </c>
      <c r="M594" t="str">
        <f>""</f>
        <v/>
      </c>
      <c r="N594" t="str">
        <f>""</f>
        <v/>
      </c>
      <c r="O594" t="str">
        <f>""</f>
        <v/>
      </c>
    </row>
    <row r="595" spans="1:15" x14ac:dyDescent="0.25">
      <c r="A595" t="str">
        <f>"                    Mahindra &amp; Mahindra Ltd"</f>
        <v xml:space="preserve">                    Mahindra &amp; Mahindra Ltd</v>
      </c>
      <c r="B595" t="str">
        <f>"MM IN Equity"</f>
        <v>MM IN Equity</v>
      </c>
      <c r="C595" t="str">
        <f t="shared" si="63"/>
        <v>F0946</v>
      </c>
      <c r="D595" t="str">
        <f t="shared" si="64"/>
        <v>TOTAL_GHG_CO2_EMISSIONS</v>
      </c>
      <c r="E595" t="str">
        <f t="shared" si="65"/>
        <v>Dynamic</v>
      </c>
      <c r="F595" t="str">
        <f ca="1">IF(AND(ISNUMBER($F$1696),$B$1132=1),$F$1696,HLOOKUP(INDIRECT(ADDRESS(2,COLUMN())),OFFSET($K$2,0,0,ROW()-1,5),ROW()-1,FALSE))</f>
        <v/>
      </c>
      <c r="G595">
        <f ca="1">IF(AND(ISNUMBER($G$1696),$B$1132=1),$G$1696,HLOOKUP(INDIRECT(ADDRESS(2,COLUMN())),OFFSET($K$2,0,0,ROW()-1,5),ROW()-1,FALSE))</f>
        <v>0</v>
      </c>
      <c r="H595">
        <f ca="1">IF(AND(ISNUMBER($H$1696),$B$1132=1),$H$1696,HLOOKUP(INDIRECT(ADDRESS(2,COLUMN())),OFFSET($K$2,0,0,ROW()-1,5),ROW()-1,FALSE))</f>
        <v>0.31402300999999999</v>
      </c>
      <c r="I595">
        <f ca="1">IF(AND(ISNUMBER($I$1696),$B$1132=1),$I$1696,HLOOKUP(INDIRECT(ADDRESS(2,COLUMN())),OFFSET($K$2,0,0,ROW()-1,5),ROW()-1,FALSE))</f>
        <v>0.34870300300000001</v>
      </c>
      <c r="J595">
        <f ca="1">IF(AND(ISNUMBER($J$1696),$B$1132=1),$J$1696,HLOOKUP(INDIRECT(ADDRESS(2,COLUMN())),OFFSET($K$2,0,0,ROW()-1,5),ROW()-1,FALSE))</f>
        <v>0.40156201200000002</v>
      </c>
      <c r="K595" t="str">
        <f>""</f>
        <v/>
      </c>
      <c r="L595">
        <f>0</f>
        <v>0</v>
      </c>
      <c r="M595">
        <f>0.31402301</f>
        <v>0.31402300999999999</v>
      </c>
      <c r="N595">
        <f>0.348703003</f>
        <v>0.34870300300000001</v>
      </c>
      <c r="O595">
        <f>0.401562012</f>
        <v>0.40156201200000002</v>
      </c>
    </row>
    <row r="596" spans="1:15" x14ac:dyDescent="0.25">
      <c r="A596" t="str">
        <f>"                    Metso Outotec Oyj"</f>
        <v xml:space="preserve">                    Metso Outotec Oyj</v>
      </c>
      <c r="B596" t="str">
        <f>"MOCORP FH Equity"</f>
        <v>MOCORP FH Equity</v>
      </c>
      <c r="C596" t="str">
        <f t="shared" si="63"/>
        <v>F0946</v>
      </c>
      <c r="D596" t="str">
        <f t="shared" si="64"/>
        <v>TOTAL_GHG_CO2_EMISSIONS</v>
      </c>
      <c r="E596" t="str">
        <f t="shared" si="65"/>
        <v>Dynamic</v>
      </c>
      <c r="F596">
        <f ca="1">IF(AND(ISNUMBER($F$1697),$B$1132=1),$F$1697,HLOOKUP(INDIRECT(ADDRESS(2,COLUMN())),OFFSET($K$2,0,0,ROW()-1,5),ROW()-1,FALSE))</f>
        <v>0.13381899999999999</v>
      </c>
      <c r="G596">
        <f ca="1">IF(AND(ISNUMBER($G$1697),$B$1132=1),$G$1697,HLOOKUP(INDIRECT(ADDRESS(2,COLUMN())),OFFSET($K$2,0,0,ROW()-1,5),ROW()-1,FALSE))</f>
        <v>0.13492700199999999</v>
      </c>
      <c r="H596">
        <f ca="1">IF(AND(ISNUMBER($H$1697),$B$1132=1),$H$1697,HLOOKUP(INDIRECT(ADDRESS(2,COLUMN())),OFFSET($K$2,0,0,ROW()-1,5),ROW()-1,FALSE))</f>
        <v>0.10738099700000001</v>
      </c>
      <c r="I596">
        <f ca="1">IF(AND(ISNUMBER($I$1697),$B$1132=1),$I$1697,HLOOKUP(INDIRECT(ADDRESS(2,COLUMN())),OFFSET($K$2,0,0,ROW()-1,5),ROW()-1,FALSE))</f>
        <v>0.11801200100000001</v>
      </c>
      <c r="J596" t="str">
        <f ca="1">IF(AND(ISNUMBER($J$1697),$B$1132=1),$J$1697,HLOOKUP(INDIRECT(ADDRESS(2,COLUMN())),OFFSET($K$2,0,0,ROW()-1,5),ROW()-1,FALSE))</f>
        <v/>
      </c>
      <c r="K596">
        <f>0.133819</f>
        <v>0.13381899999999999</v>
      </c>
      <c r="L596">
        <f>0.134927002</f>
        <v>0.13492700199999999</v>
      </c>
      <c r="M596">
        <f>0.107380997</f>
        <v>0.10738099700000001</v>
      </c>
      <c r="N596">
        <f>0.118012001</f>
        <v>0.11801200100000001</v>
      </c>
      <c r="O596" t="str">
        <f>""</f>
        <v/>
      </c>
    </row>
    <row r="597" spans="1:15" x14ac:dyDescent="0.25">
      <c r="A597" t="str">
        <f>"                    Manitou BF SA"</f>
        <v xml:space="preserve">                    Manitou BF SA</v>
      </c>
      <c r="B597" t="str">
        <f>"MTU FP Equity"</f>
        <v>MTU FP Equity</v>
      </c>
      <c r="C597" t="str">
        <f t="shared" si="63"/>
        <v>F0946</v>
      </c>
      <c r="D597" t="str">
        <f t="shared" si="64"/>
        <v>TOTAL_GHG_CO2_EMISSIONS</v>
      </c>
      <c r="E597" t="str">
        <f t="shared" si="65"/>
        <v>Dynamic</v>
      </c>
      <c r="F597">
        <f ca="1">IF(AND(ISNUMBER($F$1698),$B$1132=1),$F$1698,HLOOKUP(INDIRECT(ADDRESS(2,COLUMN())),OFFSET($K$2,0,0,ROW()-1,5),ROW()-1,FALSE))</f>
        <v>2.5114000000000001E-2</v>
      </c>
      <c r="G597">
        <f ca="1">IF(AND(ISNUMBER($G$1698),$B$1132=1),$G$1698,HLOOKUP(INDIRECT(ADDRESS(2,COLUMN())),OFFSET($K$2,0,0,ROW()-1,5),ROW()-1,FALSE))</f>
        <v>2.5617001E-2</v>
      </c>
      <c r="H597">
        <f ca="1">IF(AND(ISNUMBER($H$1698),$B$1132=1),$H$1698,HLOOKUP(INDIRECT(ADDRESS(2,COLUMN())),OFFSET($K$2,0,0,ROW()-1,5),ROW()-1,FALSE))</f>
        <v>8.9400000000000005E-4</v>
      </c>
      <c r="I597">
        <f ca="1">IF(AND(ISNUMBER($I$1698),$B$1132=1),$I$1698,HLOOKUP(INDIRECT(ADDRESS(2,COLUMN())),OFFSET($K$2,0,0,ROW()-1,5),ROW()-1,FALSE))</f>
        <v>7.2199999999999999E-4</v>
      </c>
      <c r="J597" t="str">
        <f ca="1">IF(AND(ISNUMBER($J$1698),$B$1132=1),$J$1698,HLOOKUP(INDIRECT(ADDRESS(2,COLUMN())),OFFSET($K$2,0,0,ROW()-1,5),ROW()-1,FALSE))</f>
        <v/>
      </c>
      <c r="K597">
        <f>0.025114</f>
        <v>2.5114000000000001E-2</v>
      </c>
      <c r="L597">
        <f>0.025617001</f>
        <v>2.5617001E-2</v>
      </c>
      <c r="M597">
        <f>0.000894</f>
        <v>8.9400000000000005E-4</v>
      </c>
      <c r="N597">
        <f>0.000722</f>
        <v>7.2199999999999999E-4</v>
      </c>
      <c r="O597" t="str">
        <f>""</f>
        <v/>
      </c>
    </row>
    <row r="598" spans="1:15" x14ac:dyDescent="0.25">
      <c r="A598" t="str">
        <f>"                    Manitowoc Co Inc/The"</f>
        <v xml:space="preserve">                    Manitowoc Co Inc/The</v>
      </c>
      <c r="B598" t="str">
        <f>"MTW US Equity"</f>
        <v>MTW US Equity</v>
      </c>
      <c r="C598" t="str">
        <f t="shared" si="63"/>
        <v>F0946</v>
      </c>
      <c r="D598" t="str">
        <f t="shared" si="64"/>
        <v>TOTAL_GHG_CO2_EMISSIONS</v>
      </c>
      <c r="E598" t="str">
        <f t="shared" si="65"/>
        <v>Dynamic</v>
      </c>
      <c r="F598">
        <f ca="1">IF(AND(ISNUMBER($F$1699),$B$1132=1),$F$1699,HLOOKUP(INDIRECT(ADDRESS(2,COLUMN())),OFFSET($K$2,0,0,ROW()-1,5),ROW()-1,FALSE))</f>
        <v>3.7790000999999997E-2</v>
      </c>
      <c r="G598">
        <f ca="1">IF(AND(ISNUMBER($G$1699),$B$1132=1),$G$1699,HLOOKUP(INDIRECT(ADDRESS(2,COLUMN())),OFFSET($K$2,0,0,ROW()-1,5),ROW()-1,FALSE))</f>
        <v>4.4005001000000002E-2</v>
      </c>
      <c r="H598">
        <f ca="1">IF(AND(ISNUMBER($H$1699),$B$1132=1),$H$1699,HLOOKUP(INDIRECT(ADDRESS(2,COLUMN())),OFFSET($K$2,0,0,ROW()-1,5),ROW()-1,FALSE))</f>
        <v>4.2897998999999999E-2</v>
      </c>
      <c r="I598">
        <f ca="1">IF(AND(ISNUMBER($I$1699),$B$1132=1),$I$1699,HLOOKUP(INDIRECT(ADDRESS(2,COLUMN())),OFFSET($K$2,0,0,ROW()-1,5),ROW()-1,FALSE))</f>
        <v>4.9049000000000002E-2</v>
      </c>
      <c r="J598" t="str">
        <f ca="1">IF(AND(ISNUMBER($J$1699),$B$1132=1),$J$1699,HLOOKUP(INDIRECT(ADDRESS(2,COLUMN())),OFFSET($K$2,0,0,ROW()-1,5),ROW()-1,FALSE))</f>
        <v/>
      </c>
      <c r="K598">
        <f>0.037790001</f>
        <v>3.7790000999999997E-2</v>
      </c>
      <c r="L598">
        <f>0.044005001</f>
        <v>4.4005001000000002E-2</v>
      </c>
      <c r="M598">
        <f>0.042897999</f>
        <v>4.2897998999999999E-2</v>
      </c>
      <c r="N598">
        <f>0.049049</f>
        <v>4.9049000000000002E-2</v>
      </c>
      <c r="O598" t="str">
        <f>""</f>
        <v/>
      </c>
    </row>
    <row r="599" spans="1:15" x14ac:dyDescent="0.25">
      <c r="A599" t="str">
        <f>"                    Neles Oyj"</f>
        <v xml:space="preserve">                    Neles Oyj</v>
      </c>
      <c r="B599" t="str">
        <f>"NELES FH Equity"</f>
        <v>NELES FH Equity</v>
      </c>
      <c r="C599" t="str">
        <f t="shared" si="63"/>
        <v>F0946</v>
      </c>
      <c r="D599" t="str">
        <f t="shared" si="64"/>
        <v>TOTAL_GHG_CO2_EMISSIONS</v>
      </c>
      <c r="E599" t="str">
        <f t="shared" si="65"/>
        <v>Dynamic</v>
      </c>
      <c r="F599" t="str">
        <f ca="1">IF(AND(ISNUMBER($F$1700),$B$1132=1),$F$1700,HLOOKUP(INDIRECT(ADDRESS(2,COLUMN())),OFFSET($K$2,0,0,ROW()-1,5),ROW()-1,FALSE))</f>
        <v/>
      </c>
      <c r="G599">
        <f ca="1">IF(AND(ISNUMBER($G$1700),$B$1132=1),$G$1700,HLOOKUP(INDIRECT(ADDRESS(2,COLUMN())),OFFSET($K$2,0,0,ROW()-1,5),ROW()-1,FALSE))</f>
        <v>8.9689999999999995E-3</v>
      </c>
      <c r="H599">
        <f ca="1">IF(AND(ISNUMBER($H$1700),$B$1132=1),$H$1700,HLOOKUP(INDIRECT(ADDRESS(2,COLUMN())),OFFSET($K$2,0,0,ROW()-1,5),ROW()-1,FALSE))</f>
        <v>1.0057999999999999E-2</v>
      </c>
      <c r="I599">
        <f ca="1">IF(AND(ISNUMBER($I$1700),$B$1132=1),$I$1700,HLOOKUP(INDIRECT(ADDRESS(2,COLUMN())),OFFSET($K$2,0,0,ROW()-1,5),ROW()-1,FALSE))</f>
        <v>1.0218E-2</v>
      </c>
      <c r="J599">
        <f ca="1">IF(AND(ISNUMBER($J$1700),$B$1132=1),$J$1700,HLOOKUP(INDIRECT(ADDRESS(2,COLUMN())),OFFSET($K$2,0,0,ROW()-1,5),ROW()-1,FALSE))</f>
        <v>0.13719799799999999</v>
      </c>
      <c r="K599" t="str">
        <f>""</f>
        <v/>
      </c>
      <c r="L599">
        <f>0.008969</f>
        <v>8.9689999999999995E-3</v>
      </c>
      <c r="M599">
        <f>0.010058</f>
        <v>1.0057999999999999E-2</v>
      </c>
      <c r="N599">
        <f>0.010218</f>
        <v>1.0218E-2</v>
      </c>
      <c r="O599">
        <f>0.137197998</f>
        <v>0.13719799799999999</v>
      </c>
    </row>
    <row r="600" spans="1:15" x14ac:dyDescent="0.25">
      <c r="A600" t="str">
        <f>"                    Netafim Ltd"</f>
        <v xml:space="preserve">                    Netafim Ltd</v>
      </c>
      <c r="B600" t="str">
        <f>"1024923Z IT Equity"</f>
        <v>1024923Z IT Equity</v>
      </c>
      <c r="C600" t="str">
        <f t="shared" si="63"/>
        <v>F0946</v>
      </c>
      <c r="D600" t="str">
        <f t="shared" si="64"/>
        <v>TOTAL_GHG_CO2_EMISSIONS</v>
      </c>
      <c r="E600" t="str">
        <f t="shared" si="65"/>
        <v>Dynamic</v>
      </c>
      <c r="F600" t="str">
        <f ca="1">IF(AND(ISNUMBER($F$1701),$B$1132=1),$F$1701,HLOOKUP(INDIRECT(ADDRESS(2,COLUMN())),OFFSET($K$2,0,0,ROW()-1,5),ROW()-1,FALSE))</f>
        <v/>
      </c>
      <c r="G600" t="str">
        <f ca="1">IF(AND(ISNUMBER($G$1701),$B$1132=1),$G$1701,HLOOKUP(INDIRECT(ADDRESS(2,COLUMN())),OFFSET($K$2,0,0,ROW()-1,5),ROW()-1,FALSE))</f>
        <v/>
      </c>
      <c r="H600" t="str">
        <f ca="1">IF(AND(ISNUMBER($H$1701),$B$1132=1),$H$1701,HLOOKUP(INDIRECT(ADDRESS(2,COLUMN())),OFFSET($K$2,0,0,ROW()-1,5),ROW()-1,FALSE))</f>
        <v/>
      </c>
      <c r="I600" t="str">
        <f ca="1">IF(AND(ISNUMBER($I$1701),$B$1132=1),$I$1701,HLOOKUP(INDIRECT(ADDRESS(2,COLUMN())),OFFSET($K$2,0,0,ROW()-1,5),ROW()-1,FALSE))</f>
        <v/>
      </c>
      <c r="J600" t="str">
        <f ca="1">IF(AND(ISNUMBER($J$1701),$B$1132=1),$J$1701,HLOOKUP(INDIRECT(ADDRESS(2,COLUMN())),OFFSET($K$2,0,0,ROW()-1,5),ROW()-1,FALSE))</f>
        <v/>
      </c>
      <c r="K600" t="str">
        <f>""</f>
        <v/>
      </c>
      <c r="L600" t="str">
        <f>""</f>
        <v/>
      </c>
      <c r="M600" t="str">
        <f>""</f>
        <v/>
      </c>
      <c r="N600" t="str">
        <f>""</f>
        <v/>
      </c>
      <c r="O600" t="str">
        <f>""</f>
        <v/>
      </c>
    </row>
    <row r="601" spans="1:15" x14ac:dyDescent="0.25">
      <c r="A601" t="str">
        <f>"                    Oshkosh Corp"</f>
        <v xml:space="preserve">                    Oshkosh Corp</v>
      </c>
      <c r="B601" t="str">
        <f>"OSK US Equity"</f>
        <v>OSK US Equity</v>
      </c>
      <c r="C601" t="str">
        <f t="shared" si="63"/>
        <v>F0946</v>
      </c>
      <c r="D601" t="str">
        <f t="shared" si="64"/>
        <v>TOTAL_GHG_CO2_EMISSIONS</v>
      </c>
      <c r="E601" t="str">
        <f t="shared" si="65"/>
        <v>Dynamic</v>
      </c>
      <c r="F601" t="str">
        <f ca="1">IF(AND(ISNUMBER($F$1702),$B$1132=1),$F$1702,HLOOKUP(INDIRECT(ADDRESS(2,COLUMN())),OFFSET($K$2,0,0,ROW()-1,5),ROW()-1,FALSE))</f>
        <v/>
      </c>
      <c r="G601">
        <f ca="1">IF(AND(ISNUMBER($G$1702),$B$1132=1),$G$1702,HLOOKUP(INDIRECT(ADDRESS(2,COLUMN())),OFFSET($K$2,0,0,ROW()-1,5),ROW()-1,FALSE))</f>
        <v>0.12947099300000001</v>
      </c>
      <c r="H601">
        <f ca="1">IF(AND(ISNUMBER($H$1702),$B$1132=1),$H$1702,HLOOKUP(INDIRECT(ADDRESS(2,COLUMN())),OFFSET($K$2,0,0,ROW()-1,5),ROW()-1,FALSE))</f>
        <v>0.14357800300000001</v>
      </c>
      <c r="I601">
        <f ca="1">IF(AND(ISNUMBER($I$1702),$B$1132=1),$I$1702,HLOOKUP(INDIRECT(ADDRESS(2,COLUMN())),OFFSET($K$2,0,0,ROW()-1,5),ROW()-1,FALSE))</f>
        <v>0.16275000000000001</v>
      </c>
      <c r="J601">
        <f ca="1">IF(AND(ISNUMBER($J$1702),$B$1132=1),$J$1702,HLOOKUP(INDIRECT(ADDRESS(2,COLUMN())),OFFSET($K$2,0,0,ROW()-1,5),ROW()-1,FALSE))</f>
        <v>0.16190499899999999</v>
      </c>
      <c r="K601" t="str">
        <f>""</f>
        <v/>
      </c>
      <c r="L601">
        <f>0.129470993</f>
        <v>0.12947099300000001</v>
      </c>
      <c r="M601">
        <f>0.143578003</f>
        <v>0.14357800300000001</v>
      </c>
      <c r="N601">
        <f>0.16275</f>
        <v>0.16275000000000001</v>
      </c>
      <c r="O601">
        <f>0.161904999</f>
        <v>0.16190499899999999</v>
      </c>
    </row>
    <row r="602" spans="1:15" x14ac:dyDescent="0.25">
      <c r="A602" t="str">
        <f>"                    Ponsse Oyj"</f>
        <v xml:space="preserve">                    Ponsse Oyj</v>
      </c>
      <c r="B602" t="str">
        <f>"PON1V FH Equity"</f>
        <v>PON1V FH Equity</v>
      </c>
      <c r="C602" t="str">
        <f t="shared" si="63"/>
        <v>F0946</v>
      </c>
      <c r="D602" t="str">
        <f t="shared" si="64"/>
        <v>TOTAL_GHG_CO2_EMISSIONS</v>
      </c>
      <c r="E602" t="str">
        <f t="shared" si="65"/>
        <v>Dynamic</v>
      </c>
      <c r="F602" t="str">
        <f ca="1">IF(AND(ISNUMBER($F$1703),$B$1132=1),$F$1703,HLOOKUP(INDIRECT(ADDRESS(2,COLUMN())),OFFSET($K$2,0,0,ROW()-1,5),ROW()-1,FALSE))</f>
        <v/>
      </c>
      <c r="G602" t="str">
        <f ca="1">IF(AND(ISNUMBER($G$1703),$B$1132=1),$G$1703,HLOOKUP(INDIRECT(ADDRESS(2,COLUMN())),OFFSET($K$2,0,0,ROW()-1,5),ROW()-1,FALSE))</f>
        <v/>
      </c>
      <c r="H602" t="str">
        <f ca="1">IF(AND(ISNUMBER($H$1703),$B$1132=1),$H$1703,HLOOKUP(INDIRECT(ADDRESS(2,COLUMN())),OFFSET($K$2,0,0,ROW()-1,5),ROW()-1,FALSE))</f>
        <v/>
      </c>
      <c r="I602" t="str">
        <f ca="1">IF(AND(ISNUMBER($I$1703),$B$1132=1),$I$1703,HLOOKUP(INDIRECT(ADDRESS(2,COLUMN())),OFFSET($K$2,0,0,ROW()-1,5),ROW()-1,FALSE))</f>
        <v/>
      </c>
      <c r="J602" t="str">
        <f ca="1">IF(AND(ISNUMBER($J$1703),$B$1132=1),$J$1703,HLOOKUP(INDIRECT(ADDRESS(2,COLUMN())),OFFSET($K$2,0,0,ROW()-1,5),ROW()-1,FALSE))</f>
        <v/>
      </c>
      <c r="K602" t="str">
        <f>""</f>
        <v/>
      </c>
      <c r="L602" t="str">
        <f>""</f>
        <v/>
      </c>
      <c r="M602" t="str">
        <f>""</f>
        <v/>
      </c>
      <c r="N602" t="str">
        <f>""</f>
        <v/>
      </c>
      <c r="O602" t="str">
        <f>""</f>
        <v/>
      </c>
    </row>
    <row r="603" spans="1:15" x14ac:dyDescent="0.25">
      <c r="A603" t="str">
        <f>"                    Production Association Minsk T"</f>
        <v xml:space="preserve">                    Production Association Minsk T</v>
      </c>
      <c r="B603" t="str">
        <f>"4625973Z RB Equity"</f>
        <v>4625973Z RB Equity</v>
      </c>
      <c r="C603" t="str">
        <f t="shared" si="63"/>
        <v>F0946</v>
      </c>
      <c r="D603" t="str">
        <f t="shared" si="64"/>
        <v>TOTAL_GHG_CO2_EMISSIONS</v>
      </c>
      <c r="E603" t="str">
        <f t="shared" si="65"/>
        <v>Dynamic</v>
      </c>
      <c r="F603" t="str">
        <f ca="1">IF(AND(ISNUMBER($F$1704),$B$1132=1),$F$1704,HLOOKUP(INDIRECT(ADDRESS(2,COLUMN())),OFFSET($K$2,0,0,ROW()-1,5),ROW()-1,FALSE))</f>
        <v/>
      </c>
      <c r="G603" t="str">
        <f ca="1">IF(AND(ISNUMBER($G$1704),$B$1132=1),$G$1704,HLOOKUP(INDIRECT(ADDRESS(2,COLUMN())),OFFSET($K$2,0,0,ROW()-1,5),ROW()-1,FALSE))</f>
        <v/>
      </c>
      <c r="H603" t="str">
        <f ca="1">IF(AND(ISNUMBER($H$1704),$B$1132=1),$H$1704,HLOOKUP(INDIRECT(ADDRESS(2,COLUMN())),OFFSET($K$2,0,0,ROW()-1,5),ROW()-1,FALSE))</f>
        <v/>
      </c>
      <c r="I603" t="str">
        <f ca="1">IF(AND(ISNUMBER($I$1704),$B$1132=1),$I$1704,HLOOKUP(INDIRECT(ADDRESS(2,COLUMN())),OFFSET($K$2,0,0,ROW()-1,5),ROW()-1,FALSE))</f>
        <v/>
      </c>
      <c r="J603" t="str">
        <f ca="1">IF(AND(ISNUMBER($J$1704),$B$1132=1),$J$1704,HLOOKUP(INDIRECT(ADDRESS(2,COLUMN())),OFFSET($K$2,0,0,ROW()-1,5),ROW()-1,FALSE))</f>
        <v/>
      </c>
      <c r="K603" t="str">
        <f>""</f>
        <v/>
      </c>
      <c r="L603" t="str">
        <f>""</f>
        <v/>
      </c>
      <c r="M603" t="str">
        <f>""</f>
        <v/>
      </c>
      <c r="N603" t="str">
        <f>""</f>
        <v/>
      </c>
      <c r="O603" t="str">
        <f>""</f>
        <v/>
      </c>
    </row>
    <row r="604" spans="1:15" x14ac:dyDescent="0.25">
      <c r="A604" t="str">
        <f>"                    Ritchie Bros Auctioneers Inc"</f>
        <v xml:space="preserve">                    Ritchie Bros Auctioneers Inc</v>
      </c>
      <c r="B604" t="str">
        <f>"RBA CN Equity"</f>
        <v>RBA CN Equity</v>
      </c>
      <c r="C604" t="str">
        <f t="shared" si="63"/>
        <v>F0946</v>
      </c>
      <c r="D604" t="str">
        <f t="shared" si="64"/>
        <v>TOTAL_GHG_CO2_EMISSIONS</v>
      </c>
      <c r="E604" t="str">
        <f t="shared" si="65"/>
        <v>Dynamic</v>
      </c>
      <c r="F604">
        <f ca="1">IF(AND(ISNUMBER($F$1705),$B$1132=1),$F$1705,HLOOKUP(INDIRECT(ADDRESS(2,COLUMN())),OFFSET($K$2,0,0,ROW()-1,5),ROW()-1,FALSE))</f>
        <v>4.6973000000000001E-2</v>
      </c>
      <c r="G604">
        <f ca="1">IF(AND(ISNUMBER($G$1705),$B$1132=1),$G$1705,HLOOKUP(INDIRECT(ADDRESS(2,COLUMN())),OFFSET($K$2,0,0,ROW()-1,5),ROW()-1,FALSE))</f>
        <v>4.6261002000000002E-2</v>
      </c>
      <c r="H604" t="str">
        <f ca="1">IF(AND(ISNUMBER($H$1705),$B$1132=1),$H$1705,HLOOKUP(INDIRECT(ADDRESS(2,COLUMN())),OFFSET($K$2,0,0,ROW()-1,5),ROW()-1,FALSE))</f>
        <v/>
      </c>
      <c r="I604" t="str">
        <f ca="1">IF(AND(ISNUMBER($I$1705),$B$1132=1),$I$1705,HLOOKUP(INDIRECT(ADDRESS(2,COLUMN())),OFFSET($K$2,0,0,ROW()-1,5),ROW()-1,FALSE))</f>
        <v/>
      </c>
      <c r="J604" t="str">
        <f ca="1">IF(AND(ISNUMBER($J$1705),$B$1132=1),$J$1705,HLOOKUP(INDIRECT(ADDRESS(2,COLUMN())),OFFSET($K$2,0,0,ROW()-1,5),ROW()-1,FALSE))</f>
        <v/>
      </c>
      <c r="K604">
        <f>0.046973</f>
        <v>4.6973000000000001E-2</v>
      </c>
      <c r="L604">
        <f>0.046261002</f>
        <v>4.6261002000000002E-2</v>
      </c>
      <c r="M604" t="str">
        <f>""</f>
        <v/>
      </c>
      <c r="N604" t="str">
        <f>""</f>
        <v/>
      </c>
      <c r="O604" t="str">
        <f>""</f>
        <v/>
      </c>
    </row>
    <row r="605" spans="1:15" x14ac:dyDescent="0.25">
      <c r="A605" t="str">
        <f>"                    SDF SpA"</f>
        <v xml:space="preserve">                    SDF SpA</v>
      </c>
      <c r="B605" t="str">
        <f>"276306Z IM Equity"</f>
        <v>276306Z IM Equity</v>
      </c>
      <c r="C605" t="str">
        <f t="shared" si="63"/>
        <v>F0946</v>
      </c>
      <c r="D605" t="str">
        <f t="shared" si="64"/>
        <v>TOTAL_GHG_CO2_EMISSIONS</v>
      </c>
      <c r="E605" t="str">
        <f t="shared" si="65"/>
        <v>Dynamic</v>
      </c>
      <c r="F605" t="str">
        <f ca="1">IF(AND(ISNUMBER($F$1706),$B$1132=1),$F$1706,HLOOKUP(INDIRECT(ADDRESS(2,COLUMN())),OFFSET($K$2,0,0,ROW()-1,5),ROW()-1,FALSE))</f>
        <v/>
      </c>
      <c r="G605" t="str">
        <f ca="1">IF(AND(ISNUMBER($G$1706),$B$1132=1),$G$1706,HLOOKUP(INDIRECT(ADDRESS(2,COLUMN())),OFFSET($K$2,0,0,ROW()-1,5),ROW()-1,FALSE))</f>
        <v/>
      </c>
      <c r="H605" t="str">
        <f ca="1">IF(AND(ISNUMBER($H$1706),$B$1132=1),$H$1706,HLOOKUP(INDIRECT(ADDRESS(2,COLUMN())),OFFSET($K$2,0,0,ROW()-1,5),ROW()-1,FALSE))</f>
        <v/>
      </c>
      <c r="I605" t="str">
        <f ca="1">IF(AND(ISNUMBER($I$1706),$B$1132=1),$I$1706,HLOOKUP(INDIRECT(ADDRESS(2,COLUMN())),OFFSET($K$2,0,0,ROW()-1,5),ROW()-1,FALSE))</f>
        <v/>
      </c>
      <c r="J605" t="str">
        <f ca="1">IF(AND(ISNUMBER($J$1706),$B$1132=1),$J$1706,HLOOKUP(INDIRECT(ADDRESS(2,COLUMN())),OFFSET($K$2,0,0,ROW()-1,5),ROW()-1,FALSE))</f>
        <v/>
      </c>
      <c r="K605" t="str">
        <f>""</f>
        <v/>
      </c>
      <c r="L605" t="str">
        <f>""</f>
        <v/>
      </c>
      <c r="M605" t="str">
        <f>""</f>
        <v/>
      </c>
      <c r="N605" t="str">
        <f>""</f>
        <v/>
      </c>
      <c r="O605" t="str">
        <f>""</f>
        <v/>
      </c>
    </row>
    <row r="606" spans="1:15" x14ac:dyDescent="0.25">
      <c r="A606" t="str">
        <f>"                    Sany Heavy Industry Co Ltd"</f>
        <v xml:space="preserve">                    Sany Heavy Industry Co Ltd</v>
      </c>
      <c r="B606" t="str">
        <f>"600031 CH Equity"</f>
        <v>600031 CH Equity</v>
      </c>
      <c r="C606" t="str">
        <f t="shared" si="63"/>
        <v>F0946</v>
      </c>
      <c r="D606" t="str">
        <f t="shared" si="64"/>
        <v>TOTAL_GHG_CO2_EMISSIONS</v>
      </c>
      <c r="E606" t="str">
        <f t="shared" si="65"/>
        <v>Dynamic</v>
      </c>
      <c r="F606" t="str">
        <f ca="1">IF(AND(ISNUMBER($F$1707),$B$1132=1),$F$1707,HLOOKUP(INDIRECT(ADDRESS(2,COLUMN())),OFFSET($K$2,0,0,ROW()-1,5),ROW()-1,FALSE))</f>
        <v/>
      </c>
      <c r="G606">
        <f ca="1">IF(AND(ISNUMBER($G$1707),$B$1132=1),$G$1707,HLOOKUP(INDIRECT(ADDRESS(2,COLUMN())),OFFSET($K$2,0,0,ROW()-1,5),ROW()-1,FALSE))</f>
        <v>0.45034201099999999</v>
      </c>
      <c r="H606" t="str">
        <f ca="1">IF(AND(ISNUMBER($H$1707),$B$1132=1),$H$1707,HLOOKUP(INDIRECT(ADDRESS(2,COLUMN())),OFFSET($K$2,0,0,ROW()-1,5),ROW()-1,FALSE))</f>
        <v/>
      </c>
      <c r="I606" t="str">
        <f ca="1">IF(AND(ISNUMBER($I$1707),$B$1132=1),$I$1707,HLOOKUP(INDIRECT(ADDRESS(2,COLUMN())),OFFSET($K$2,0,0,ROW()-1,5),ROW()-1,FALSE))</f>
        <v/>
      </c>
      <c r="J606" t="str">
        <f ca="1">IF(AND(ISNUMBER($J$1707),$B$1132=1),$J$1707,HLOOKUP(INDIRECT(ADDRESS(2,COLUMN())),OFFSET($K$2,0,0,ROW()-1,5),ROW()-1,FALSE))</f>
        <v/>
      </c>
      <c r="K606" t="str">
        <f>""</f>
        <v/>
      </c>
      <c r="L606">
        <f>0.450342011</f>
        <v>0.45034201099999999</v>
      </c>
      <c r="M606" t="str">
        <f>""</f>
        <v/>
      </c>
      <c r="N606" t="str">
        <f>""</f>
        <v/>
      </c>
      <c r="O606" t="str">
        <f>""</f>
        <v/>
      </c>
    </row>
    <row r="607" spans="1:15" x14ac:dyDescent="0.25">
      <c r="A607" t="str">
        <f>"                    Seven Group Holdings Ltd"</f>
        <v xml:space="preserve">                    Seven Group Holdings Ltd</v>
      </c>
      <c r="B607" t="str">
        <f>"SVW AU Equity"</f>
        <v>SVW AU Equity</v>
      </c>
      <c r="C607" t="str">
        <f t="shared" si="63"/>
        <v>F0946</v>
      </c>
      <c r="D607" t="str">
        <f t="shared" si="64"/>
        <v>TOTAL_GHG_CO2_EMISSIONS</v>
      </c>
      <c r="E607" t="str">
        <f t="shared" si="65"/>
        <v>Dynamic</v>
      </c>
      <c r="F607" t="str">
        <f ca="1">IF(AND(ISNUMBER($F$1708),$B$1132=1),$F$1708,HLOOKUP(INDIRECT(ADDRESS(2,COLUMN())),OFFSET($K$2,0,0,ROW()-1,5),ROW()-1,FALSE))</f>
        <v/>
      </c>
      <c r="G607">
        <f ca="1">IF(AND(ISNUMBER($G$1708),$B$1132=1),$G$1708,HLOOKUP(INDIRECT(ADDRESS(2,COLUMN())),OFFSET($K$2,0,0,ROW()-1,5),ROW()-1,FALSE))</f>
        <v>4.6113998000000003E-2</v>
      </c>
      <c r="H607" t="str">
        <f ca="1">IF(AND(ISNUMBER($H$1708),$B$1132=1),$H$1708,HLOOKUP(INDIRECT(ADDRESS(2,COLUMN())),OFFSET($K$2,0,0,ROW()-1,5),ROW()-1,FALSE))</f>
        <v/>
      </c>
      <c r="I607" t="str">
        <f ca="1">IF(AND(ISNUMBER($I$1708),$B$1132=1),$I$1708,HLOOKUP(INDIRECT(ADDRESS(2,COLUMN())),OFFSET($K$2,0,0,ROW()-1,5),ROW()-1,FALSE))</f>
        <v/>
      </c>
      <c r="J607" t="str">
        <f ca="1">IF(AND(ISNUMBER($J$1708),$B$1132=1),$J$1708,HLOOKUP(INDIRECT(ADDRESS(2,COLUMN())),OFFSET($K$2,0,0,ROW()-1,5),ROW()-1,FALSE))</f>
        <v/>
      </c>
      <c r="K607" t="str">
        <f>""</f>
        <v/>
      </c>
      <c r="L607">
        <f>0.046113998</f>
        <v>4.6113998000000003E-2</v>
      </c>
      <c r="M607" t="str">
        <f>""</f>
        <v/>
      </c>
      <c r="N607" t="str">
        <f>""</f>
        <v/>
      </c>
      <c r="O607" t="str">
        <f>""</f>
        <v/>
      </c>
    </row>
    <row r="608" spans="1:15" x14ac:dyDescent="0.25">
      <c r="A608" t="str">
        <f>"                    Shandong Lingong Construction"</f>
        <v xml:space="preserve">                    Shandong Lingong Construction</v>
      </c>
      <c r="B608" t="str">
        <f>"SHANGDZ CH Equity"</f>
        <v>SHANGDZ CH Equity</v>
      </c>
      <c r="C608" t="str">
        <f t="shared" si="63"/>
        <v>F0946</v>
      </c>
      <c r="D608" t="str">
        <f t="shared" si="64"/>
        <v>TOTAL_GHG_CO2_EMISSIONS</v>
      </c>
      <c r="E608" t="str">
        <f t="shared" si="65"/>
        <v>Dynamic</v>
      </c>
      <c r="F608" t="str">
        <f ca="1">IF(AND(ISNUMBER($F$1709),$B$1132=1),$F$1709,HLOOKUP(INDIRECT(ADDRESS(2,COLUMN())),OFFSET($K$2,0,0,ROW()-1,5),ROW()-1,FALSE))</f>
        <v/>
      </c>
      <c r="G608" t="str">
        <f ca="1">IF(AND(ISNUMBER($G$1709),$B$1132=1),$G$1709,HLOOKUP(INDIRECT(ADDRESS(2,COLUMN())),OFFSET($K$2,0,0,ROW()-1,5),ROW()-1,FALSE))</f>
        <v/>
      </c>
      <c r="H608" t="str">
        <f ca="1">IF(AND(ISNUMBER($H$1709),$B$1132=1),$H$1709,HLOOKUP(INDIRECT(ADDRESS(2,COLUMN())),OFFSET($K$2,0,0,ROW()-1,5),ROW()-1,FALSE))</f>
        <v/>
      </c>
      <c r="I608" t="str">
        <f ca="1">IF(AND(ISNUMBER($I$1709),$B$1132=1),$I$1709,HLOOKUP(INDIRECT(ADDRESS(2,COLUMN())),OFFSET($K$2,0,0,ROW()-1,5),ROW()-1,FALSE))</f>
        <v/>
      </c>
      <c r="J608" t="str">
        <f ca="1">IF(AND(ISNUMBER($J$1709),$B$1132=1),$J$1709,HLOOKUP(INDIRECT(ADDRESS(2,COLUMN())),OFFSET($K$2,0,0,ROW()-1,5),ROW()-1,FALSE))</f>
        <v/>
      </c>
      <c r="K608" t="str">
        <f>""</f>
        <v/>
      </c>
      <c r="L608" t="str">
        <f>""</f>
        <v/>
      </c>
      <c r="M608" t="str">
        <f>""</f>
        <v/>
      </c>
      <c r="N608" t="str">
        <f>""</f>
        <v/>
      </c>
      <c r="O608" t="str">
        <f>""</f>
        <v/>
      </c>
    </row>
    <row r="609" spans="1:15" x14ac:dyDescent="0.25">
      <c r="A609" t="str">
        <f>"                    Shantui Construction Machinery"</f>
        <v xml:space="preserve">                    Shantui Construction Machinery</v>
      </c>
      <c r="B609" t="str">
        <f>"000680 CH Equity"</f>
        <v>000680 CH Equity</v>
      </c>
      <c r="C609" t="str">
        <f t="shared" si="63"/>
        <v>F0946</v>
      </c>
      <c r="D609" t="str">
        <f t="shared" si="64"/>
        <v>TOTAL_GHG_CO2_EMISSIONS</v>
      </c>
      <c r="E609" t="str">
        <f t="shared" si="65"/>
        <v>Dynamic</v>
      </c>
      <c r="F609" t="str">
        <f ca="1">IF(AND(ISNUMBER($F$1710),$B$1132=1),$F$1710,HLOOKUP(INDIRECT(ADDRESS(2,COLUMN())),OFFSET($K$2,0,0,ROW()-1,5),ROW()-1,FALSE))</f>
        <v/>
      </c>
      <c r="G609" t="str">
        <f ca="1">IF(AND(ISNUMBER($G$1710),$B$1132=1),$G$1710,HLOOKUP(INDIRECT(ADDRESS(2,COLUMN())),OFFSET($K$2,0,0,ROW()-1,5),ROW()-1,FALSE))</f>
        <v/>
      </c>
      <c r="H609" t="str">
        <f ca="1">IF(AND(ISNUMBER($H$1710),$B$1132=1),$H$1710,HLOOKUP(INDIRECT(ADDRESS(2,COLUMN())),OFFSET($K$2,0,0,ROW()-1,5),ROW()-1,FALSE))</f>
        <v/>
      </c>
      <c r="I609" t="str">
        <f ca="1">IF(AND(ISNUMBER($I$1710),$B$1132=1),$I$1710,HLOOKUP(INDIRECT(ADDRESS(2,COLUMN())),OFFSET($K$2,0,0,ROW()-1,5),ROW()-1,FALSE))</f>
        <v/>
      </c>
      <c r="J609" t="str">
        <f ca="1">IF(AND(ISNUMBER($J$1710),$B$1132=1),$J$1710,HLOOKUP(INDIRECT(ADDRESS(2,COLUMN())),OFFSET($K$2,0,0,ROW()-1,5),ROW()-1,FALSE))</f>
        <v/>
      </c>
      <c r="K609" t="str">
        <f>""</f>
        <v/>
      </c>
      <c r="L609" t="str">
        <f>""</f>
        <v/>
      </c>
      <c r="M609" t="str">
        <f>""</f>
        <v/>
      </c>
      <c r="N609" t="str">
        <f>""</f>
        <v/>
      </c>
      <c r="O609" t="str">
        <f>""</f>
        <v/>
      </c>
    </row>
    <row r="610" spans="1:15" x14ac:dyDescent="0.25">
      <c r="A610" t="str">
        <f>"                    Sichuan Chengdu Chenggong Cons"</f>
        <v xml:space="preserve">                    Sichuan Chengdu Chenggong Cons</v>
      </c>
      <c r="B610" t="str">
        <f>"SCCCMZ CH Equity"</f>
        <v>SCCCMZ CH Equity</v>
      </c>
      <c r="C610" t="str">
        <f t="shared" si="63"/>
        <v>F0946</v>
      </c>
      <c r="D610" t="str">
        <f t="shared" si="64"/>
        <v>TOTAL_GHG_CO2_EMISSIONS</v>
      </c>
      <c r="E610" t="str">
        <f t="shared" si="65"/>
        <v>Dynamic</v>
      </c>
      <c r="F610" t="str">
        <f ca="1">IF(AND(ISNUMBER($F$1711),$B$1132=1),$F$1711,HLOOKUP(INDIRECT(ADDRESS(2,COLUMN())),OFFSET($K$2,0,0,ROW()-1,5),ROW()-1,FALSE))</f>
        <v/>
      </c>
      <c r="G610" t="str">
        <f ca="1">IF(AND(ISNUMBER($G$1711),$B$1132=1),$G$1711,HLOOKUP(INDIRECT(ADDRESS(2,COLUMN())),OFFSET($K$2,0,0,ROW()-1,5),ROW()-1,FALSE))</f>
        <v/>
      </c>
      <c r="H610" t="str">
        <f ca="1">IF(AND(ISNUMBER($H$1711),$B$1132=1),$H$1711,HLOOKUP(INDIRECT(ADDRESS(2,COLUMN())),OFFSET($K$2,0,0,ROW()-1,5),ROW()-1,FALSE))</f>
        <v/>
      </c>
      <c r="I610" t="str">
        <f ca="1">IF(AND(ISNUMBER($I$1711),$B$1132=1),$I$1711,HLOOKUP(INDIRECT(ADDRESS(2,COLUMN())),OFFSET($K$2,0,0,ROW()-1,5),ROW()-1,FALSE))</f>
        <v/>
      </c>
      <c r="J610" t="str">
        <f ca="1">IF(AND(ISNUMBER($J$1711),$B$1132=1),$J$1711,HLOOKUP(INDIRECT(ADDRESS(2,COLUMN())),OFFSET($K$2,0,0,ROW()-1,5),ROW()-1,FALSE))</f>
        <v/>
      </c>
      <c r="K610" t="str">
        <f>""</f>
        <v/>
      </c>
      <c r="L610" t="str">
        <f>""</f>
        <v/>
      </c>
      <c r="M610" t="str">
        <f>""</f>
        <v/>
      </c>
      <c r="N610" t="str">
        <f>""</f>
        <v/>
      </c>
      <c r="O610" t="str">
        <f>""</f>
        <v/>
      </c>
    </row>
    <row r="611" spans="1:15" x14ac:dyDescent="0.25">
      <c r="A611" t="str">
        <f>"                    Sime Darby Bhd"</f>
        <v xml:space="preserve">                    Sime Darby Bhd</v>
      </c>
      <c r="B611" t="str">
        <f>"SIME MK Equity"</f>
        <v>SIME MK Equity</v>
      </c>
      <c r="C611" t="str">
        <f t="shared" ref="C611:C637" si="66">"F0946"</f>
        <v>F0946</v>
      </c>
      <c r="D611" t="str">
        <f t="shared" ref="D611:D637" si="67">"TOTAL_GHG_CO2_EMISSIONS"</f>
        <v>TOTAL_GHG_CO2_EMISSIONS</v>
      </c>
      <c r="E611" t="str">
        <f t="shared" ref="E611:E637" si="68">"Dynamic"</f>
        <v>Dynamic</v>
      </c>
      <c r="F611" t="str">
        <f ca="1">IF(AND(ISNUMBER($F$1712),$B$1132=1),$F$1712,HLOOKUP(INDIRECT(ADDRESS(2,COLUMN())),OFFSET($K$2,0,0,ROW()-1,5),ROW()-1,FALSE))</f>
        <v/>
      </c>
      <c r="G611">
        <f ca="1">IF(AND(ISNUMBER($G$1712),$B$1132=1),$G$1712,HLOOKUP(INDIRECT(ADDRESS(2,COLUMN())),OFFSET($K$2,0,0,ROW()-1,5),ROW()-1,FALSE))</f>
        <v>0.11</v>
      </c>
      <c r="H611" t="str">
        <f ca="1">IF(AND(ISNUMBER($H$1712),$B$1132=1),$H$1712,HLOOKUP(INDIRECT(ADDRESS(2,COLUMN())),OFFSET($K$2,0,0,ROW()-1,5),ROW()-1,FALSE))</f>
        <v/>
      </c>
      <c r="I611" t="str">
        <f ca="1">IF(AND(ISNUMBER($I$1712),$B$1132=1),$I$1712,HLOOKUP(INDIRECT(ADDRESS(2,COLUMN())),OFFSET($K$2,0,0,ROW()-1,5),ROW()-1,FALSE))</f>
        <v/>
      </c>
      <c r="J611" t="str">
        <f ca="1">IF(AND(ISNUMBER($J$1712),$B$1132=1),$J$1712,HLOOKUP(INDIRECT(ADDRESS(2,COLUMN())),OFFSET($K$2,0,0,ROW()-1,5),ROW()-1,FALSE))</f>
        <v/>
      </c>
      <c r="K611" t="str">
        <f>""</f>
        <v/>
      </c>
      <c r="L611">
        <f>0.11</f>
        <v>0.11</v>
      </c>
      <c r="M611" t="str">
        <f>""</f>
        <v/>
      </c>
      <c r="N611" t="str">
        <f>""</f>
        <v/>
      </c>
      <c r="O611" t="str">
        <f>""</f>
        <v/>
      </c>
    </row>
    <row r="612" spans="1:15" x14ac:dyDescent="0.25">
      <c r="A612" t="str">
        <f>"                    Sumec Corp Ltd"</f>
        <v xml:space="preserve">                    Sumec Corp Ltd</v>
      </c>
      <c r="B612" t="str">
        <f>"600710 CH Equity"</f>
        <v>600710 CH Equity</v>
      </c>
      <c r="C612" t="str">
        <f t="shared" si="66"/>
        <v>F0946</v>
      </c>
      <c r="D612" t="str">
        <f t="shared" si="67"/>
        <v>TOTAL_GHG_CO2_EMISSIONS</v>
      </c>
      <c r="E612" t="str">
        <f t="shared" si="68"/>
        <v>Dynamic</v>
      </c>
      <c r="F612" t="str">
        <f ca="1">IF(AND(ISNUMBER($F$1713),$B$1132=1),$F$1713,HLOOKUP(INDIRECT(ADDRESS(2,COLUMN())),OFFSET($K$2,0,0,ROW()-1,5),ROW()-1,FALSE))</f>
        <v/>
      </c>
      <c r="G612" t="str">
        <f ca="1">IF(AND(ISNUMBER($G$1713),$B$1132=1),$G$1713,HLOOKUP(INDIRECT(ADDRESS(2,COLUMN())),OFFSET($K$2,0,0,ROW()-1,5),ROW()-1,FALSE))</f>
        <v/>
      </c>
      <c r="H612" t="str">
        <f ca="1">IF(AND(ISNUMBER($H$1713),$B$1132=1),$H$1713,HLOOKUP(INDIRECT(ADDRESS(2,COLUMN())),OFFSET($K$2,0,0,ROW()-1,5),ROW()-1,FALSE))</f>
        <v/>
      </c>
      <c r="I612" t="str">
        <f ca="1">IF(AND(ISNUMBER($I$1713),$B$1132=1),$I$1713,HLOOKUP(INDIRECT(ADDRESS(2,COLUMN())),OFFSET($K$2,0,0,ROW()-1,5),ROW()-1,FALSE))</f>
        <v/>
      </c>
      <c r="J612" t="str">
        <f ca="1">IF(AND(ISNUMBER($J$1713),$B$1132=1),$J$1713,HLOOKUP(INDIRECT(ADDRESS(2,COLUMN())),OFFSET($K$2,0,0,ROW()-1,5),ROW()-1,FALSE))</f>
        <v/>
      </c>
      <c r="K612" t="str">
        <f>""</f>
        <v/>
      </c>
      <c r="L612" t="str">
        <f>""</f>
        <v/>
      </c>
      <c r="M612" t="str">
        <f>""</f>
        <v/>
      </c>
      <c r="N612" t="str">
        <f>""</f>
        <v/>
      </c>
      <c r="O612" t="str">
        <f>""</f>
        <v/>
      </c>
    </row>
    <row r="613" spans="1:15" x14ac:dyDescent="0.25">
      <c r="A613" t="str">
        <f>"                    Sandvik AB"</f>
        <v xml:space="preserve">                    Sandvik AB</v>
      </c>
      <c r="B613" t="str">
        <f>"SAND SS Equity"</f>
        <v>SAND SS Equity</v>
      </c>
      <c r="C613" t="str">
        <f t="shared" si="66"/>
        <v>F0946</v>
      </c>
      <c r="D613" t="str">
        <f t="shared" si="67"/>
        <v>TOTAL_GHG_CO2_EMISSIONS</v>
      </c>
      <c r="E613" t="str">
        <f t="shared" si="68"/>
        <v>Dynamic</v>
      </c>
      <c r="F613">
        <f ca="1">IF(AND(ISNUMBER($F$1714),$B$1132=1),$F$1714,HLOOKUP(INDIRECT(ADDRESS(2,COLUMN())),OFFSET($K$2,0,0,ROW()-1,5),ROW()-1,FALSE))</f>
        <v>0.26500000000000001</v>
      </c>
      <c r="G613">
        <f ca="1">IF(AND(ISNUMBER($G$1714),$B$1132=1),$G$1714,HLOOKUP(INDIRECT(ADDRESS(2,COLUMN())),OFFSET($K$2,0,0,ROW()-1,5),ROW()-1,FALSE))</f>
        <v>0.41699999999999998</v>
      </c>
      <c r="H613">
        <f ca="1">IF(AND(ISNUMBER($H$1714),$B$1132=1),$H$1714,HLOOKUP(INDIRECT(ADDRESS(2,COLUMN())),OFFSET($K$2,0,0,ROW()-1,5),ROW()-1,FALSE))</f>
        <v>0.38600000000000001</v>
      </c>
      <c r="I613">
        <f ca="1">IF(AND(ISNUMBER($I$1714),$B$1132=1),$I$1714,HLOOKUP(INDIRECT(ADDRESS(2,COLUMN())),OFFSET($K$2,0,0,ROW()-1,5),ROW()-1,FALSE))</f>
        <v>0.45</v>
      </c>
      <c r="J613">
        <f ca="1">IF(AND(ISNUMBER($J$1714),$B$1132=1),$J$1714,HLOOKUP(INDIRECT(ADDRESS(2,COLUMN())),OFFSET($K$2,0,0,ROW()-1,5),ROW()-1,FALSE))</f>
        <v>0.46700000000000003</v>
      </c>
      <c r="K613">
        <f>0.265</f>
        <v>0.26500000000000001</v>
      </c>
      <c r="L613">
        <f>0.417</f>
        <v>0.41699999999999998</v>
      </c>
      <c r="M613">
        <f>0.386</f>
        <v>0.38600000000000001</v>
      </c>
      <c r="N613">
        <f>0.45</f>
        <v>0.45</v>
      </c>
      <c r="O613">
        <f>0.467</f>
        <v>0.46700000000000003</v>
      </c>
    </row>
    <row r="614" spans="1:15" x14ac:dyDescent="0.25">
      <c r="A614" t="str">
        <f>"                    Strong Construction Machinery"</f>
        <v xml:space="preserve">                    Strong Construction Machinery</v>
      </c>
      <c r="B614" t="str">
        <f>"STRONZ CH Equity"</f>
        <v>STRONZ CH Equity</v>
      </c>
      <c r="C614" t="str">
        <f t="shared" si="66"/>
        <v>F0946</v>
      </c>
      <c r="D614" t="str">
        <f t="shared" si="67"/>
        <v>TOTAL_GHG_CO2_EMISSIONS</v>
      </c>
      <c r="E614" t="str">
        <f t="shared" si="68"/>
        <v>Dynamic</v>
      </c>
      <c r="F614" t="str">
        <f ca="1">IF(AND(ISNUMBER($F$1715),$B$1132=1),$F$1715,HLOOKUP(INDIRECT(ADDRESS(2,COLUMN())),OFFSET($K$2,0,0,ROW()-1,5),ROW()-1,FALSE))</f>
        <v/>
      </c>
      <c r="G614" t="str">
        <f ca="1">IF(AND(ISNUMBER($G$1715),$B$1132=1),$G$1715,HLOOKUP(INDIRECT(ADDRESS(2,COLUMN())),OFFSET($K$2,0,0,ROW()-1,5),ROW()-1,FALSE))</f>
        <v/>
      </c>
      <c r="H614" t="str">
        <f ca="1">IF(AND(ISNUMBER($H$1715),$B$1132=1),$H$1715,HLOOKUP(INDIRECT(ADDRESS(2,COLUMN())),OFFSET($K$2,0,0,ROW()-1,5),ROW()-1,FALSE))</f>
        <v/>
      </c>
      <c r="I614" t="str">
        <f ca="1">IF(AND(ISNUMBER($I$1715),$B$1132=1),$I$1715,HLOOKUP(INDIRECT(ADDRESS(2,COLUMN())),OFFSET($K$2,0,0,ROW()-1,5),ROW()-1,FALSE))</f>
        <v/>
      </c>
      <c r="J614" t="str">
        <f ca="1">IF(AND(ISNUMBER($J$1715),$B$1132=1),$J$1715,HLOOKUP(INDIRECT(ADDRESS(2,COLUMN())),OFFSET($K$2,0,0,ROW()-1,5),ROW()-1,FALSE))</f>
        <v/>
      </c>
      <c r="K614" t="str">
        <f>""</f>
        <v/>
      </c>
      <c r="L614" t="str">
        <f>""</f>
        <v/>
      </c>
      <c r="M614" t="str">
        <f>""</f>
        <v/>
      </c>
      <c r="N614" t="str">
        <f>""</f>
        <v/>
      </c>
      <c r="O614" t="str">
        <f>""</f>
        <v/>
      </c>
    </row>
    <row r="615" spans="1:15" x14ac:dyDescent="0.25">
      <c r="A615" t="str">
        <f>"                    Sumitomo Heavy Industries Ltd"</f>
        <v xml:space="preserve">                    Sumitomo Heavy Industries Ltd</v>
      </c>
      <c r="B615" t="str">
        <f>"6302 JP Equity"</f>
        <v>6302 JP Equity</v>
      </c>
      <c r="C615" t="str">
        <f t="shared" si="66"/>
        <v>F0946</v>
      </c>
      <c r="D615" t="str">
        <f t="shared" si="67"/>
        <v>TOTAL_GHG_CO2_EMISSIONS</v>
      </c>
      <c r="E615" t="str">
        <f t="shared" si="68"/>
        <v>Dynamic</v>
      </c>
      <c r="F615" t="str">
        <f ca="1">IF(AND(ISNUMBER($F$1716),$B$1132=1),$F$1716,HLOOKUP(INDIRECT(ADDRESS(2,COLUMN())),OFFSET($K$2,0,0,ROW()-1,5),ROW()-1,FALSE))</f>
        <v/>
      </c>
      <c r="G615" t="str">
        <f ca="1">IF(AND(ISNUMBER($G$1716),$B$1132=1),$G$1716,HLOOKUP(INDIRECT(ADDRESS(2,COLUMN())),OFFSET($K$2,0,0,ROW()-1,5),ROW()-1,FALSE))</f>
        <v/>
      </c>
      <c r="H615">
        <f ca="1">IF(AND(ISNUMBER($H$1716),$B$1132=1),$H$1716,HLOOKUP(INDIRECT(ADDRESS(2,COLUMN())),OFFSET($K$2,0,0,ROW()-1,5),ROW()-1,FALSE))</f>
        <v>0.17344700599999999</v>
      </c>
      <c r="I615">
        <f ca="1">IF(AND(ISNUMBER($I$1716),$B$1132=1),$I$1716,HLOOKUP(INDIRECT(ADDRESS(2,COLUMN())),OFFSET($K$2,0,0,ROW()-1,5),ROW()-1,FALSE))</f>
        <v>0.19033999600000001</v>
      </c>
      <c r="J615">
        <f ca="1">IF(AND(ISNUMBER($J$1716),$B$1132=1),$J$1716,HLOOKUP(INDIRECT(ADDRESS(2,COLUMN())),OFFSET($K$2,0,0,ROW()-1,5),ROW()-1,FALSE))</f>
        <v>0.198550003</v>
      </c>
      <c r="K615" t="str">
        <f>""</f>
        <v/>
      </c>
      <c r="L615" t="str">
        <f>""</f>
        <v/>
      </c>
      <c r="M615">
        <f>0.173447006</f>
        <v>0.17344700599999999</v>
      </c>
      <c r="N615">
        <f>0.190339996</f>
        <v>0.19033999600000001</v>
      </c>
      <c r="O615">
        <f>0.198550003</f>
        <v>0.198550003</v>
      </c>
    </row>
    <row r="616" spans="1:15" x14ac:dyDescent="0.25">
      <c r="A616" t="str">
        <f>"                    Sunward Intelligent Equipment"</f>
        <v xml:space="preserve">                    Sunward Intelligent Equipment</v>
      </c>
      <c r="B616" t="str">
        <f>"002097 CH Equity"</f>
        <v>002097 CH Equity</v>
      </c>
      <c r="C616" t="str">
        <f t="shared" si="66"/>
        <v>F0946</v>
      </c>
      <c r="D616" t="str">
        <f t="shared" si="67"/>
        <v>TOTAL_GHG_CO2_EMISSIONS</v>
      </c>
      <c r="E616" t="str">
        <f t="shared" si="68"/>
        <v>Dynamic</v>
      </c>
      <c r="F616" t="str">
        <f ca="1">IF(AND(ISNUMBER($F$1717),$B$1132=1),$F$1717,HLOOKUP(INDIRECT(ADDRESS(2,COLUMN())),OFFSET($K$2,0,0,ROW()-1,5),ROW()-1,FALSE))</f>
        <v/>
      </c>
      <c r="G616" t="str">
        <f ca="1">IF(AND(ISNUMBER($G$1717),$B$1132=1),$G$1717,HLOOKUP(INDIRECT(ADDRESS(2,COLUMN())),OFFSET($K$2,0,0,ROW()-1,5),ROW()-1,FALSE))</f>
        <v/>
      </c>
      <c r="H616" t="str">
        <f ca="1">IF(AND(ISNUMBER($H$1717),$B$1132=1),$H$1717,HLOOKUP(INDIRECT(ADDRESS(2,COLUMN())),OFFSET($K$2,0,0,ROW()-1,5),ROW()-1,FALSE))</f>
        <v/>
      </c>
      <c r="I616" t="str">
        <f ca="1">IF(AND(ISNUMBER($I$1717),$B$1132=1),$I$1717,HLOOKUP(INDIRECT(ADDRESS(2,COLUMN())),OFFSET($K$2,0,0,ROW()-1,5),ROW()-1,FALSE))</f>
        <v/>
      </c>
      <c r="J616" t="str">
        <f ca="1">IF(AND(ISNUMBER($J$1717),$B$1132=1),$J$1717,HLOOKUP(INDIRECT(ADDRESS(2,COLUMN())),OFFSET($K$2,0,0,ROW()-1,5),ROW()-1,FALSE))</f>
        <v/>
      </c>
      <c r="K616" t="str">
        <f>""</f>
        <v/>
      </c>
      <c r="L616" t="str">
        <f>""</f>
        <v/>
      </c>
      <c r="M616" t="str">
        <f>""</f>
        <v/>
      </c>
      <c r="N616" t="str">
        <f>""</f>
        <v/>
      </c>
      <c r="O616" t="str">
        <f>""</f>
        <v/>
      </c>
    </row>
    <row r="617" spans="1:15" x14ac:dyDescent="0.25">
      <c r="A617" t="str">
        <f>"                    Titan International Inc"</f>
        <v xml:space="preserve">                    Titan International Inc</v>
      </c>
      <c r="B617" t="str">
        <f>"TWI US Equity"</f>
        <v>TWI US Equity</v>
      </c>
      <c r="C617" t="str">
        <f t="shared" si="66"/>
        <v>F0946</v>
      </c>
      <c r="D617" t="str">
        <f t="shared" si="67"/>
        <v>TOTAL_GHG_CO2_EMISSIONS</v>
      </c>
      <c r="E617" t="str">
        <f t="shared" si="68"/>
        <v>Dynamic</v>
      </c>
      <c r="F617" t="str">
        <f ca="1">IF(AND(ISNUMBER($F$1718),$B$1132=1),$F$1718,HLOOKUP(INDIRECT(ADDRESS(2,COLUMN())),OFFSET($K$2,0,0,ROW()-1,5),ROW()-1,FALSE))</f>
        <v/>
      </c>
      <c r="G617" t="str">
        <f ca="1">IF(AND(ISNUMBER($G$1718),$B$1132=1),$G$1718,HLOOKUP(INDIRECT(ADDRESS(2,COLUMN())),OFFSET($K$2,0,0,ROW()-1,5),ROW()-1,FALSE))</f>
        <v/>
      </c>
      <c r="H617" t="str">
        <f ca="1">IF(AND(ISNUMBER($H$1718),$B$1132=1),$H$1718,HLOOKUP(INDIRECT(ADDRESS(2,COLUMN())),OFFSET($K$2,0,0,ROW()-1,5),ROW()-1,FALSE))</f>
        <v/>
      </c>
      <c r="I617" t="str">
        <f ca="1">IF(AND(ISNUMBER($I$1718),$B$1132=1),$I$1718,HLOOKUP(INDIRECT(ADDRESS(2,COLUMN())),OFFSET($K$2,0,0,ROW()-1,5),ROW()-1,FALSE))</f>
        <v/>
      </c>
      <c r="J617" t="str">
        <f ca="1">IF(AND(ISNUMBER($J$1718),$B$1132=1),$J$1718,HLOOKUP(INDIRECT(ADDRESS(2,COLUMN())),OFFSET($K$2,0,0,ROW()-1,5),ROW()-1,FALSE))</f>
        <v/>
      </c>
      <c r="K617" t="str">
        <f>""</f>
        <v/>
      </c>
      <c r="L617" t="str">
        <f>""</f>
        <v/>
      </c>
      <c r="M617" t="str">
        <f>""</f>
        <v/>
      </c>
      <c r="N617" t="str">
        <f>""</f>
        <v/>
      </c>
      <c r="O617" t="str">
        <f>""</f>
        <v/>
      </c>
    </row>
    <row r="618" spans="1:15" x14ac:dyDescent="0.25">
      <c r="A618" t="str">
        <f>"                    Titan Machinery Inc"</f>
        <v xml:space="preserve">                    Titan Machinery Inc</v>
      </c>
      <c r="B618" t="str">
        <f>"TITN US Equity"</f>
        <v>TITN US Equity</v>
      </c>
      <c r="C618" t="str">
        <f t="shared" si="66"/>
        <v>F0946</v>
      </c>
      <c r="D618" t="str">
        <f t="shared" si="67"/>
        <v>TOTAL_GHG_CO2_EMISSIONS</v>
      </c>
      <c r="E618" t="str">
        <f t="shared" si="68"/>
        <v>Dynamic</v>
      </c>
      <c r="F618" t="str">
        <f ca="1">IF(AND(ISNUMBER($F$1719),$B$1132=1),$F$1719,HLOOKUP(INDIRECT(ADDRESS(2,COLUMN())),OFFSET($K$2,0,0,ROW()-1,5),ROW()-1,FALSE))</f>
        <v/>
      </c>
      <c r="G618" t="str">
        <f ca="1">IF(AND(ISNUMBER($G$1719),$B$1132=1),$G$1719,HLOOKUP(INDIRECT(ADDRESS(2,COLUMN())),OFFSET($K$2,0,0,ROW()-1,5),ROW()-1,FALSE))</f>
        <v/>
      </c>
      <c r="H618" t="str">
        <f ca="1">IF(AND(ISNUMBER($H$1719),$B$1132=1),$H$1719,HLOOKUP(INDIRECT(ADDRESS(2,COLUMN())),OFFSET($K$2,0,0,ROW()-1,5),ROW()-1,FALSE))</f>
        <v/>
      </c>
      <c r="I618" t="str">
        <f ca="1">IF(AND(ISNUMBER($I$1719),$B$1132=1),$I$1719,HLOOKUP(INDIRECT(ADDRESS(2,COLUMN())),OFFSET($K$2,0,0,ROW()-1,5),ROW()-1,FALSE))</f>
        <v/>
      </c>
      <c r="J618" t="str">
        <f ca="1">IF(AND(ISNUMBER($J$1719),$B$1132=1),$J$1719,HLOOKUP(INDIRECT(ADDRESS(2,COLUMN())),OFFSET($K$2,0,0,ROW()-1,5),ROW()-1,FALSE))</f>
        <v/>
      </c>
      <c r="K618" t="str">
        <f>""</f>
        <v/>
      </c>
      <c r="L618" t="str">
        <f>""</f>
        <v/>
      </c>
      <c r="M618" t="str">
        <f>""</f>
        <v/>
      </c>
      <c r="N618" t="str">
        <f>""</f>
        <v/>
      </c>
      <c r="O618" t="str">
        <f>""</f>
        <v/>
      </c>
    </row>
    <row r="619" spans="1:15" x14ac:dyDescent="0.25">
      <c r="A619" t="str">
        <f>"                    TYM Corp"</f>
        <v xml:space="preserve">                    TYM Corp</v>
      </c>
      <c r="B619" t="str">
        <f>"002900 KS Equity"</f>
        <v>002900 KS Equity</v>
      </c>
      <c r="C619" t="str">
        <f t="shared" si="66"/>
        <v>F0946</v>
      </c>
      <c r="D619" t="str">
        <f t="shared" si="67"/>
        <v>TOTAL_GHG_CO2_EMISSIONS</v>
      </c>
      <c r="E619" t="str">
        <f t="shared" si="68"/>
        <v>Dynamic</v>
      </c>
      <c r="F619" t="str">
        <f ca="1">IF(AND(ISNUMBER($F$1720),$B$1132=1),$F$1720,HLOOKUP(INDIRECT(ADDRESS(2,COLUMN())),OFFSET($K$2,0,0,ROW()-1,5),ROW()-1,FALSE))</f>
        <v/>
      </c>
      <c r="G619">
        <f ca="1">IF(AND(ISNUMBER($G$1720),$B$1132=1),$G$1720,HLOOKUP(INDIRECT(ADDRESS(2,COLUMN())),OFFSET($K$2,0,0,ROW()-1,5),ROW()-1,FALSE))</f>
        <v>7.4200000000000004E-3</v>
      </c>
      <c r="H619" t="str">
        <f ca="1">IF(AND(ISNUMBER($H$1720),$B$1132=1),$H$1720,HLOOKUP(INDIRECT(ADDRESS(2,COLUMN())),OFFSET($K$2,0,0,ROW()-1,5),ROW()-1,FALSE))</f>
        <v/>
      </c>
      <c r="I619" t="str">
        <f ca="1">IF(AND(ISNUMBER($I$1720),$B$1132=1),$I$1720,HLOOKUP(INDIRECT(ADDRESS(2,COLUMN())),OFFSET($K$2,0,0,ROW()-1,5),ROW()-1,FALSE))</f>
        <v/>
      </c>
      <c r="J619" t="str">
        <f ca="1">IF(AND(ISNUMBER($J$1720),$B$1132=1),$J$1720,HLOOKUP(INDIRECT(ADDRESS(2,COLUMN())),OFFSET($K$2,0,0,ROW()-1,5),ROW()-1,FALSE))</f>
        <v/>
      </c>
      <c r="K619" t="str">
        <f>""</f>
        <v/>
      </c>
      <c r="L619">
        <f>0.00742</f>
        <v>7.4200000000000004E-3</v>
      </c>
      <c r="M619" t="str">
        <f>""</f>
        <v/>
      </c>
      <c r="N619" t="str">
        <f>""</f>
        <v/>
      </c>
      <c r="O619" t="str">
        <f>""</f>
        <v/>
      </c>
    </row>
    <row r="620" spans="1:15" x14ac:dyDescent="0.25">
      <c r="A620" t="str">
        <f>"                    Tadano Ltd"</f>
        <v xml:space="preserve">                    Tadano Ltd</v>
      </c>
      <c r="B620" t="str">
        <f>"6395 JP Equity"</f>
        <v>6395 JP Equity</v>
      </c>
      <c r="C620" t="str">
        <f t="shared" si="66"/>
        <v>F0946</v>
      </c>
      <c r="D620" t="str">
        <f t="shared" si="67"/>
        <v>TOTAL_GHG_CO2_EMISSIONS</v>
      </c>
      <c r="E620" t="str">
        <f t="shared" si="68"/>
        <v>Dynamic</v>
      </c>
      <c r="F620" t="str">
        <f ca="1">IF(AND(ISNUMBER($F$1721),$B$1132=1),$F$1721,HLOOKUP(INDIRECT(ADDRESS(2,COLUMN())),OFFSET($K$2,0,0,ROW()-1,5),ROW()-1,FALSE))</f>
        <v/>
      </c>
      <c r="G620" t="str">
        <f ca="1">IF(AND(ISNUMBER($G$1721),$B$1132=1),$G$1721,HLOOKUP(INDIRECT(ADDRESS(2,COLUMN())),OFFSET($K$2,0,0,ROW()-1,5),ROW()-1,FALSE))</f>
        <v/>
      </c>
      <c r="H620">
        <f ca="1">IF(AND(ISNUMBER($H$1721),$B$1132=1),$H$1721,HLOOKUP(INDIRECT(ADDRESS(2,COLUMN())),OFFSET($K$2,0,0,ROW()-1,5),ROW()-1,FALSE))</f>
        <v>2.6179001E-2</v>
      </c>
      <c r="I620">
        <f ca="1">IF(AND(ISNUMBER($I$1721),$B$1132=1),$I$1721,HLOOKUP(INDIRECT(ADDRESS(2,COLUMN())),OFFSET($K$2,0,0,ROW()-1,5),ROW()-1,FALSE))</f>
        <v>3.0018999000000001E-2</v>
      </c>
      <c r="J620" t="str">
        <f ca="1">IF(AND(ISNUMBER($J$1721),$B$1132=1),$J$1721,HLOOKUP(INDIRECT(ADDRESS(2,COLUMN())),OFFSET($K$2,0,0,ROW()-1,5),ROW()-1,FALSE))</f>
        <v/>
      </c>
      <c r="K620" t="str">
        <f>""</f>
        <v/>
      </c>
      <c r="L620" t="str">
        <f>""</f>
        <v/>
      </c>
      <c r="M620">
        <f>0.026179001</f>
        <v>2.6179001E-2</v>
      </c>
      <c r="N620">
        <f>0.030018999</f>
        <v>3.0018999000000001E-2</v>
      </c>
      <c r="O620" t="str">
        <f>""</f>
        <v/>
      </c>
    </row>
    <row r="621" spans="1:15" x14ac:dyDescent="0.25">
      <c r="A621" t="str">
        <f>"                    Terex Corp"</f>
        <v xml:space="preserve">                    Terex Corp</v>
      </c>
      <c r="B621" t="str">
        <f>"TEX US Equity"</f>
        <v>TEX US Equity</v>
      </c>
      <c r="C621" t="str">
        <f t="shared" si="66"/>
        <v>F0946</v>
      </c>
      <c r="D621" t="str">
        <f t="shared" si="67"/>
        <v>TOTAL_GHG_CO2_EMISSIONS</v>
      </c>
      <c r="E621" t="str">
        <f t="shared" si="68"/>
        <v>Dynamic</v>
      </c>
      <c r="F621" t="str">
        <f ca="1">IF(AND(ISNUMBER($F$1722),$B$1132=1),$F$1722,HLOOKUP(INDIRECT(ADDRESS(2,COLUMN())),OFFSET($K$2,0,0,ROW()-1,5),ROW()-1,FALSE))</f>
        <v/>
      </c>
      <c r="G621">
        <f ca="1">IF(AND(ISNUMBER($G$1722),$B$1132=1),$G$1722,HLOOKUP(INDIRECT(ADDRESS(2,COLUMN())),OFFSET($K$2,0,0,ROW()-1,5),ROW()-1,FALSE))</f>
        <v>6.6510001999999999E-2</v>
      </c>
      <c r="H621">
        <f ca="1">IF(AND(ISNUMBER($H$1722),$B$1132=1),$H$1722,HLOOKUP(INDIRECT(ADDRESS(2,COLUMN())),OFFSET($K$2,0,0,ROW()-1,5),ROW()-1,FALSE))</f>
        <v>5.7646000000000003E-2</v>
      </c>
      <c r="I621">
        <f ca="1">IF(AND(ISNUMBER($I$1722),$B$1132=1),$I$1722,HLOOKUP(INDIRECT(ADDRESS(2,COLUMN())),OFFSET($K$2,0,0,ROW()-1,5),ROW()-1,FALSE))</f>
        <v>6.9311996000000001E-2</v>
      </c>
      <c r="J621">
        <f ca="1">IF(AND(ISNUMBER($J$1722),$B$1132=1),$J$1722,HLOOKUP(INDIRECT(ADDRESS(2,COLUMN())),OFFSET($K$2,0,0,ROW()-1,5),ROW()-1,FALSE))</f>
        <v>8.7246002000000003E-2</v>
      </c>
      <c r="K621" t="str">
        <f>""</f>
        <v/>
      </c>
      <c r="L621">
        <f>0.066510002</f>
        <v>6.6510001999999999E-2</v>
      </c>
      <c r="M621">
        <f>0.057646</f>
        <v>5.7646000000000003E-2</v>
      </c>
      <c r="N621">
        <f>0.069311996</f>
        <v>6.9311996000000001E-2</v>
      </c>
      <c r="O621">
        <f>0.087246002</f>
        <v>8.7246002000000003E-2</v>
      </c>
    </row>
    <row r="622" spans="1:15" x14ac:dyDescent="0.25">
      <c r="A622" t="str">
        <f>"                    Toromont Industries Ltd"</f>
        <v xml:space="preserve">                    Toromont Industries Ltd</v>
      </c>
      <c r="B622" t="str">
        <f>"TIH CN Equity"</f>
        <v>TIH CN Equity</v>
      </c>
      <c r="C622" t="str">
        <f t="shared" si="66"/>
        <v>F0946</v>
      </c>
      <c r="D622" t="str">
        <f t="shared" si="67"/>
        <v>TOTAL_GHG_CO2_EMISSIONS</v>
      </c>
      <c r="E622" t="str">
        <f t="shared" si="68"/>
        <v>Dynamic</v>
      </c>
      <c r="F622">
        <f ca="1">IF(AND(ISNUMBER($F$1723),$B$1132=1),$F$1723,HLOOKUP(INDIRECT(ADDRESS(2,COLUMN())),OFFSET($K$2,0,0,ROW()-1,5),ROW()-1,FALSE))</f>
        <v>6.2299999000000002E-2</v>
      </c>
      <c r="G622">
        <f ca="1">IF(AND(ISNUMBER($G$1723),$B$1132=1),$G$1723,HLOOKUP(INDIRECT(ADDRESS(2,COLUMN())),OFFSET($K$2,0,0,ROW()-1,5),ROW()-1,FALSE))</f>
        <v>7.7207000999999997E-2</v>
      </c>
      <c r="H622">
        <f ca="1">IF(AND(ISNUMBER($H$1723),$B$1132=1),$H$1723,HLOOKUP(INDIRECT(ADDRESS(2,COLUMN())),OFFSET($K$2,0,0,ROW()-1,5),ROW()-1,FALSE))</f>
        <v>7.5454002000000006E-2</v>
      </c>
      <c r="I622">
        <f ca="1">IF(AND(ISNUMBER($I$1723),$B$1132=1),$I$1723,HLOOKUP(INDIRECT(ADDRESS(2,COLUMN())),OFFSET($K$2,0,0,ROW()-1,5),ROW()-1,FALSE))</f>
        <v>7.0900002000000004E-2</v>
      </c>
      <c r="J622">
        <f ca="1">IF(AND(ISNUMBER($J$1723),$B$1132=1),$J$1723,HLOOKUP(INDIRECT(ADDRESS(2,COLUMN())),OFFSET($K$2,0,0,ROW()-1,5),ROW()-1,FALSE))</f>
        <v>7.1130997000000001E-2</v>
      </c>
      <c r="K622">
        <f>0.062299999</f>
        <v>6.2299999000000002E-2</v>
      </c>
      <c r="L622">
        <f>0.077207001</f>
        <v>7.7207000999999997E-2</v>
      </c>
      <c r="M622">
        <f>0.075454002</f>
        <v>7.5454002000000006E-2</v>
      </c>
      <c r="N622">
        <f>0.070900002</f>
        <v>7.0900002000000004E-2</v>
      </c>
      <c r="O622">
        <f>0.071130997</f>
        <v>7.1130997000000001E-2</v>
      </c>
    </row>
    <row r="623" spans="1:15" x14ac:dyDescent="0.25">
      <c r="A623" t="str">
        <f>"                    Trimble Inc"</f>
        <v xml:space="preserve">                    Trimble Inc</v>
      </c>
      <c r="B623" t="str">
        <f>"TRMB US Equity"</f>
        <v>TRMB US Equity</v>
      </c>
      <c r="C623" t="str">
        <f t="shared" si="66"/>
        <v>F0946</v>
      </c>
      <c r="D623" t="str">
        <f t="shared" si="67"/>
        <v>TOTAL_GHG_CO2_EMISSIONS</v>
      </c>
      <c r="E623" t="str">
        <f t="shared" si="68"/>
        <v>Dynamic</v>
      </c>
      <c r="F623" t="str">
        <f ca="1">IF(AND(ISNUMBER($F$1724),$B$1132=1),$F$1724,HLOOKUP(INDIRECT(ADDRESS(2,COLUMN())),OFFSET($K$2,0,0,ROW()-1,5),ROW()-1,FALSE))</f>
        <v/>
      </c>
      <c r="G623">
        <f ca="1">IF(AND(ISNUMBER($G$1724),$B$1132=1),$G$1724,HLOOKUP(INDIRECT(ADDRESS(2,COLUMN())),OFFSET($K$2,0,0,ROW()-1,5),ROW()-1,FALSE))</f>
        <v>1.4271000000000001E-2</v>
      </c>
      <c r="H623">
        <f ca="1">IF(AND(ISNUMBER($H$1724),$B$1132=1),$H$1724,HLOOKUP(INDIRECT(ADDRESS(2,COLUMN())),OFFSET($K$2,0,0,ROW()-1,5),ROW()-1,FALSE))</f>
        <v>9.7000000000000003E-3</v>
      </c>
      <c r="I623">
        <f ca="1">IF(AND(ISNUMBER($I$1724),$B$1132=1),$I$1724,HLOOKUP(INDIRECT(ADDRESS(2,COLUMN())),OFFSET($K$2,0,0,ROW()-1,5),ROW()-1,FALSE))</f>
        <v>1.32E-2</v>
      </c>
      <c r="J623">
        <f ca="1">IF(AND(ISNUMBER($J$1724),$B$1132=1),$J$1724,HLOOKUP(INDIRECT(ADDRESS(2,COLUMN())),OFFSET($K$2,0,0,ROW()-1,5),ROW()-1,FALSE))</f>
        <v>1.4999999999999999E-2</v>
      </c>
      <c r="K623" t="str">
        <f>""</f>
        <v/>
      </c>
      <c r="L623">
        <f>0.014271</f>
        <v>1.4271000000000001E-2</v>
      </c>
      <c r="M623">
        <f>0.0097</f>
        <v>9.7000000000000003E-3</v>
      </c>
      <c r="N623">
        <f>0.0132</f>
        <v>1.32E-2</v>
      </c>
      <c r="O623">
        <f>0.015</f>
        <v>1.4999999999999999E-2</v>
      </c>
    </row>
    <row r="624" spans="1:15" x14ac:dyDescent="0.25">
      <c r="A624" t="str">
        <f>"                    United Rentals Inc"</f>
        <v xml:space="preserve">                    United Rentals Inc</v>
      </c>
      <c r="B624" t="str">
        <f>"URI US Equity"</f>
        <v>URI US Equity</v>
      </c>
      <c r="C624" t="str">
        <f t="shared" si="66"/>
        <v>F0946</v>
      </c>
      <c r="D624" t="str">
        <f t="shared" si="67"/>
        <v>TOTAL_GHG_CO2_EMISSIONS</v>
      </c>
      <c r="E624" t="str">
        <f t="shared" si="68"/>
        <v>Dynamic</v>
      </c>
      <c r="F624" t="str">
        <f ca="1">IF(AND(ISNUMBER($F$1725),$B$1132=1),$F$1725,HLOOKUP(INDIRECT(ADDRESS(2,COLUMN())),OFFSET($K$2,0,0,ROW()-1,5),ROW()-1,FALSE))</f>
        <v/>
      </c>
      <c r="G624">
        <f ca="1">IF(AND(ISNUMBER($G$1725),$B$1132=1),$G$1725,HLOOKUP(INDIRECT(ADDRESS(2,COLUMN())),OFFSET($K$2,0,0,ROW()-1,5),ROW()-1,FALSE))</f>
        <v>0.407832001</v>
      </c>
      <c r="H624">
        <f ca="1">IF(AND(ISNUMBER($H$1725),$B$1132=1),$H$1725,HLOOKUP(INDIRECT(ADDRESS(2,COLUMN())),OFFSET($K$2,0,0,ROW()-1,5),ROW()-1,FALSE))</f>
        <v>0.39674301200000001</v>
      </c>
      <c r="I624">
        <f ca="1">IF(AND(ISNUMBER($I$1725),$B$1132=1),$I$1725,HLOOKUP(INDIRECT(ADDRESS(2,COLUMN())),OFFSET($K$2,0,0,ROW()-1,5),ROW()-1,FALSE))</f>
        <v>0.38338598600000001</v>
      </c>
      <c r="J624">
        <f ca="1">IF(AND(ISNUMBER($J$1725),$B$1132=1),$J$1725,HLOOKUP(INDIRECT(ADDRESS(2,COLUMN())),OFFSET($K$2,0,0,ROW()-1,5),ROW()-1,FALSE))</f>
        <v>0.37574099700000002</v>
      </c>
      <c r="K624" t="str">
        <f>""</f>
        <v/>
      </c>
      <c r="L624">
        <f>0.407832001</f>
        <v>0.407832001</v>
      </c>
      <c r="M624">
        <f>0.396743012</f>
        <v>0.39674301200000001</v>
      </c>
      <c r="N624">
        <f>0.383385986</f>
        <v>0.38338598600000001</v>
      </c>
      <c r="O624">
        <f>0.375740997</f>
        <v>0.37574099700000002</v>
      </c>
    </row>
    <row r="625" spans="1:15" x14ac:dyDescent="0.25">
      <c r="A625" t="str">
        <f>"                    United Tractors Tbk PT"</f>
        <v xml:space="preserve">                    United Tractors Tbk PT</v>
      </c>
      <c r="B625" t="str">
        <f>"UNTR IJ Equity"</f>
        <v>UNTR IJ Equity</v>
      </c>
      <c r="C625" t="str">
        <f t="shared" si="66"/>
        <v>F0946</v>
      </c>
      <c r="D625" t="str">
        <f t="shared" si="67"/>
        <v>TOTAL_GHG_CO2_EMISSIONS</v>
      </c>
      <c r="E625" t="str">
        <f t="shared" si="68"/>
        <v>Dynamic</v>
      </c>
      <c r="F625">
        <f ca="1">IF(AND(ISNUMBER($F$1726),$B$1132=1),$F$1726,HLOOKUP(INDIRECT(ADDRESS(2,COLUMN())),OFFSET($K$2,0,0,ROW()-1,5),ROW()-1,FALSE))</f>
        <v>3.219540039</v>
      </c>
      <c r="G625">
        <f ca="1">IF(AND(ISNUMBER($G$1726),$B$1132=1),$G$1726,HLOOKUP(INDIRECT(ADDRESS(2,COLUMN())),OFFSET($K$2,0,0,ROW()-1,5),ROW()-1,FALSE))</f>
        <v>3.1945600590000001</v>
      </c>
      <c r="H625">
        <f ca="1">IF(AND(ISNUMBER($H$1726),$B$1132=1),$H$1726,HLOOKUP(INDIRECT(ADDRESS(2,COLUMN())),OFFSET($K$2,0,0,ROW()-1,5),ROW()-1,FALSE))</f>
        <v>3.4378701170000001</v>
      </c>
      <c r="I625">
        <f ca="1">IF(AND(ISNUMBER($I$1726),$B$1132=1),$I$1726,HLOOKUP(INDIRECT(ADDRESS(2,COLUMN())),OFFSET($K$2,0,0,ROW()-1,5),ROW()-1,FALSE))</f>
        <v>3.95273999</v>
      </c>
      <c r="J625" t="str">
        <f ca="1">IF(AND(ISNUMBER($J$1726),$B$1132=1),$J$1726,HLOOKUP(INDIRECT(ADDRESS(2,COLUMN())),OFFSET($K$2,0,0,ROW()-1,5),ROW()-1,FALSE))</f>
        <v/>
      </c>
      <c r="K625">
        <f>3.219540039</f>
        <v>3.219540039</v>
      </c>
      <c r="L625">
        <f>3.194560059</f>
        <v>3.1945600590000001</v>
      </c>
      <c r="M625">
        <f>3.437870117</f>
        <v>3.4378701170000001</v>
      </c>
      <c r="N625">
        <f>3.95273999</f>
        <v>3.95273999</v>
      </c>
      <c r="O625" t="str">
        <f>""</f>
        <v/>
      </c>
    </row>
    <row r="626" spans="1:15" x14ac:dyDescent="0.25">
      <c r="A626" t="str">
        <f>"                    Valmont Industries Inc"</f>
        <v xml:space="preserve">                    Valmont Industries Inc</v>
      </c>
      <c r="B626" t="str">
        <f>"VMI US Equity"</f>
        <v>VMI US Equity</v>
      </c>
      <c r="C626" t="str">
        <f t="shared" si="66"/>
        <v>F0946</v>
      </c>
      <c r="D626" t="str">
        <f t="shared" si="67"/>
        <v>TOTAL_GHG_CO2_EMISSIONS</v>
      </c>
      <c r="E626" t="str">
        <f t="shared" si="68"/>
        <v>Dynamic</v>
      </c>
      <c r="F626">
        <f ca="1">IF(AND(ISNUMBER($F$1727),$B$1132=1),$F$1727,HLOOKUP(INDIRECT(ADDRESS(2,COLUMN())),OFFSET($K$2,0,0,ROW()-1,5),ROW()-1,FALSE))</f>
        <v>0.193300003</v>
      </c>
      <c r="G626">
        <f ca="1">IF(AND(ISNUMBER($G$1727),$B$1132=1),$G$1727,HLOOKUP(INDIRECT(ADDRESS(2,COLUMN())),OFFSET($K$2,0,0,ROW()-1,5),ROW()-1,FALSE))</f>
        <v>0.19705099500000001</v>
      </c>
      <c r="H626">
        <f ca="1">IF(AND(ISNUMBER($H$1727),$B$1132=1),$H$1727,HLOOKUP(INDIRECT(ADDRESS(2,COLUMN())),OFFSET($K$2,0,0,ROW()-1,5),ROW()-1,FALSE))</f>
        <v>0.20192700199999999</v>
      </c>
      <c r="I626">
        <f ca="1">IF(AND(ISNUMBER($I$1727),$B$1132=1),$I$1727,HLOOKUP(INDIRECT(ADDRESS(2,COLUMN())),OFFSET($K$2,0,0,ROW()-1,5),ROW()-1,FALSE))</f>
        <v>0.20829499800000001</v>
      </c>
      <c r="J626">
        <f ca="1">IF(AND(ISNUMBER($J$1727),$B$1132=1),$J$1727,HLOOKUP(INDIRECT(ADDRESS(2,COLUMN())),OFFSET($K$2,0,0,ROW()-1,5),ROW()-1,FALSE))</f>
        <v>0.217554001</v>
      </c>
      <c r="K626">
        <f>0.193300003</f>
        <v>0.193300003</v>
      </c>
      <c r="L626">
        <f>0.197050995</f>
        <v>0.19705099500000001</v>
      </c>
      <c r="M626">
        <f>0.201927002</f>
        <v>0.20192700199999999</v>
      </c>
      <c r="N626">
        <f>0.208294998</f>
        <v>0.20829499800000001</v>
      </c>
      <c r="O626">
        <f>0.217554001</f>
        <v>0.217554001</v>
      </c>
    </row>
    <row r="627" spans="1:15" x14ac:dyDescent="0.25">
      <c r="A627" t="str">
        <f>"                    Volvo AB"</f>
        <v xml:space="preserve">                    Volvo AB</v>
      </c>
      <c r="B627" t="str">
        <f>"VOLVB SS Equity"</f>
        <v>VOLVB SS Equity</v>
      </c>
      <c r="C627" t="str">
        <f t="shared" si="66"/>
        <v>F0946</v>
      </c>
      <c r="D627" t="str">
        <f t="shared" si="67"/>
        <v>TOTAL_GHG_CO2_EMISSIONS</v>
      </c>
      <c r="E627" t="str">
        <f t="shared" si="68"/>
        <v>Dynamic</v>
      </c>
      <c r="F627">
        <f ca="1">IF(AND(ISNUMBER($F$1728),$B$1132=1),$F$1728,HLOOKUP(INDIRECT(ADDRESS(2,COLUMN())),OFFSET($K$2,0,0,ROW()-1,5),ROW()-1,FALSE))</f>
        <v>0.42299999999999999</v>
      </c>
      <c r="G627">
        <f ca="1">IF(AND(ISNUMBER($G$1728),$B$1132=1),$G$1728,HLOOKUP(INDIRECT(ADDRESS(2,COLUMN())),OFFSET($K$2,0,0,ROW()-1,5),ROW()-1,FALSE))</f>
        <v>0.44900000000000001</v>
      </c>
      <c r="H627">
        <f ca="1">IF(AND(ISNUMBER($H$1728),$B$1132=1),$H$1728,HLOOKUP(INDIRECT(ADDRESS(2,COLUMN())),OFFSET($K$2,0,0,ROW()-1,5),ROW()-1,FALSE))</f>
        <v>0.39800000000000002</v>
      </c>
      <c r="I627">
        <f ca="1">IF(AND(ISNUMBER($I$1728),$B$1132=1),$I$1728,HLOOKUP(INDIRECT(ADDRESS(2,COLUMN())),OFFSET($K$2,0,0,ROW()-1,5),ROW()-1,FALSE))</f>
        <v>0.46</v>
      </c>
      <c r="J627">
        <f ca="1">IF(AND(ISNUMBER($J$1728),$B$1132=1),$J$1728,HLOOKUP(INDIRECT(ADDRESS(2,COLUMN())),OFFSET($K$2,0,0,ROW()-1,5),ROW()-1,FALSE))</f>
        <v>0.42099999999999999</v>
      </c>
      <c r="K627">
        <f>0.423</f>
        <v>0.42299999999999999</v>
      </c>
      <c r="L627">
        <f>0.449</f>
        <v>0.44900000000000001</v>
      </c>
      <c r="M627">
        <f>0.398</f>
        <v>0.39800000000000002</v>
      </c>
      <c r="N627">
        <f>0.46</f>
        <v>0.46</v>
      </c>
      <c r="O627">
        <f>0.421</f>
        <v>0.42099999999999999</v>
      </c>
    </row>
    <row r="628" spans="1:15" x14ac:dyDescent="0.25">
      <c r="A628" t="str">
        <f>"                    Wacker Neuson SE"</f>
        <v xml:space="preserve">                    Wacker Neuson SE</v>
      </c>
      <c r="B628" t="str">
        <f>"WAC GR Equity"</f>
        <v>WAC GR Equity</v>
      </c>
      <c r="C628" t="str">
        <f t="shared" si="66"/>
        <v>F0946</v>
      </c>
      <c r="D628" t="str">
        <f t="shared" si="67"/>
        <v>TOTAL_GHG_CO2_EMISSIONS</v>
      </c>
      <c r="E628" t="str">
        <f t="shared" si="68"/>
        <v>Dynamic</v>
      </c>
      <c r="F628">
        <f ca="1">IF(AND(ISNUMBER($F$1729),$B$1132=1),$F$1729,HLOOKUP(INDIRECT(ADDRESS(2,COLUMN())),OFFSET($K$2,0,0,ROW()-1,5),ROW()-1,FALSE))</f>
        <v>1.8740999000000001E-2</v>
      </c>
      <c r="G628">
        <f ca="1">IF(AND(ISNUMBER($G$1729),$B$1132=1),$G$1729,HLOOKUP(INDIRECT(ADDRESS(2,COLUMN())),OFFSET($K$2,0,0,ROW()-1,5),ROW()-1,FALSE))</f>
        <v>1.8162001000000001E-2</v>
      </c>
      <c r="H628">
        <f ca="1">IF(AND(ISNUMBER($H$1729),$B$1132=1),$H$1729,HLOOKUP(INDIRECT(ADDRESS(2,COLUMN())),OFFSET($K$2,0,0,ROW()-1,5),ROW()-1,FALSE))</f>
        <v>3.0389999000000001E-2</v>
      </c>
      <c r="I628">
        <f ca="1">IF(AND(ISNUMBER($I$1729),$B$1132=1),$I$1729,HLOOKUP(INDIRECT(ADDRESS(2,COLUMN())),OFFSET($K$2,0,0,ROW()-1,5),ROW()-1,FALSE))</f>
        <v>3.7743999E-2</v>
      </c>
      <c r="J628">
        <f ca="1">IF(AND(ISNUMBER($J$1729),$B$1132=1),$J$1729,HLOOKUP(INDIRECT(ADDRESS(2,COLUMN())),OFFSET($K$2,0,0,ROW()-1,5),ROW()-1,FALSE))</f>
        <v>3.6584999E-2</v>
      </c>
      <c r="K628">
        <f>0.018740999</f>
        <v>1.8740999000000001E-2</v>
      </c>
      <c r="L628">
        <f>0.018162001</f>
        <v>1.8162001000000001E-2</v>
      </c>
      <c r="M628">
        <f>0.030389999</f>
        <v>3.0389999000000001E-2</v>
      </c>
      <c r="N628">
        <f>0.037743999</f>
        <v>3.7743999E-2</v>
      </c>
      <c r="O628">
        <f>0.036584999</f>
        <v>3.6584999E-2</v>
      </c>
    </row>
    <row r="629" spans="1:15" x14ac:dyDescent="0.25">
      <c r="A629" t="str">
        <f>"                    Wajax Corp"</f>
        <v xml:space="preserve">                    Wajax Corp</v>
      </c>
      <c r="B629" t="str">
        <f>"WJX CN Equity"</f>
        <v>WJX CN Equity</v>
      </c>
      <c r="C629" t="str">
        <f t="shared" si="66"/>
        <v>F0946</v>
      </c>
      <c r="D629" t="str">
        <f t="shared" si="67"/>
        <v>TOTAL_GHG_CO2_EMISSIONS</v>
      </c>
      <c r="E629" t="str">
        <f t="shared" si="68"/>
        <v>Dynamic</v>
      </c>
      <c r="F629">
        <f ca="1">IF(AND(ISNUMBER($F$1730),$B$1132=1),$F$1730,HLOOKUP(INDIRECT(ADDRESS(2,COLUMN())),OFFSET($K$2,0,0,ROW()-1,5),ROW()-1,FALSE))</f>
        <v>1.9525998999999999E-2</v>
      </c>
      <c r="G629">
        <f ca="1">IF(AND(ISNUMBER($G$1730),$B$1132=1),$G$1730,HLOOKUP(INDIRECT(ADDRESS(2,COLUMN())),OFFSET($K$2,0,0,ROW()-1,5),ROW()-1,FALSE))</f>
        <v>2.0489E-2</v>
      </c>
      <c r="H629">
        <f ca="1">IF(AND(ISNUMBER($H$1730),$B$1132=1),$H$1730,HLOOKUP(INDIRECT(ADDRESS(2,COLUMN())),OFFSET($K$2,0,0,ROW()-1,5),ROW()-1,FALSE))</f>
        <v>1.7037001E-2</v>
      </c>
      <c r="I629" t="str">
        <f ca="1">IF(AND(ISNUMBER($I$1730),$B$1132=1),$I$1730,HLOOKUP(INDIRECT(ADDRESS(2,COLUMN())),OFFSET($K$2,0,0,ROW()-1,5),ROW()-1,FALSE))</f>
        <v/>
      </c>
      <c r="J629" t="str">
        <f ca="1">IF(AND(ISNUMBER($J$1730),$B$1132=1),$J$1730,HLOOKUP(INDIRECT(ADDRESS(2,COLUMN())),OFFSET($K$2,0,0,ROW()-1,5),ROW()-1,FALSE))</f>
        <v/>
      </c>
      <c r="K629">
        <f>0.019525999</f>
        <v>1.9525998999999999E-2</v>
      </c>
      <c r="L629">
        <f>0.020489</f>
        <v>2.0489E-2</v>
      </c>
      <c r="M629">
        <f>0.017037001</f>
        <v>1.7037001E-2</v>
      </c>
      <c r="N629" t="str">
        <f>""</f>
        <v/>
      </c>
      <c r="O629" t="str">
        <f>""</f>
        <v/>
      </c>
    </row>
    <row r="630" spans="1:15" x14ac:dyDescent="0.25">
      <c r="A630" t="str">
        <f>"                    XCMG Construction Machinery Co"</f>
        <v xml:space="preserve">                    XCMG Construction Machinery Co</v>
      </c>
      <c r="B630" t="str">
        <f>"000425 CH Equity"</f>
        <v>000425 CH Equity</v>
      </c>
      <c r="C630" t="str">
        <f t="shared" si="66"/>
        <v>F0946</v>
      </c>
      <c r="D630" t="str">
        <f t="shared" si="67"/>
        <v>TOTAL_GHG_CO2_EMISSIONS</v>
      </c>
      <c r="E630" t="str">
        <f t="shared" si="68"/>
        <v>Dynamic</v>
      </c>
      <c r="F630" t="str">
        <f ca="1">IF(AND(ISNUMBER($F$1731),$B$1132=1),$F$1731,HLOOKUP(INDIRECT(ADDRESS(2,COLUMN())),OFFSET($K$2,0,0,ROW()-1,5),ROW()-1,FALSE))</f>
        <v/>
      </c>
      <c r="G630" t="str">
        <f ca="1">IF(AND(ISNUMBER($G$1731),$B$1132=1),$G$1731,HLOOKUP(INDIRECT(ADDRESS(2,COLUMN())),OFFSET($K$2,0,0,ROW()-1,5),ROW()-1,FALSE))</f>
        <v/>
      </c>
      <c r="H630" t="str">
        <f ca="1">IF(AND(ISNUMBER($H$1731),$B$1132=1),$H$1731,HLOOKUP(INDIRECT(ADDRESS(2,COLUMN())),OFFSET($K$2,0,0,ROW()-1,5),ROW()-1,FALSE))</f>
        <v/>
      </c>
      <c r="I630" t="str">
        <f ca="1">IF(AND(ISNUMBER($I$1731),$B$1132=1),$I$1731,HLOOKUP(INDIRECT(ADDRESS(2,COLUMN())),OFFSET($K$2,0,0,ROW()-1,5),ROW()-1,FALSE))</f>
        <v/>
      </c>
      <c r="J630" t="str">
        <f ca="1">IF(AND(ISNUMBER($J$1731),$B$1132=1),$J$1731,HLOOKUP(INDIRECT(ADDRESS(2,COLUMN())),OFFSET($K$2,0,0,ROW()-1,5),ROW()-1,FALSE))</f>
        <v/>
      </c>
      <c r="K630" t="str">
        <f>""</f>
        <v/>
      </c>
      <c r="L630" t="str">
        <f>""</f>
        <v/>
      </c>
      <c r="M630" t="str">
        <f>""</f>
        <v/>
      </c>
      <c r="N630" t="str">
        <f>""</f>
        <v/>
      </c>
      <c r="O630" t="str">
        <f>""</f>
        <v/>
      </c>
    </row>
    <row r="631" spans="1:15" x14ac:dyDescent="0.25">
      <c r="A631" t="str">
        <f>"                    Xiamen XGMA Machinery Co Ltd"</f>
        <v xml:space="preserve">                    Xiamen XGMA Machinery Co Ltd</v>
      </c>
      <c r="B631" t="str">
        <f>"600815 CH Equity"</f>
        <v>600815 CH Equity</v>
      </c>
      <c r="C631" t="str">
        <f t="shared" si="66"/>
        <v>F0946</v>
      </c>
      <c r="D631" t="str">
        <f t="shared" si="67"/>
        <v>TOTAL_GHG_CO2_EMISSIONS</v>
      </c>
      <c r="E631" t="str">
        <f t="shared" si="68"/>
        <v>Dynamic</v>
      </c>
      <c r="F631" t="str">
        <f ca="1">IF(AND(ISNUMBER($F$1732),$B$1132=1),$F$1732,HLOOKUP(INDIRECT(ADDRESS(2,COLUMN())),OFFSET($K$2,0,0,ROW()-1,5),ROW()-1,FALSE))</f>
        <v/>
      </c>
      <c r="G631" t="str">
        <f ca="1">IF(AND(ISNUMBER($G$1732),$B$1132=1),$G$1732,HLOOKUP(INDIRECT(ADDRESS(2,COLUMN())),OFFSET($K$2,0,0,ROW()-1,5),ROW()-1,FALSE))</f>
        <v/>
      </c>
      <c r="H631" t="str">
        <f ca="1">IF(AND(ISNUMBER($H$1732),$B$1132=1),$H$1732,HLOOKUP(INDIRECT(ADDRESS(2,COLUMN())),OFFSET($K$2,0,0,ROW()-1,5),ROW()-1,FALSE))</f>
        <v/>
      </c>
      <c r="I631" t="str">
        <f ca="1">IF(AND(ISNUMBER($I$1732),$B$1132=1),$I$1732,HLOOKUP(INDIRECT(ADDRESS(2,COLUMN())),OFFSET($K$2,0,0,ROW()-1,5),ROW()-1,FALSE))</f>
        <v/>
      </c>
      <c r="J631" t="str">
        <f ca="1">IF(AND(ISNUMBER($J$1732),$B$1132=1),$J$1732,HLOOKUP(INDIRECT(ADDRESS(2,COLUMN())),OFFSET($K$2,0,0,ROW()-1,5),ROW()-1,FALSE))</f>
        <v/>
      </c>
      <c r="K631" t="str">
        <f>""</f>
        <v/>
      </c>
      <c r="L631" t="str">
        <f>""</f>
        <v/>
      </c>
      <c r="M631" t="str">
        <f>""</f>
        <v/>
      </c>
      <c r="N631" t="str">
        <f>""</f>
        <v/>
      </c>
      <c r="O631" t="str">
        <f>""</f>
        <v/>
      </c>
    </row>
    <row r="632" spans="1:15" x14ac:dyDescent="0.25">
      <c r="A632" t="str">
        <f>"                    Xiamen Xiagong Machine Constru"</f>
        <v xml:space="preserve">                    Xiamen Xiagong Machine Constru</v>
      </c>
      <c r="B632" t="str">
        <f>"XMXGMZ CH Equity"</f>
        <v>XMXGMZ CH Equity</v>
      </c>
      <c r="C632" t="str">
        <f t="shared" si="66"/>
        <v>F0946</v>
      </c>
      <c r="D632" t="str">
        <f t="shared" si="67"/>
        <v>TOTAL_GHG_CO2_EMISSIONS</v>
      </c>
      <c r="E632" t="str">
        <f t="shared" si="68"/>
        <v>Dynamic</v>
      </c>
      <c r="F632" t="str">
        <f ca="1">IF(AND(ISNUMBER($F$1733),$B$1132=1),$F$1733,HLOOKUP(INDIRECT(ADDRESS(2,COLUMN())),OFFSET($K$2,0,0,ROW()-1,5),ROW()-1,FALSE))</f>
        <v/>
      </c>
      <c r="G632" t="str">
        <f ca="1">IF(AND(ISNUMBER($G$1733),$B$1132=1),$G$1733,HLOOKUP(INDIRECT(ADDRESS(2,COLUMN())),OFFSET($K$2,0,0,ROW()-1,5),ROW()-1,FALSE))</f>
        <v/>
      </c>
      <c r="H632" t="str">
        <f ca="1">IF(AND(ISNUMBER($H$1733),$B$1132=1),$H$1733,HLOOKUP(INDIRECT(ADDRESS(2,COLUMN())),OFFSET($K$2,0,0,ROW()-1,5),ROW()-1,FALSE))</f>
        <v/>
      </c>
      <c r="I632" t="str">
        <f ca="1">IF(AND(ISNUMBER($I$1733),$B$1132=1),$I$1733,HLOOKUP(INDIRECT(ADDRESS(2,COLUMN())),OFFSET($K$2,0,0,ROW()-1,5),ROW()-1,FALSE))</f>
        <v/>
      </c>
      <c r="J632" t="str">
        <f ca="1">IF(AND(ISNUMBER($J$1733),$B$1132=1),$J$1733,HLOOKUP(INDIRECT(ADDRESS(2,COLUMN())),OFFSET($K$2,0,0,ROW()-1,5),ROW()-1,FALSE))</f>
        <v/>
      </c>
      <c r="K632" t="str">
        <f>""</f>
        <v/>
      </c>
      <c r="L632" t="str">
        <f>""</f>
        <v/>
      </c>
      <c r="M632" t="str">
        <f>""</f>
        <v/>
      </c>
      <c r="N632" t="str">
        <f>""</f>
        <v/>
      </c>
      <c r="O632" t="str">
        <f>""</f>
        <v/>
      </c>
    </row>
    <row r="633" spans="1:15" x14ac:dyDescent="0.25">
      <c r="A633" t="str">
        <f>"                    Yanmar Power Technology Co Ltd"</f>
        <v xml:space="preserve">                    Yanmar Power Technology Co Ltd</v>
      </c>
      <c r="B633" t="str">
        <f>"YANMZ JP Equity"</f>
        <v>YANMZ JP Equity</v>
      </c>
      <c r="C633" t="str">
        <f t="shared" si="66"/>
        <v>F0946</v>
      </c>
      <c r="D633" t="str">
        <f t="shared" si="67"/>
        <v>TOTAL_GHG_CO2_EMISSIONS</v>
      </c>
      <c r="E633" t="str">
        <f t="shared" si="68"/>
        <v>Dynamic</v>
      </c>
      <c r="F633" t="str">
        <f ca="1">IF(AND(ISNUMBER($F$1734),$B$1132=1),$F$1734,HLOOKUP(INDIRECT(ADDRESS(2,COLUMN())),OFFSET($K$2,0,0,ROW()-1,5),ROW()-1,FALSE))</f>
        <v/>
      </c>
      <c r="G633" t="str">
        <f ca="1">IF(AND(ISNUMBER($G$1734),$B$1132=1),$G$1734,HLOOKUP(INDIRECT(ADDRESS(2,COLUMN())),OFFSET($K$2,0,0,ROW()-1,5),ROW()-1,FALSE))</f>
        <v/>
      </c>
      <c r="H633" t="str">
        <f ca="1">IF(AND(ISNUMBER($H$1734),$B$1132=1),$H$1734,HLOOKUP(INDIRECT(ADDRESS(2,COLUMN())),OFFSET($K$2,0,0,ROW()-1,5),ROW()-1,FALSE))</f>
        <v/>
      </c>
      <c r="I633" t="str">
        <f ca="1">IF(AND(ISNUMBER($I$1734),$B$1132=1),$I$1734,HLOOKUP(INDIRECT(ADDRESS(2,COLUMN())),OFFSET($K$2,0,0,ROW()-1,5),ROW()-1,FALSE))</f>
        <v/>
      </c>
      <c r="J633" t="str">
        <f ca="1">IF(AND(ISNUMBER($J$1734),$B$1132=1),$J$1734,HLOOKUP(INDIRECT(ADDRESS(2,COLUMN())),OFFSET($K$2,0,0,ROW()-1,5),ROW()-1,FALSE))</f>
        <v/>
      </c>
      <c r="K633" t="str">
        <f>""</f>
        <v/>
      </c>
      <c r="L633" t="str">
        <f>""</f>
        <v/>
      </c>
      <c r="M633" t="str">
        <f>""</f>
        <v/>
      </c>
      <c r="N633" t="str">
        <f>""</f>
        <v/>
      </c>
      <c r="O633" t="str">
        <f>""</f>
        <v/>
      </c>
    </row>
    <row r="634" spans="1:15" x14ac:dyDescent="0.25">
      <c r="A634" t="str">
        <f>"                    YTO Group Corp"</f>
        <v xml:space="preserve">                    YTO Group Corp</v>
      </c>
      <c r="B634" t="str">
        <f>"YTGGRZ CH Equity"</f>
        <v>YTGGRZ CH Equity</v>
      </c>
      <c r="C634" t="str">
        <f t="shared" si="66"/>
        <v>F0946</v>
      </c>
      <c r="D634" t="str">
        <f t="shared" si="67"/>
        <v>TOTAL_GHG_CO2_EMISSIONS</v>
      </c>
      <c r="E634" t="str">
        <f t="shared" si="68"/>
        <v>Dynamic</v>
      </c>
      <c r="F634" t="str">
        <f ca="1">IF(AND(ISNUMBER($F$1735),$B$1132=1),$F$1735,HLOOKUP(INDIRECT(ADDRESS(2,COLUMN())),OFFSET($K$2,0,0,ROW()-1,5),ROW()-1,FALSE))</f>
        <v/>
      </c>
      <c r="G634" t="str">
        <f ca="1">IF(AND(ISNUMBER($G$1735),$B$1132=1),$G$1735,HLOOKUP(INDIRECT(ADDRESS(2,COLUMN())),OFFSET($K$2,0,0,ROW()-1,5),ROW()-1,FALSE))</f>
        <v/>
      </c>
      <c r="H634" t="str">
        <f ca="1">IF(AND(ISNUMBER($H$1735),$B$1132=1),$H$1735,HLOOKUP(INDIRECT(ADDRESS(2,COLUMN())),OFFSET($K$2,0,0,ROW()-1,5),ROW()-1,FALSE))</f>
        <v/>
      </c>
      <c r="I634" t="str">
        <f ca="1">IF(AND(ISNUMBER($I$1735),$B$1132=1),$I$1735,HLOOKUP(INDIRECT(ADDRESS(2,COLUMN())),OFFSET($K$2,0,0,ROW()-1,5),ROW()-1,FALSE))</f>
        <v/>
      </c>
      <c r="J634" t="str">
        <f ca="1">IF(AND(ISNUMBER($J$1735),$B$1132=1),$J$1735,HLOOKUP(INDIRECT(ADDRESS(2,COLUMN())),OFFSET($K$2,0,0,ROW()-1,5),ROW()-1,FALSE))</f>
        <v/>
      </c>
      <c r="K634" t="str">
        <f>""</f>
        <v/>
      </c>
      <c r="L634" t="str">
        <f>""</f>
        <v/>
      </c>
      <c r="M634" t="str">
        <f>""</f>
        <v/>
      </c>
      <c r="N634" t="str">
        <f>""</f>
        <v/>
      </c>
      <c r="O634" t="str">
        <f>""</f>
        <v/>
      </c>
    </row>
    <row r="635" spans="1:15" x14ac:dyDescent="0.25">
      <c r="A635" t="str">
        <f>"                    Zaklady Sprzetu Mechanicznego"</f>
        <v xml:space="preserve">                    Zaklady Sprzetu Mechanicznego</v>
      </c>
      <c r="B635" t="str">
        <f>"4625985Z PW Equity"</f>
        <v>4625985Z PW Equity</v>
      </c>
      <c r="C635" t="str">
        <f t="shared" si="66"/>
        <v>F0946</v>
      </c>
      <c r="D635" t="str">
        <f t="shared" si="67"/>
        <v>TOTAL_GHG_CO2_EMISSIONS</v>
      </c>
      <c r="E635" t="str">
        <f t="shared" si="68"/>
        <v>Dynamic</v>
      </c>
      <c r="F635" t="str">
        <f ca="1">IF(AND(ISNUMBER($F$1736),$B$1132=1),$F$1736,HLOOKUP(INDIRECT(ADDRESS(2,COLUMN())),OFFSET($K$2,0,0,ROW()-1,5),ROW()-1,FALSE))</f>
        <v/>
      </c>
      <c r="G635" t="str">
        <f ca="1">IF(AND(ISNUMBER($G$1736),$B$1132=1),$G$1736,HLOOKUP(INDIRECT(ADDRESS(2,COLUMN())),OFFSET($K$2,0,0,ROW()-1,5),ROW()-1,FALSE))</f>
        <v/>
      </c>
      <c r="H635" t="str">
        <f ca="1">IF(AND(ISNUMBER($H$1736),$B$1132=1),$H$1736,HLOOKUP(INDIRECT(ADDRESS(2,COLUMN())),OFFSET($K$2,0,0,ROW()-1,5),ROW()-1,FALSE))</f>
        <v/>
      </c>
      <c r="I635" t="str">
        <f ca="1">IF(AND(ISNUMBER($I$1736),$B$1132=1),$I$1736,HLOOKUP(INDIRECT(ADDRESS(2,COLUMN())),OFFSET($K$2,0,0,ROW()-1,5),ROW()-1,FALSE))</f>
        <v/>
      </c>
      <c r="J635" t="str">
        <f ca="1">IF(AND(ISNUMBER($J$1736),$B$1132=1),$J$1736,HLOOKUP(INDIRECT(ADDRESS(2,COLUMN())),OFFSET($K$2,0,0,ROW()-1,5),ROW()-1,FALSE))</f>
        <v/>
      </c>
      <c r="K635" t="str">
        <f>""</f>
        <v/>
      </c>
      <c r="L635" t="str">
        <f>""</f>
        <v/>
      </c>
      <c r="M635" t="str">
        <f>""</f>
        <v/>
      </c>
      <c r="N635" t="str">
        <f>""</f>
        <v/>
      </c>
      <c r="O635" t="str">
        <f>""</f>
        <v/>
      </c>
    </row>
    <row r="636" spans="1:15" x14ac:dyDescent="0.25">
      <c r="A636" t="str">
        <f>"                    Zetor AS"</f>
        <v xml:space="preserve">                    Zetor AS</v>
      </c>
      <c r="B636" t="str">
        <f>"ZETOR CP Equity"</f>
        <v>ZETOR CP Equity</v>
      </c>
      <c r="C636" t="str">
        <f t="shared" si="66"/>
        <v>F0946</v>
      </c>
      <c r="D636" t="str">
        <f t="shared" si="67"/>
        <v>TOTAL_GHG_CO2_EMISSIONS</v>
      </c>
      <c r="E636" t="str">
        <f t="shared" si="68"/>
        <v>Dynamic</v>
      </c>
      <c r="F636" t="str">
        <f ca="1">IF(AND(ISNUMBER($F$1737),$B$1132=1),$F$1737,HLOOKUP(INDIRECT(ADDRESS(2,COLUMN())),OFFSET($K$2,0,0,ROW()-1,5),ROW()-1,FALSE))</f>
        <v/>
      </c>
      <c r="G636" t="str">
        <f ca="1">IF(AND(ISNUMBER($G$1737),$B$1132=1),$G$1737,HLOOKUP(INDIRECT(ADDRESS(2,COLUMN())),OFFSET($K$2,0,0,ROW()-1,5),ROW()-1,FALSE))</f>
        <v/>
      </c>
      <c r="H636" t="str">
        <f ca="1">IF(AND(ISNUMBER($H$1737),$B$1132=1),$H$1737,HLOOKUP(INDIRECT(ADDRESS(2,COLUMN())),OFFSET($K$2,0,0,ROW()-1,5),ROW()-1,FALSE))</f>
        <v/>
      </c>
      <c r="I636" t="str">
        <f ca="1">IF(AND(ISNUMBER($I$1737),$B$1132=1),$I$1737,HLOOKUP(INDIRECT(ADDRESS(2,COLUMN())),OFFSET($K$2,0,0,ROW()-1,5),ROW()-1,FALSE))</f>
        <v/>
      </c>
      <c r="J636" t="str">
        <f ca="1">IF(AND(ISNUMBER($J$1737),$B$1132=1),$J$1737,HLOOKUP(INDIRECT(ADDRESS(2,COLUMN())),OFFSET($K$2,0,0,ROW()-1,5),ROW()-1,FALSE))</f>
        <v/>
      </c>
      <c r="K636" t="str">
        <f>""</f>
        <v/>
      </c>
      <c r="L636" t="str">
        <f>""</f>
        <v/>
      </c>
      <c r="M636" t="str">
        <f>""</f>
        <v/>
      </c>
      <c r="N636" t="str">
        <f>""</f>
        <v/>
      </c>
      <c r="O636" t="str">
        <f>""</f>
        <v/>
      </c>
    </row>
    <row r="637" spans="1:15" x14ac:dyDescent="0.25">
      <c r="A637" t="str">
        <f>"                    Zoomlion Heavy Industry Scienc"</f>
        <v xml:space="preserve">                    Zoomlion Heavy Industry Scienc</v>
      </c>
      <c r="B637" t="str">
        <f>"000157 CH Equity"</f>
        <v>000157 CH Equity</v>
      </c>
      <c r="C637" t="str">
        <f t="shared" si="66"/>
        <v>F0946</v>
      </c>
      <c r="D637" t="str">
        <f t="shared" si="67"/>
        <v>TOTAL_GHG_CO2_EMISSIONS</v>
      </c>
      <c r="E637" t="str">
        <f t="shared" si="68"/>
        <v>Dynamic</v>
      </c>
      <c r="F637">
        <f ca="1">IF(AND(ISNUMBER($F$1738),$B$1132=1),$F$1738,HLOOKUP(INDIRECT(ADDRESS(2,COLUMN())),OFFSET($K$2,0,0,ROW()-1,5),ROW()-1,FALSE))</f>
        <v>0.17304699700000001</v>
      </c>
      <c r="G637">
        <f ca="1">IF(AND(ISNUMBER($G$1738),$B$1132=1),$G$1738,HLOOKUP(INDIRECT(ADDRESS(2,COLUMN())),OFFSET($K$2,0,0,ROW()-1,5),ROW()-1,FALSE))</f>
        <v>0.20809599300000001</v>
      </c>
      <c r="H637">
        <f ca="1">IF(AND(ISNUMBER($H$1738),$B$1132=1),$H$1738,HLOOKUP(INDIRECT(ADDRESS(2,COLUMN())),OFFSET($K$2,0,0,ROW()-1,5),ROW()-1,FALSE))</f>
        <v>0.20441099500000001</v>
      </c>
      <c r="I637">
        <f ca="1">IF(AND(ISNUMBER($I$1738),$B$1132=1),$I$1738,HLOOKUP(INDIRECT(ADDRESS(2,COLUMN())),OFFSET($K$2,0,0,ROW()-1,5),ROW()-1,FALSE))</f>
        <v>0.16900799599999999</v>
      </c>
      <c r="J637">
        <f ca="1">IF(AND(ISNUMBER($J$1738),$B$1132=1),$J$1738,HLOOKUP(INDIRECT(ADDRESS(2,COLUMN())),OFFSET($K$2,0,0,ROW()-1,5),ROW()-1,FALSE))</f>
        <v>0.102828003</v>
      </c>
      <c r="K637">
        <f>0.173046997</f>
        <v>0.17304699700000001</v>
      </c>
      <c r="L637">
        <f>0.208095993</f>
        <v>0.20809599300000001</v>
      </c>
      <c r="M637">
        <f>0.204410995</f>
        <v>0.20441099500000001</v>
      </c>
      <c r="N637">
        <f>0.169007996</f>
        <v>0.16900799599999999</v>
      </c>
      <c r="O637">
        <f>0.102828003</f>
        <v>0.102828003</v>
      </c>
    </row>
    <row r="638" spans="1:15" x14ac:dyDescent="0.25">
      <c r="A638" t="str">
        <f>"            Industrial Services"</f>
        <v xml:space="preserve">            Industrial Services</v>
      </c>
      <c r="B638" t="str">
        <f>""</f>
        <v/>
      </c>
      <c r="E638" t="str">
        <f>"Sum"</f>
        <v>Sum</v>
      </c>
      <c r="F638">
        <f ca="1">IF(ISERROR(IF(SUM($F$639:$F$639) = 0, "", SUM($F$639:$F$639))), "", (IF(SUM($F$639:$F$639) = 0, "", SUM($F$639:$F$639))))</f>
        <v>87.680894004999999</v>
      </c>
      <c r="G638">
        <f ca="1">IF(ISERROR(IF(SUM($G$639:$G$639) = 0, "", SUM($G$639:$G$639))), "", (IF(SUM($G$639:$G$639) = 0, "", SUM($G$639:$G$639))))</f>
        <v>203.354500221</v>
      </c>
      <c r="H638">
        <f ca="1">IF(ISERROR(IF(SUM($H$639:$H$639) = 0, "", SUM($H$639:$H$639))), "", (IF(SUM($H$639:$H$639) = 0, "", SUM($H$639:$H$639))))</f>
        <v>160.39919306099998</v>
      </c>
      <c r="I638">
        <f ca="1">IF(ISERROR(IF(SUM($I$639:$I$639) = 0, "", SUM($I$639:$I$639))), "", (IF(SUM($I$639:$I$639) = 0, "", SUM($I$639:$I$639))))</f>
        <v>245.59289917000001</v>
      </c>
      <c r="J638">
        <f ca="1">IF(ISERROR(IF(SUM($J$639:$J$639) = 0, "", SUM($J$639:$J$639))), "", (IF(SUM($J$639:$J$639) = 0, "", SUM($J$639:$J$639))))</f>
        <v>243.62843506199997</v>
      </c>
      <c r="K638" t="str">
        <f>""</f>
        <v/>
      </c>
      <c r="L638">
        <f>203.3545002</f>
        <v>203.35450019999999</v>
      </c>
      <c r="M638">
        <f>160.3991931</f>
        <v>160.39919309999999</v>
      </c>
      <c r="N638">
        <f>245.5928992</f>
        <v>245.59289920000001</v>
      </c>
      <c r="O638">
        <f>243.628435</f>
        <v>243.628435</v>
      </c>
    </row>
    <row r="639" spans="1:15" x14ac:dyDescent="0.25">
      <c r="A639" t="str">
        <f>"                Transportation"</f>
        <v xml:space="preserve">                Transportation</v>
      </c>
      <c r="B639" t="str">
        <f>""</f>
        <v/>
      </c>
      <c r="E639" t="str">
        <f>"Sum"</f>
        <v>Sum</v>
      </c>
      <c r="F639">
        <f ca="1">IF(ISERROR(IF(SUM($F$640,$F$656,$F$662) = 0, "", SUM($F$640,$F$656,$F$662))), "", (IF(SUM($F$640,$F$656,$F$662) = 0, "", SUM($F$640,$F$656,$F$662))))</f>
        <v>87.680894004999999</v>
      </c>
      <c r="G639">
        <f ca="1">IF(ISERROR(IF(SUM($G$640,$G$656,$G$662) = 0, "", SUM($G$640,$G$656,$G$662))), "", (IF(SUM($G$640,$G$656,$G$662) = 0, "", SUM($G$640,$G$656,$G$662))))</f>
        <v>203.354500221</v>
      </c>
      <c r="H639">
        <f ca="1">IF(ISERROR(IF(SUM($H$640,$H$656,$H$662) = 0, "", SUM($H$640,$H$656,$H$662))), "", (IF(SUM($H$640,$H$656,$H$662) = 0, "", SUM($H$640,$H$656,$H$662))))</f>
        <v>160.39919306099998</v>
      </c>
      <c r="I639">
        <f ca="1">IF(ISERROR(IF(SUM($I$640,$I$656,$I$662) = 0, "", SUM($I$640,$I$656,$I$662))), "", (IF(SUM($I$640,$I$656,$I$662) = 0, "", SUM($I$640,$I$656,$I$662))))</f>
        <v>245.59289917000001</v>
      </c>
      <c r="J639">
        <f ca="1">IF(ISERROR(IF(SUM($J$640,$J$656,$J$662) = 0, "", SUM($J$640,$J$656,$J$662))), "", (IF(SUM($J$640,$J$656,$J$662) = 0, "", SUM($J$640,$J$656,$J$662))))</f>
        <v>243.62843506199997</v>
      </c>
      <c r="K639" t="str">
        <f>""</f>
        <v/>
      </c>
      <c r="L639">
        <f>203.3545002</f>
        <v>203.35450019999999</v>
      </c>
      <c r="M639">
        <f>160.3991931</f>
        <v>160.39919309999999</v>
      </c>
      <c r="N639">
        <f>245.5928992</f>
        <v>245.59289920000001</v>
      </c>
      <c r="O639">
        <f>243.628435</f>
        <v>243.628435</v>
      </c>
    </row>
    <row r="640" spans="1:15" x14ac:dyDescent="0.25">
      <c r="A640" t="str">
        <f>"                    Airlines"</f>
        <v xml:space="preserve">                    Airlines</v>
      </c>
      <c r="B640" t="str">
        <f>""</f>
        <v/>
      </c>
      <c r="E640" t="str">
        <f>"Sum"</f>
        <v>Sum</v>
      </c>
      <c r="F640">
        <f ca="1">IF(ISERROR(IF(SUM($F$641:$F$655) = 0, "", SUM($F$641:$F$655))), "", (IF(SUM($F$641:$F$655) = 0, "", SUM($F$641:$F$655))))</f>
        <v>61.509500000000003</v>
      </c>
      <c r="G640">
        <f ca="1">IF(ISERROR(IF(SUM($G$641:$G$655) = 0, "", SUM($G$641:$G$655))), "", (IF(SUM($G$641:$G$655) = 0, "", SUM($G$641:$G$655))))</f>
        <v>126.29225121899999</v>
      </c>
      <c r="H640">
        <f ca="1">IF(ISERROR(IF(SUM($H$641:$H$655) = 0, "", SUM($H$641:$H$655))), "", (IF(SUM($H$641:$H$655) = 0, "", SUM($H$641:$H$655))))</f>
        <v>85.607882929999988</v>
      </c>
      <c r="I640">
        <f ca="1">IF(ISERROR(IF(SUM($I$641:$I$655) = 0, "", SUM($I$641:$I$655))), "", (IF(SUM($I$641:$I$655) = 0, "", SUM($I$641:$I$655))))</f>
        <v>171.64107396200001</v>
      </c>
      <c r="J640">
        <f ca="1">IF(ISERROR(IF(SUM($J$641:$J$655) = 0, "", SUM($J$641:$J$655))), "", (IF(SUM($J$641:$J$655) = 0, "", SUM($J$641:$J$655))))</f>
        <v>167.59342603599998</v>
      </c>
      <c r="K640" t="str">
        <f>""</f>
        <v/>
      </c>
      <c r="L640">
        <f>126.2922512</f>
        <v>126.2922512</v>
      </c>
      <c r="M640">
        <f>85.60788293</f>
        <v>85.607882930000002</v>
      </c>
      <c r="N640">
        <f>171.641074</f>
        <v>171.641074</v>
      </c>
      <c r="O640">
        <f>167.593426</f>
        <v>167.59342599999999</v>
      </c>
    </row>
    <row r="641" spans="1:15" x14ac:dyDescent="0.25">
      <c r="A641" t="str">
        <f>"                        Allegiant Travel Co"</f>
        <v xml:space="preserve">                        Allegiant Travel Co</v>
      </c>
      <c r="B641" t="str">
        <f>"ALGT US Equity"</f>
        <v>ALGT US Equity</v>
      </c>
      <c r="C641" t="str">
        <f t="shared" ref="C641:C655" si="69">"F0946"</f>
        <v>F0946</v>
      </c>
      <c r="D641" t="str">
        <f t="shared" ref="D641:D655" si="70">"TOTAL_GHG_CO2_EMISSIONS"</f>
        <v>TOTAL_GHG_CO2_EMISSIONS</v>
      </c>
      <c r="E641" t="str">
        <f t="shared" ref="E641:E655" si="71">"Dynamic"</f>
        <v>Dynamic</v>
      </c>
      <c r="F641" t="str">
        <f ca="1">IF(AND(ISNUMBER($F$1739),$B$1132=1),$F$1739,HLOOKUP(INDIRECT(ADDRESS(2,COLUMN())),OFFSET($K$2,0,0,ROW()-1,5),ROW()-1,FALSE))</f>
        <v/>
      </c>
      <c r="G641">
        <f ca="1">IF(AND(ISNUMBER($G$1739),$B$1132=1),$G$1739,HLOOKUP(INDIRECT(ADDRESS(2,COLUMN())),OFFSET($K$2,0,0,ROW()-1,5),ROW()-1,FALSE))</f>
        <v>1.9878100590000001</v>
      </c>
      <c r="H641" t="str">
        <f ca="1">IF(AND(ISNUMBER($H$1739),$B$1132=1),$H$1739,HLOOKUP(INDIRECT(ADDRESS(2,COLUMN())),OFFSET($K$2,0,0,ROW()-1,5),ROW()-1,FALSE))</f>
        <v/>
      </c>
      <c r="I641" t="str">
        <f ca="1">IF(AND(ISNUMBER($I$1739),$B$1132=1),$I$1739,HLOOKUP(INDIRECT(ADDRESS(2,COLUMN())),OFFSET($K$2,0,0,ROW()-1,5),ROW()-1,FALSE))</f>
        <v/>
      </c>
      <c r="J641" t="str">
        <f ca="1">IF(AND(ISNUMBER($J$1739),$B$1132=1),$J$1739,HLOOKUP(INDIRECT(ADDRESS(2,COLUMN())),OFFSET($K$2,0,0,ROW()-1,5),ROW()-1,FALSE))</f>
        <v/>
      </c>
      <c r="K641" t="str">
        <f>""</f>
        <v/>
      </c>
      <c r="L641">
        <f>1.987810059</f>
        <v>1.9878100590000001</v>
      </c>
      <c r="M641" t="str">
        <f>""</f>
        <v/>
      </c>
      <c r="N641" t="str">
        <f>""</f>
        <v/>
      </c>
      <c r="O641" t="str">
        <f>""</f>
        <v/>
      </c>
    </row>
    <row r="642" spans="1:15" x14ac:dyDescent="0.25">
      <c r="A642" t="str">
        <f>"                        American Airlines Group Inc"</f>
        <v xml:space="preserve">                        American Airlines Group Inc</v>
      </c>
      <c r="B642" t="str">
        <f>"AAL US Equity"</f>
        <v>AAL US Equity</v>
      </c>
      <c r="C642" t="str">
        <f t="shared" si="69"/>
        <v>F0946</v>
      </c>
      <c r="D642" t="str">
        <f t="shared" si="70"/>
        <v>TOTAL_GHG_CO2_EMISSIONS</v>
      </c>
      <c r="E642" t="str">
        <f t="shared" si="71"/>
        <v>Dynamic</v>
      </c>
      <c r="F642" t="str">
        <f ca="1">IF(AND(ISNUMBER($F$1740),$B$1132=1),$F$1740,HLOOKUP(INDIRECT(ADDRESS(2,COLUMN())),OFFSET($K$2,0,0,ROW()-1,5),ROW()-1,FALSE))</f>
        <v/>
      </c>
      <c r="G642">
        <f ca="1">IF(AND(ISNUMBER($G$1740),$B$1132=1),$G$1740,HLOOKUP(INDIRECT(ADDRESS(2,COLUMN())),OFFSET($K$2,0,0,ROW()-1,5),ROW()-1,FALSE))</f>
        <v>29.06090039</v>
      </c>
      <c r="H642">
        <f ca="1">IF(AND(ISNUMBER($H$1740),$B$1132=1),$H$1740,HLOOKUP(INDIRECT(ADDRESS(2,COLUMN())),OFFSET($K$2,0,0,ROW()-1,5),ROW()-1,FALSE))</f>
        <v>20.088999999999999</v>
      </c>
      <c r="I642">
        <f ca="1">IF(AND(ISNUMBER($I$1740),$B$1132=1),$I$1740,HLOOKUP(INDIRECT(ADDRESS(2,COLUMN())),OFFSET($K$2,0,0,ROW()-1,5),ROW()-1,FALSE))</f>
        <v>41.43960156</v>
      </c>
      <c r="J642">
        <f ca="1">IF(AND(ISNUMBER($J$1740),$B$1132=1),$J$1740,HLOOKUP(INDIRECT(ADDRESS(2,COLUMN())),OFFSET($K$2,0,0,ROW()-1,5),ROW()-1,FALSE))</f>
        <v>40.604898439999999</v>
      </c>
      <c r="K642" t="str">
        <f>""</f>
        <v/>
      </c>
      <c r="L642">
        <f>29.06090039</f>
        <v>29.06090039</v>
      </c>
      <c r="M642">
        <f>20.089</f>
        <v>20.088999999999999</v>
      </c>
      <c r="N642">
        <f>41.43960156</f>
        <v>41.43960156</v>
      </c>
      <c r="O642">
        <f>40.60489844</f>
        <v>40.604898439999999</v>
      </c>
    </row>
    <row r="643" spans="1:15" x14ac:dyDescent="0.25">
      <c r="A643" t="str">
        <f>"                        Air Canada"</f>
        <v xml:space="preserve">                        Air Canada</v>
      </c>
      <c r="B643" t="str">
        <f>"AC CN Equity"</f>
        <v>AC CN Equity</v>
      </c>
      <c r="C643" t="str">
        <f t="shared" si="69"/>
        <v>F0946</v>
      </c>
      <c r="D643" t="str">
        <f t="shared" si="70"/>
        <v>TOTAL_GHG_CO2_EMISSIONS</v>
      </c>
      <c r="E643" t="str">
        <f t="shared" si="71"/>
        <v>Dynamic</v>
      </c>
      <c r="F643" t="str">
        <f ca="1">IF(AND(ISNUMBER($F$1741),$B$1132=1),$F$1741,HLOOKUP(INDIRECT(ADDRESS(2,COLUMN())),OFFSET($K$2,0,0,ROW()-1,5),ROW()-1,FALSE))</f>
        <v/>
      </c>
      <c r="G643">
        <f ca="1">IF(AND(ISNUMBER($G$1741),$B$1132=1),$G$1741,HLOOKUP(INDIRECT(ADDRESS(2,COLUMN())),OFFSET($K$2,0,0,ROW()-1,5),ROW()-1,FALSE))</f>
        <v>4.9203999019999998</v>
      </c>
      <c r="H643">
        <f ca="1">IF(AND(ISNUMBER($H$1741),$B$1132=1),$H$1741,HLOOKUP(INDIRECT(ADDRESS(2,COLUMN())),OFFSET($K$2,0,0,ROW()-1,5),ROW()-1,FALSE))</f>
        <v>5.0442499999999999</v>
      </c>
      <c r="I643">
        <f ca="1">IF(AND(ISNUMBER($I$1741),$B$1132=1),$I$1741,HLOOKUP(INDIRECT(ADDRESS(2,COLUMN())),OFFSET($K$2,0,0,ROW()-1,5),ROW()-1,FALSE))</f>
        <v>13.215799799999999</v>
      </c>
      <c r="J643">
        <f ca="1">IF(AND(ISNUMBER($J$1741),$B$1132=1),$J$1741,HLOOKUP(INDIRECT(ADDRESS(2,COLUMN())),OFFSET($K$2,0,0,ROW()-1,5),ROW()-1,FALSE))</f>
        <v>12.8852002</v>
      </c>
      <c r="K643" t="str">
        <f>""</f>
        <v/>
      </c>
      <c r="L643">
        <f>4.920399902</f>
        <v>4.9203999019999998</v>
      </c>
      <c r="M643">
        <f>5.04425</f>
        <v>5.0442499999999999</v>
      </c>
      <c r="N643">
        <f>13.2157998</f>
        <v>13.215799799999999</v>
      </c>
      <c r="O643">
        <f>12.8852002</f>
        <v>12.8852002</v>
      </c>
    </row>
    <row r="644" spans="1:15" x14ac:dyDescent="0.25">
      <c r="A644" t="str">
        <f>"                        Alaska Air Group Inc"</f>
        <v xml:space="preserve">                        Alaska Air Group Inc</v>
      </c>
      <c r="B644" t="str">
        <f>"ALK US Equity"</f>
        <v>ALK US Equity</v>
      </c>
      <c r="C644" t="str">
        <f t="shared" si="69"/>
        <v>F0946</v>
      </c>
      <c r="D644" t="str">
        <f t="shared" si="70"/>
        <v>TOTAL_GHG_CO2_EMISSIONS</v>
      </c>
      <c r="E644" t="str">
        <f t="shared" si="71"/>
        <v>Dynamic</v>
      </c>
      <c r="F644" t="str">
        <f ca="1">IF(AND(ISNUMBER($F$1742),$B$1132=1),$F$1742,HLOOKUP(INDIRECT(ADDRESS(2,COLUMN())),OFFSET($K$2,0,0,ROW()-1,5),ROW()-1,FALSE))</f>
        <v/>
      </c>
      <c r="G644">
        <f ca="1">IF(AND(ISNUMBER($G$1742),$B$1132=1),$G$1742,HLOOKUP(INDIRECT(ADDRESS(2,COLUMN())),OFFSET($K$2,0,0,ROW()-1,5),ROW()-1,FALSE))</f>
        <v>5.9703999019999996</v>
      </c>
      <c r="H644">
        <f ca="1">IF(AND(ISNUMBER($H$1742),$B$1132=1),$H$1742,HLOOKUP(INDIRECT(ADDRESS(2,COLUMN())),OFFSET($K$2,0,0,ROW()-1,5),ROW()-1,FALSE))</f>
        <v>4.1798701170000001</v>
      </c>
      <c r="I644">
        <f ca="1">IF(AND(ISNUMBER($I$1742),$B$1132=1),$I$1742,HLOOKUP(INDIRECT(ADDRESS(2,COLUMN())),OFFSET($K$2,0,0,ROW()-1,5),ROW()-1,FALSE))</f>
        <v>7.9870297849999998</v>
      </c>
      <c r="J644">
        <f ca="1">IF(AND(ISNUMBER($J$1742),$B$1132=1),$J$1742,HLOOKUP(INDIRECT(ADDRESS(2,COLUMN())),OFFSET($K$2,0,0,ROW()-1,5),ROW()-1,FALSE))</f>
        <v>7.7619999999999996</v>
      </c>
      <c r="K644" t="str">
        <f>""</f>
        <v/>
      </c>
      <c r="L644">
        <f>5.970399902</f>
        <v>5.9703999019999996</v>
      </c>
      <c r="M644">
        <f>4.179870117</f>
        <v>4.1798701170000001</v>
      </c>
      <c r="N644">
        <f>7.987029785</f>
        <v>7.9870297849999998</v>
      </c>
      <c r="O644">
        <f>7.762</f>
        <v>7.7619999999999996</v>
      </c>
    </row>
    <row r="645" spans="1:15" x14ac:dyDescent="0.25">
      <c r="A645" t="str">
        <f>"                        Copa Holdings SA"</f>
        <v xml:space="preserve">                        Copa Holdings SA</v>
      </c>
      <c r="B645" t="str">
        <f>"CPA US Equity"</f>
        <v>CPA US Equity</v>
      </c>
      <c r="C645" t="str">
        <f t="shared" si="69"/>
        <v>F0946</v>
      </c>
      <c r="D645" t="str">
        <f t="shared" si="70"/>
        <v>TOTAL_GHG_CO2_EMISSIONS</v>
      </c>
      <c r="E645" t="str">
        <f t="shared" si="71"/>
        <v>Dynamic</v>
      </c>
      <c r="F645" t="str">
        <f ca="1">IF(AND(ISNUMBER($F$1743),$B$1132=1),$F$1743,HLOOKUP(INDIRECT(ADDRESS(2,COLUMN())),OFFSET($K$2,0,0,ROW()-1,5),ROW()-1,FALSE))</f>
        <v/>
      </c>
      <c r="G645">
        <f ca="1">IF(AND(ISNUMBER($G$1743),$B$1132=1),$G$1743,HLOOKUP(INDIRECT(ADDRESS(2,COLUMN())),OFFSET($K$2,0,0,ROW()-1,5),ROW()-1,FALSE))</f>
        <v>1.70352002</v>
      </c>
      <c r="H645">
        <f ca="1">IF(AND(ISNUMBER($H$1743),$B$1132=1),$H$1743,HLOOKUP(INDIRECT(ADDRESS(2,COLUMN())),OFFSET($K$2,0,0,ROW()-1,5),ROW()-1,FALSE))</f>
        <v>0.88630297899999999</v>
      </c>
      <c r="I645" t="str">
        <f ca="1">IF(AND(ISNUMBER($I$1743),$B$1132=1),$I$1743,HLOOKUP(INDIRECT(ADDRESS(2,COLUMN())),OFFSET($K$2,0,0,ROW()-1,5),ROW()-1,FALSE))</f>
        <v/>
      </c>
      <c r="J645" t="str">
        <f ca="1">IF(AND(ISNUMBER($J$1743),$B$1132=1),$J$1743,HLOOKUP(INDIRECT(ADDRESS(2,COLUMN())),OFFSET($K$2,0,0,ROW()-1,5),ROW()-1,FALSE))</f>
        <v/>
      </c>
      <c r="K645" t="str">
        <f>""</f>
        <v/>
      </c>
      <c r="L645">
        <f>1.70352002</f>
        <v>1.70352002</v>
      </c>
      <c r="M645">
        <f>0.886302979</f>
        <v>0.88630297899999999</v>
      </c>
      <c r="N645" t="str">
        <f>""</f>
        <v/>
      </c>
      <c r="O645" t="str">
        <f>""</f>
        <v/>
      </c>
    </row>
    <row r="646" spans="1:15" x14ac:dyDescent="0.25">
      <c r="A646" t="str">
        <f>"                        Controladora Vuela Cia de Avia"</f>
        <v xml:space="preserve">                        Controladora Vuela Cia de Avia</v>
      </c>
      <c r="B646" t="str">
        <f>"VOLARA MM Equity"</f>
        <v>VOLARA MM Equity</v>
      </c>
      <c r="C646" t="str">
        <f t="shared" si="69"/>
        <v>F0946</v>
      </c>
      <c r="D646" t="str">
        <f t="shared" si="70"/>
        <v>TOTAL_GHG_CO2_EMISSIONS</v>
      </c>
      <c r="E646" t="str">
        <f t="shared" si="71"/>
        <v>Dynamic</v>
      </c>
      <c r="F646" t="str">
        <f ca="1">IF(AND(ISNUMBER($F$1744),$B$1132=1),$F$1744,HLOOKUP(INDIRECT(ADDRESS(2,COLUMN())),OFFSET($K$2,0,0,ROW()-1,5),ROW()-1,FALSE))</f>
        <v/>
      </c>
      <c r="G646">
        <f ca="1">IF(AND(ISNUMBER($G$1744),$B$1132=1),$G$1744,HLOOKUP(INDIRECT(ADDRESS(2,COLUMN())),OFFSET($K$2,0,0,ROW()-1,5),ROW()-1,FALSE))</f>
        <v>2.6845400389999998</v>
      </c>
      <c r="H646">
        <f ca="1">IF(AND(ISNUMBER($H$1744),$B$1132=1),$H$1744,HLOOKUP(INDIRECT(ADDRESS(2,COLUMN())),OFFSET($K$2,0,0,ROW()-1,5),ROW()-1,FALSE))</f>
        <v>2.1169699710000001</v>
      </c>
      <c r="I646">
        <f ca="1">IF(AND(ISNUMBER($I$1744),$B$1132=1),$I$1744,HLOOKUP(INDIRECT(ADDRESS(2,COLUMN())),OFFSET($K$2,0,0,ROW()-1,5),ROW()-1,FALSE))</f>
        <v>2.4170300290000002</v>
      </c>
      <c r="J646">
        <f ca="1">IF(AND(ISNUMBER($J$1744),$B$1132=1),$J$1744,HLOOKUP(INDIRECT(ADDRESS(2,COLUMN())),OFFSET($K$2,0,0,ROW()-1,5),ROW()-1,FALSE))</f>
        <v>2.3331799320000002</v>
      </c>
      <c r="K646" t="str">
        <f>""</f>
        <v/>
      </c>
      <c r="L646">
        <f>2.684540039</f>
        <v>2.6845400389999998</v>
      </c>
      <c r="M646">
        <f>2.116969971</f>
        <v>2.1169699710000001</v>
      </c>
      <c r="N646">
        <f>2.417030029</f>
        <v>2.4170300290000002</v>
      </c>
      <c r="O646">
        <f>2.333179932</f>
        <v>2.3331799320000002</v>
      </c>
    </row>
    <row r="647" spans="1:15" x14ac:dyDescent="0.25">
      <c r="A647" t="str">
        <f>"                        Delta Air Lines Inc"</f>
        <v xml:space="preserve">                        Delta Air Lines Inc</v>
      </c>
      <c r="B647" t="str">
        <f>"DAL US Equity"</f>
        <v>DAL US Equity</v>
      </c>
      <c r="C647" t="str">
        <f t="shared" si="69"/>
        <v>F0946</v>
      </c>
      <c r="D647" t="str">
        <f t="shared" si="70"/>
        <v>TOTAL_GHG_CO2_EMISSIONS</v>
      </c>
      <c r="E647" t="str">
        <f t="shared" si="71"/>
        <v>Dynamic</v>
      </c>
      <c r="F647">
        <f ca="1">IF(AND(ISNUMBER($F$1745),$B$1132=1),$F$1745,HLOOKUP(INDIRECT(ADDRESS(2,COLUMN())),OFFSET($K$2,0,0,ROW()-1,5),ROW()-1,FALSE))</f>
        <v>30.944500000000001</v>
      </c>
      <c r="G647">
        <f ca="1">IF(AND(ISNUMBER($G$1745),$B$1132=1),$G$1745,HLOOKUP(INDIRECT(ADDRESS(2,COLUMN())),OFFSET($K$2,0,0,ROW()-1,5),ROW()-1,FALSE))</f>
        <v>24.807500000000001</v>
      </c>
      <c r="H647">
        <f ca="1">IF(AND(ISNUMBER($H$1745),$B$1132=1),$H$1745,HLOOKUP(INDIRECT(ADDRESS(2,COLUMN())),OFFSET($K$2,0,0,ROW()-1,5),ROW()-1,FALSE))</f>
        <v>17.81559961</v>
      </c>
      <c r="I647">
        <f ca="1">IF(AND(ISNUMBER($I$1745),$B$1132=1),$I$1745,HLOOKUP(INDIRECT(ADDRESS(2,COLUMN())),OFFSET($K$2,0,0,ROW()-1,5),ROW()-1,FALSE))</f>
        <v>38.452601559999998</v>
      </c>
      <c r="J647">
        <f ca="1">IF(AND(ISNUMBER($J$1745),$B$1132=1),$J$1745,HLOOKUP(INDIRECT(ADDRESS(2,COLUMN())),OFFSET($K$2,0,0,ROW()-1,5),ROW()-1,FALSE))</f>
        <v>37.267898440000003</v>
      </c>
      <c r="K647">
        <f>30.9445</f>
        <v>30.944500000000001</v>
      </c>
      <c r="L647">
        <f>24.8075</f>
        <v>24.807500000000001</v>
      </c>
      <c r="M647">
        <f>17.81559961</f>
        <v>17.81559961</v>
      </c>
      <c r="N647">
        <f>38.45260156</f>
        <v>38.452601559999998</v>
      </c>
      <c r="O647">
        <f>37.26789844</f>
        <v>37.267898440000003</v>
      </c>
    </row>
    <row r="648" spans="1:15" x14ac:dyDescent="0.25">
      <c r="A648" t="str">
        <f>"                        Frontier Group Holdings Inc"</f>
        <v xml:space="preserve">                        Frontier Group Holdings Inc</v>
      </c>
      <c r="B648" t="str">
        <f>"ULCC US Equity"</f>
        <v>ULCC US Equity</v>
      </c>
      <c r="C648" t="str">
        <f t="shared" si="69"/>
        <v>F0946</v>
      </c>
      <c r="D648" t="str">
        <f t="shared" si="70"/>
        <v>TOTAL_GHG_CO2_EMISSIONS</v>
      </c>
      <c r="E648" t="str">
        <f t="shared" si="71"/>
        <v>Dynamic</v>
      </c>
      <c r="F648" t="str">
        <f ca="1">IF(AND(ISNUMBER($F$1746),$B$1132=1),$F$1746,HLOOKUP(INDIRECT(ADDRESS(2,COLUMN())),OFFSET($K$2,0,0,ROW()-1,5),ROW()-1,FALSE))</f>
        <v/>
      </c>
      <c r="G648" t="str">
        <f ca="1">IF(AND(ISNUMBER($G$1746),$B$1132=1),$G$1746,HLOOKUP(INDIRECT(ADDRESS(2,COLUMN())),OFFSET($K$2,0,0,ROW()-1,5),ROW()-1,FALSE))</f>
        <v/>
      </c>
      <c r="H648" t="str">
        <f ca="1">IF(AND(ISNUMBER($H$1746),$B$1132=1),$H$1746,HLOOKUP(INDIRECT(ADDRESS(2,COLUMN())),OFFSET($K$2,0,0,ROW()-1,5),ROW()-1,FALSE))</f>
        <v/>
      </c>
      <c r="I648" t="str">
        <f ca="1">IF(AND(ISNUMBER($I$1746),$B$1132=1),$I$1746,HLOOKUP(INDIRECT(ADDRESS(2,COLUMN())),OFFSET($K$2,0,0,ROW()-1,5),ROW()-1,FALSE))</f>
        <v/>
      </c>
      <c r="J648" t="str">
        <f ca="1">IF(AND(ISNUMBER($J$1746),$B$1132=1),$J$1746,HLOOKUP(INDIRECT(ADDRESS(2,COLUMN())),OFFSET($K$2,0,0,ROW()-1,5),ROW()-1,FALSE))</f>
        <v/>
      </c>
      <c r="K648" t="str">
        <f>""</f>
        <v/>
      </c>
      <c r="L648" t="str">
        <f>""</f>
        <v/>
      </c>
      <c r="M648" t="str">
        <f>""</f>
        <v/>
      </c>
      <c r="N648" t="str">
        <f>""</f>
        <v/>
      </c>
      <c r="O648" t="str">
        <f>""</f>
        <v/>
      </c>
    </row>
    <row r="649" spans="1:15" x14ac:dyDescent="0.25">
      <c r="A649" t="str">
        <f>"                        Grupo Aeromexico SAB de CV"</f>
        <v xml:space="preserve">                        Grupo Aeromexico SAB de CV</v>
      </c>
      <c r="B649" t="str">
        <f>"AEROMEX* MM Equity"</f>
        <v>AEROMEX* MM Equity</v>
      </c>
      <c r="C649" t="str">
        <f t="shared" si="69"/>
        <v>F0946</v>
      </c>
      <c r="D649" t="str">
        <f t="shared" si="70"/>
        <v>TOTAL_GHG_CO2_EMISSIONS</v>
      </c>
      <c r="E649" t="str">
        <f t="shared" si="71"/>
        <v>Dynamic</v>
      </c>
      <c r="F649" t="str">
        <f ca="1">IF(AND(ISNUMBER($F$1747),$B$1132=1),$F$1747,HLOOKUP(INDIRECT(ADDRESS(2,COLUMN())),OFFSET($K$2,0,0,ROW()-1,5),ROW()-1,FALSE))</f>
        <v/>
      </c>
      <c r="G649">
        <f ca="1">IF(AND(ISNUMBER($G$1747),$B$1132=1),$G$1747,HLOOKUP(INDIRECT(ADDRESS(2,COLUMN())),OFFSET($K$2,0,0,ROW()-1,5),ROW()-1,FALSE))</f>
        <v>2.8746599119999998</v>
      </c>
      <c r="H649">
        <f ca="1">IF(AND(ISNUMBER($H$1747),$B$1132=1),$H$1747,HLOOKUP(INDIRECT(ADDRESS(2,COLUMN())),OFFSET($K$2,0,0,ROW()-1,5),ROW()-1,FALSE))</f>
        <v>2.0476600340000002</v>
      </c>
      <c r="I649">
        <f ca="1">IF(AND(ISNUMBER($I$1747),$B$1132=1),$I$1747,HLOOKUP(INDIRECT(ADDRESS(2,COLUMN())),OFFSET($K$2,0,0,ROW()-1,5),ROW()-1,FALSE))</f>
        <v>4.1866098630000002</v>
      </c>
      <c r="J649">
        <f ca="1">IF(AND(ISNUMBER($J$1747),$B$1132=1),$J$1747,HLOOKUP(INDIRECT(ADDRESS(2,COLUMN())),OFFSET($K$2,0,0,ROW()-1,5),ROW()-1,FALSE))</f>
        <v>4.2914501950000004</v>
      </c>
      <c r="K649" t="str">
        <f>""</f>
        <v/>
      </c>
      <c r="L649">
        <f>2.874659912</f>
        <v>2.8746599119999998</v>
      </c>
      <c r="M649">
        <f>2.047660034</f>
        <v>2.0476600340000002</v>
      </c>
      <c r="N649">
        <f>4.186609863</f>
        <v>4.1866098630000002</v>
      </c>
      <c r="O649">
        <f>4.291450195</f>
        <v>4.2914501950000004</v>
      </c>
    </row>
    <row r="650" spans="1:15" x14ac:dyDescent="0.25">
      <c r="A650" t="str">
        <f>"                        Hawaiian Holdings Inc"</f>
        <v xml:space="preserve">                        Hawaiian Holdings Inc</v>
      </c>
      <c r="B650" t="str">
        <f>"HA US Equity"</f>
        <v>HA US Equity</v>
      </c>
      <c r="C650" t="str">
        <f t="shared" si="69"/>
        <v>F0946</v>
      </c>
      <c r="D650" t="str">
        <f t="shared" si="70"/>
        <v>TOTAL_GHG_CO2_EMISSIONS</v>
      </c>
      <c r="E650" t="str">
        <f t="shared" si="71"/>
        <v>Dynamic</v>
      </c>
      <c r="F650" t="str">
        <f ca="1">IF(AND(ISNUMBER($F$1748),$B$1132=1),$F$1748,HLOOKUP(INDIRECT(ADDRESS(2,COLUMN())),OFFSET($K$2,0,0,ROW()-1,5),ROW()-1,FALSE))</f>
        <v/>
      </c>
      <c r="G650">
        <f ca="1">IF(AND(ISNUMBER($G$1748),$B$1132=1),$G$1748,HLOOKUP(INDIRECT(ADDRESS(2,COLUMN())),OFFSET($K$2,0,0,ROW()-1,5),ROW()-1,FALSE))</f>
        <v>1.734290039</v>
      </c>
      <c r="H650">
        <f ca="1">IF(AND(ISNUMBER($H$1748),$B$1132=1),$H$1748,HLOOKUP(INDIRECT(ADDRESS(2,COLUMN())),OFFSET($K$2,0,0,ROW()-1,5),ROW()-1,FALSE))</f>
        <v>1.02922998</v>
      </c>
      <c r="I650" t="str">
        <f ca="1">IF(AND(ISNUMBER($I$1748),$B$1132=1),$I$1748,HLOOKUP(INDIRECT(ADDRESS(2,COLUMN())),OFFSET($K$2,0,0,ROW()-1,5),ROW()-1,FALSE))</f>
        <v/>
      </c>
      <c r="J650" t="str">
        <f ca="1">IF(AND(ISNUMBER($J$1748),$B$1132=1),$J$1748,HLOOKUP(INDIRECT(ADDRESS(2,COLUMN())),OFFSET($K$2,0,0,ROW()-1,5),ROW()-1,FALSE))</f>
        <v/>
      </c>
      <c r="K650" t="str">
        <f>""</f>
        <v/>
      </c>
      <c r="L650">
        <f>1.734290039</f>
        <v>1.734290039</v>
      </c>
      <c r="M650">
        <f>1.02922998</f>
        <v>1.02922998</v>
      </c>
      <c r="N650" t="str">
        <f>""</f>
        <v/>
      </c>
      <c r="O650" t="str">
        <f>""</f>
        <v/>
      </c>
    </row>
    <row r="651" spans="1:15" x14ac:dyDescent="0.25">
      <c r="A651" t="str">
        <f>"                        JetBlue Airways Corp"</f>
        <v xml:space="preserve">                        JetBlue Airways Corp</v>
      </c>
      <c r="B651" t="str">
        <f>"JBLU US Equity"</f>
        <v>JBLU US Equity</v>
      </c>
      <c r="C651" t="str">
        <f t="shared" si="69"/>
        <v>F0946</v>
      </c>
      <c r="D651" t="str">
        <f t="shared" si="70"/>
        <v>TOTAL_GHG_CO2_EMISSIONS</v>
      </c>
      <c r="E651" t="str">
        <f t="shared" si="71"/>
        <v>Dynamic</v>
      </c>
      <c r="F651" t="str">
        <f ca="1">IF(AND(ISNUMBER($F$1749),$B$1132=1),$F$1749,HLOOKUP(INDIRECT(ADDRESS(2,COLUMN())),OFFSET($K$2,0,0,ROW()-1,5),ROW()-1,FALSE))</f>
        <v/>
      </c>
      <c r="G651">
        <f ca="1">IF(AND(ISNUMBER($G$1749),$B$1132=1),$G$1749,HLOOKUP(INDIRECT(ADDRESS(2,COLUMN())),OFFSET($K$2,0,0,ROW()-1,5),ROW()-1,FALSE))</f>
        <v>6.8798701170000003</v>
      </c>
      <c r="H651">
        <f ca="1">IF(AND(ISNUMBER($H$1749),$B$1132=1),$H$1749,HLOOKUP(INDIRECT(ADDRESS(2,COLUMN())),OFFSET($K$2,0,0,ROW()-1,5),ROW()-1,FALSE))</f>
        <v>4.0873000490000004</v>
      </c>
      <c r="I651">
        <f ca="1">IF(AND(ISNUMBER($I$1749),$B$1132=1),$I$1749,HLOOKUP(INDIRECT(ADDRESS(2,COLUMN())),OFFSET($K$2,0,0,ROW()-1,5),ROW()-1,FALSE))</f>
        <v>8.7567001950000005</v>
      </c>
      <c r="J651">
        <f ca="1">IF(AND(ISNUMBER($J$1749),$B$1132=1),$J$1749,HLOOKUP(INDIRECT(ADDRESS(2,COLUMN())),OFFSET($K$2,0,0,ROW()-1,5),ROW()-1,FALSE))</f>
        <v>8.3975996090000002</v>
      </c>
      <c r="K651" t="str">
        <f>""</f>
        <v/>
      </c>
      <c r="L651">
        <f>6.879870117</f>
        <v>6.8798701170000003</v>
      </c>
      <c r="M651">
        <f>4.087300049</f>
        <v>4.0873000490000004</v>
      </c>
      <c r="N651">
        <f>8.756700195</f>
        <v>8.7567001950000005</v>
      </c>
      <c r="O651">
        <f>8.397599609</f>
        <v>8.3975996090000002</v>
      </c>
    </row>
    <row r="652" spans="1:15" x14ac:dyDescent="0.25">
      <c r="A652" t="str">
        <f>"                        SkyWest Inc"</f>
        <v xml:space="preserve">                        SkyWest Inc</v>
      </c>
      <c r="B652" t="str">
        <f>"SKYW US Equity"</f>
        <v>SKYW US Equity</v>
      </c>
      <c r="C652" t="str">
        <f t="shared" si="69"/>
        <v>F0946</v>
      </c>
      <c r="D652" t="str">
        <f t="shared" si="70"/>
        <v>TOTAL_GHG_CO2_EMISSIONS</v>
      </c>
      <c r="E652" t="str">
        <f t="shared" si="71"/>
        <v>Dynamic</v>
      </c>
      <c r="F652" t="str">
        <f ca="1">IF(AND(ISNUMBER($F$1750),$B$1132=1),$F$1750,HLOOKUP(INDIRECT(ADDRESS(2,COLUMN())),OFFSET($K$2,0,0,ROW()-1,5),ROW()-1,FALSE))</f>
        <v/>
      </c>
      <c r="G652">
        <f ca="1">IF(AND(ISNUMBER($G$1750),$B$1132=1),$G$1750,HLOOKUP(INDIRECT(ADDRESS(2,COLUMN())),OFFSET($K$2,0,0,ROW()-1,5),ROW()-1,FALSE))</f>
        <v>5.7285600590000003</v>
      </c>
      <c r="H652" t="str">
        <f ca="1">IF(AND(ISNUMBER($H$1750),$B$1132=1),$H$1750,HLOOKUP(INDIRECT(ADDRESS(2,COLUMN())),OFFSET($K$2,0,0,ROW()-1,5),ROW()-1,FALSE))</f>
        <v/>
      </c>
      <c r="I652" t="str">
        <f ca="1">IF(AND(ISNUMBER($I$1750),$B$1132=1),$I$1750,HLOOKUP(INDIRECT(ADDRESS(2,COLUMN())),OFFSET($K$2,0,0,ROW()-1,5),ROW()-1,FALSE))</f>
        <v/>
      </c>
      <c r="J652" t="str">
        <f ca="1">IF(AND(ISNUMBER($J$1750),$B$1132=1),$J$1750,HLOOKUP(INDIRECT(ADDRESS(2,COLUMN())),OFFSET($K$2,0,0,ROW()-1,5),ROW()-1,FALSE))</f>
        <v/>
      </c>
      <c r="K652" t="str">
        <f>""</f>
        <v/>
      </c>
      <c r="L652">
        <f>5.728560059</f>
        <v>5.7285600590000003</v>
      </c>
      <c r="M652" t="str">
        <f>""</f>
        <v/>
      </c>
      <c r="N652" t="str">
        <f>""</f>
        <v/>
      </c>
      <c r="O652" t="str">
        <f>""</f>
        <v/>
      </c>
    </row>
    <row r="653" spans="1:15" x14ac:dyDescent="0.25">
      <c r="A653" t="str">
        <f>"                        Southwest Airlines Co"</f>
        <v xml:space="preserve">                        Southwest Airlines Co</v>
      </c>
      <c r="B653" t="str">
        <f>"LUV US Equity"</f>
        <v>LUV US Equity</v>
      </c>
      <c r="C653" t="str">
        <f t="shared" si="69"/>
        <v>F0946</v>
      </c>
      <c r="D653" t="str">
        <f t="shared" si="70"/>
        <v>TOTAL_GHG_CO2_EMISSIONS</v>
      </c>
      <c r="E653" t="str">
        <f t="shared" si="71"/>
        <v>Dynamic</v>
      </c>
      <c r="F653" t="str">
        <f ca="1">IF(AND(ISNUMBER($F$1751),$B$1132=1),$F$1751,HLOOKUP(INDIRECT(ADDRESS(2,COLUMN())),OFFSET($K$2,0,0,ROW()-1,5),ROW()-1,FALSE))</f>
        <v/>
      </c>
      <c r="G653">
        <f ca="1">IF(AND(ISNUMBER($G$1751),$B$1132=1),$G$1751,HLOOKUP(INDIRECT(ADDRESS(2,COLUMN())),OFFSET($K$2,0,0,ROW()-1,5),ROW()-1,FALSE))</f>
        <v>16.385999999999999</v>
      </c>
      <c r="H653">
        <f ca="1">IF(AND(ISNUMBER($H$1751),$B$1132=1),$H$1751,HLOOKUP(INDIRECT(ADDRESS(2,COLUMN())),OFFSET($K$2,0,0,ROW()-1,5),ROW()-1,FALSE))</f>
        <v>12.6302998</v>
      </c>
      <c r="I653">
        <f ca="1">IF(AND(ISNUMBER($I$1751),$B$1132=1),$I$1751,HLOOKUP(INDIRECT(ADDRESS(2,COLUMN())),OFFSET($K$2,0,0,ROW()-1,5),ROW()-1,FALSE))</f>
        <v>20.577099610000001</v>
      </c>
      <c r="J653">
        <f ca="1">IF(AND(ISNUMBER($J$1751),$B$1132=1),$J$1751,HLOOKUP(INDIRECT(ADDRESS(2,COLUMN())),OFFSET($K$2,0,0,ROW()-1,5),ROW()-1,FALSE))</f>
        <v>20.584699220000001</v>
      </c>
      <c r="K653" t="str">
        <f>""</f>
        <v/>
      </c>
      <c r="L653">
        <f>16.386</f>
        <v>16.385999999999999</v>
      </c>
      <c r="M653">
        <f>12.6302998</f>
        <v>12.6302998</v>
      </c>
      <c r="N653">
        <f>20.57709961</f>
        <v>20.577099610000001</v>
      </c>
      <c r="O653">
        <f>20.58469922</f>
        <v>20.584699220000001</v>
      </c>
    </row>
    <row r="654" spans="1:15" x14ac:dyDescent="0.25">
      <c r="A654" t="str">
        <f>"                        Spirit Airlines Inc"</f>
        <v xml:space="preserve">                        Spirit Airlines Inc</v>
      </c>
      <c r="B654" t="str">
        <f>"SAVE US Equity"</f>
        <v>SAVE US Equity</v>
      </c>
      <c r="C654" t="str">
        <f t="shared" si="69"/>
        <v>F0946</v>
      </c>
      <c r="D654" t="str">
        <f t="shared" si="70"/>
        <v>TOTAL_GHG_CO2_EMISSIONS</v>
      </c>
      <c r="E654" t="str">
        <f t="shared" si="71"/>
        <v>Dynamic</v>
      </c>
      <c r="F654" t="str">
        <f ca="1">IF(AND(ISNUMBER($F$1752),$B$1132=1),$F$1752,HLOOKUP(INDIRECT(ADDRESS(2,COLUMN())),OFFSET($K$2,0,0,ROW()-1,5),ROW()-1,FALSE))</f>
        <v/>
      </c>
      <c r="G654" t="str">
        <f ca="1">IF(AND(ISNUMBER($G$1752),$B$1132=1),$G$1752,HLOOKUP(INDIRECT(ADDRESS(2,COLUMN())),OFFSET($K$2,0,0,ROW()-1,5),ROW()-1,FALSE))</f>
        <v/>
      </c>
      <c r="H654" t="str">
        <f ca="1">IF(AND(ISNUMBER($H$1752),$B$1132=1),$H$1752,HLOOKUP(INDIRECT(ADDRESS(2,COLUMN())),OFFSET($K$2,0,0,ROW()-1,5),ROW()-1,FALSE))</f>
        <v/>
      </c>
      <c r="I654" t="str">
        <f ca="1">IF(AND(ISNUMBER($I$1752),$B$1132=1),$I$1752,HLOOKUP(INDIRECT(ADDRESS(2,COLUMN())),OFFSET($K$2,0,0,ROW()-1,5),ROW()-1,FALSE))</f>
        <v/>
      </c>
      <c r="J654" t="str">
        <f ca="1">IF(AND(ISNUMBER($J$1752),$B$1132=1),$J$1752,HLOOKUP(INDIRECT(ADDRESS(2,COLUMN())),OFFSET($K$2,0,0,ROW()-1,5),ROW()-1,FALSE))</f>
        <v/>
      </c>
      <c r="K654" t="str">
        <f>""</f>
        <v/>
      </c>
      <c r="L654" t="str">
        <f>""</f>
        <v/>
      </c>
      <c r="M654" t="str">
        <f>""</f>
        <v/>
      </c>
      <c r="N654" t="str">
        <f>""</f>
        <v/>
      </c>
      <c r="O654" t="str">
        <f>""</f>
        <v/>
      </c>
    </row>
    <row r="655" spans="1:15" x14ac:dyDescent="0.25">
      <c r="A655" t="str">
        <f>"                        United Airlines Holdings Inc"</f>
        <v xml:space="preserve">                        United Airlines Holdings Inc</v>
      </c>
      <c r="B655" t="str">
        <f>"UAL US Equity"</f>
        <v>UAL US Equity</v>
      </c>
      <c r="C655" t="str">
        <f t="shared" si="69"/>
        <v>F0946</v>
      </c>
      <c r="D655" t="str">
        <f t="shared" si="70"/>
        <v>TOTAL_GHG_CO2_EMISSIONS</v>
      </c>
      <c r="E655" t="str">
        <f t="shared" si="71"/>
        <v>Dynamic</v>
      </c>
      <c r="F655">
        <f ca="1">IF(AND(ISNUMBER($F$1753),$B$1132=1),$F$1753,HLOOKUP(INDIRECT(ADDRESS(2,COLUMN())),OFFSET($K$2,0,0,ROW()-1,5),ROW()-1,FALSE))</f>
        <v>30.565000000000001</v>
      </c>
      <c r="G655">
        <f ca="1">IF(AND(ISNUMBER($G$1753),$B$1132=1),$G$1753,HLOOKUP(INDIRECT(ADDRESS(2,COLUMN())),OFFSET($K$2,0,0,ROW()-1,5),ROW()-1,FALSE))</f>
        <v>21.55380078</v>
      </c>
      <c r="H655">
        <f ca="1">IF(AND(ISNUMBER($H$1753),$B$1132=1),$H$1753,HLOOKUP(INDIRECT(ADDRESS(2,COLUMN())),OFFSET($K$2,0,0,ROW()-1,5),ROW()-1,FALSE))</f>
        <v>15.68140039</v>
      </c>
      <c r="I655">
        <f ca="1">IF(AND(ISNUMBER($I$1753),$B$1132=1),$I$1753,HLOOKUP(INDIRECT(ADDRESS(2,COLUMN())),OFFSET($K$2,0,0,ROW()-1,5),ROW()-1,FALSE))</f>
        <v>34.608601559999997</v>
      </c>
      <c r="J655">
        <f ca="1">IF(AND(ISNUMBER($J$1753),$B$1132=1),$J$1753,HLOOKUP(INDIRECT(ADDRESS(2,COLUMN())),OFFSET($K$2,0,0,ROW()-1,5),ROW()-1,FALSE))</f>
        <v>33.466500000000003</v>
      </c>
      <c r="K655">
        <f>30.565</f>
        <v>30.565000000000001</v>
      </c>
      <c r="L655">
        <f>21.55380078</f>
        <v>21.55380078</v>
      </c>
      <c r="M655">
        <f>15.68140039</f>
        <v>15.68140039</v>
      </c>
      <c r="N655">
        <f>34.60860156</f>
        <v>34.608601559999997</v>
      </c>
      <c r="O655">
        <f>33.4665</f>
        <v>33.466500000000003</v>
      </c>
    </row>
    <row r="656" spans="1:15" x14ac:dyDescent="0.25">
      <c r="A656" t="str">
        <f>"                    Rail Freight"</f>
        <v xml:space="preserve">                    Rail Freight</v>
      </c>
      <c r="B656" t="str">
        <f>""</f>
        <v/>
      </c>
      <c r="E656" t="str">
        <f>"Sum"</f>
        <v>Sum</v>
      </c>
      <c r="F656" t="str">
        <f ca="1">IF(ISERROR(IF(SUM($F$657:$F$661) = 0, "", SUM($F$657:$F$661))), "", (IF(SUM($F$657:$F$661) = 0, "", SUM($F$657:$F$661))))</f>
        <v/>
      </c>
      <c r="G656">
        <f ca="1">IF(ISERROR(IF(SUM($G$657:$G$661) = 0, "", SUM($G$657:$G$661))), "", (IF(SUM($G$657:$G$661) = 0, "", SUM($G$657:$G$661))))</f>
        <v>26.133709961000001</v>
      </c>
      <c r="H656">
        <f ca="1">IF(ISERROR(IF(SUM($H$657:$H$661) = 0, "", SUM($H$657:$H$661))), "", (IF(SUM($H$657:$H$661) = 0, "", SUM($H$657:$H$661))))</f>
        <v>25.566679688000001</v>
      </c>
      <c r="I656">
        <f ca="1">IF(ISERROR(IF(SUM($I$657:$I$661) = 0, "", SUM($I$657:$I$661))), "", (IF(SUM($I$657:$I$661) = 0, "", SUM($I$657:$I$661))))</f>
        <v>29.019280029999997</v>
      </c>
      <c r="J656">
        <f ca="1">IF(ISERROR(IF(SUM($J$657:$J$661) = 0, "", SUM($J$657:$J$661))), "", (IF(SUM($J$657:$J$661) = 0, "", SUM($J$657:$J$661))))</f>
        <v>30.734209965000005</v>
      </c>
      <c r="K656" t="str">
        <f>""</f>
        <v/>
      </c>
      <c r="L656">
        <f>26.13370996</f>
        <v>26.133709960000001</v>
      </c>
      <c r="M656">
        <f>25.56667969</f>
        <v>25.566679690000001</v>
      </c>
      <c r="N656">
        <f>29.01928003</f>
        <v>29.019280030000001</v>
      </c>
      <c r="O656">
        <f>30.73420996</f>
        <v>30.734209960000001</v>
      </c>
    </row>
    <row r="657" spans="1:15" x14ac:dyDescent="0.25">
      <c r="A657" t="str">
        <f>"                        Canadian Pacific Railway Ltd"</f>
        <v xml:space="preserve">                        Canadian Pacific Railway Ltd</v>
      </c>
      <c r="B657" t="str">
        <f>"CP CN Equity"</f>
        <v>CP CN Equity</v>
      </c>
      <c r="C657" t="str">
        <f>"F0946"</f>
        <v>F0946</v>
      </c>
      <c r="D657" t="str">
        <f>"TOTAL_GHG_CO2_EMISSIONS"</f>
        <v>TOTAL_GHG_CO2_EMISSIONS</v>
      </c>
      <c r="E657" t="str">
        <f>"Dynamic"</f>
        <v>Dynamic</v>
      </c>
      <c r="F657" t="str">
        <f ca="1">IF(AND(ISNUMBER($F$1754),$B$1132=1),$F$1754,HLOOKUP(INDIRECT(ADDRESS(2,COLUMN())),OFFSET($K$2,0,0,ROW()-1,5),ROW()-1,FALSE))</f>
        <v/>
      </c>
      <c r="G657">
        <f ca="1">IF(AND(ISNUMBER($G$1754),$B$1132=1),$G$1754,HLOOKUP(INDIRECT(ADDRESS(2,COLUMN())),OFFSET($K$2,0,0,ROW()-1,5),ROW()-1,FALSE))</f>
        <v>2.991189941</v>
      </c>
      <c r="H657">
        <f ca="1">IF(AND(ISNUMBER($H$1754),$B$1132=1),$H$1754,HLOOKUP(INDIRECT(ADDRESS(2,COLUMN())),OFFSET($K$2,0,0,ROW()-1,5),ROW()-1,FALSE))</f>
        <v>3.0308701170000001</v>
      </c>
      <c r="I657">
        <f ca="1">IF(AND(ISNUMBER($I$1754),$B$1132=1),$I$1754,HLOOKUP(INDIRECT(ADDRESS(2,COLUMN())),OFFSET($K$2,0,0,ROW()-1,5),ROW()-1,FALSE))</f>
        <v>3.1792399900000001</v>
      </c>
      <c r="J657">
        <f ca="1">IF(AND(ISNUMBER($J$1754),$B$1132=1),$J$1754,HLOOKUP(INDIRECT(ADDRESS(2,COLUMN())),OFFSET($K$2,0,0,ROW()-1,5),ROW()-1,FALSE))</f>
        <v>3.1019399409999999</v>
      </c>
      <c r="K657" t="str">
        <f>""</f>
        <v/>
      </c>
      <c r="L657">
        <f>2.991189941</f>
        <v>2.991189941</v>
      </c>
      <c r="M657">
        <f>3.030870117</f>
        <v>3.0308701170000001</v>
      </c>
      <c r="N657">
        <f>3.17923999</f>
        <v>3.1792399900000001</v>
      </c>
      <c r="O657">
        <f>3.101939941</f>
        <v>3.1019399409999999</v>
      </c>
    </row>
    <row r="658" spans="1:15" x14ac:dyDescent="0.25">
      <c r="A658" t="str">
        <f>"                        CSX Corp"</f>
        <v xml:space="preserve">                        CSX Corp</v>
      </c>
      <c r="B658" t="str">
        <f>"CSX US Equity"</f>
        <v>CSX US Equity</v>
      </c>
      <c r="C658" t="str">
        <f>"F0946"</f>
        <v>F0946</v>
      </c>
      <c r="D658" t="str">
        <f>"TOTAL_GHG_CO2_EMISSIONS"</f>
        <v>TOTAL_GHG_CO2_EMISSIONS</v>
      </c>
      <c r="E658" t="str">
        <f>"Dynamic"</f>
        <v>Dynamic</v>
      </c>
      <c r="F658" t="str">
        <f ca="1">IF(AND(ISNUMBER($F$1755),$B$1132=1),$F$1755,HLOOKUP(INDIRECT(ADDRESS(2,COLUMN())),OFFSET($K$2,0,0,ROW()-1,5),ROW()-1,FALSE))</f>
        <v/>
      </c>
      <c r="G658">
        <f ca="1">IF(AND(ISNUMBER($G$1755),$B$1132=1),$G$1755,HLOOKUP(INDIRECT(ADDRESS(2,COLUMN())),OFFSET($K$2,0,0,ROW()-1,5),ROW()-1,FALSE))</f>
        <v>4.1294199220000003</v>
      </c>
      <c r="H658">
        <f ca="1">IF(AND(ISNUMBER($H$1755),$B$1132=1),$H$1755,HLOOKUP(INDIRECT(ADDRESS(2,COLUMN())),OFFSET($K$2,0,0,ROW()-1,5),ROW()-1,FALSE))</f>
        <v>4.0007399899999996</v>
      </c>
      <c r="I658">
        <f ca="1">IF(AND(ISNUMBER($I$1755),$B$1132=1),$I$1755,HLOOKUP(INDIRECT(ADDRESS(2,COLUMN())),OFFSET($K$2,0,0,ROW()-1,5),ROW()-1,FALSE))</f>
        <v>4.504919922</v>
      </c>
      <c r="J658">
        <f ca="1">IF(AND(ISNUMBER($J$1755),$B$1132=1),$J$1755,HLOOKUP(INDIRECT(ADDRESS(2,COLUMN())),OFFSET($K$2,0,0,ROW()-1,5),ROW()-1,FALSE))</f>
        <v>4.7816201170000001</v>
      </c>
      <c r="K658" t="str">
        <f>""</f>
        <v/>
      </c>
      <c r="L658">
        <f>4.129419922</f>
        <v>4.1294199220000003</v>
      </c>
      <c r="M658">
        <f>4.00073999</f>
        <v>4.0007399899999996</v>
      </c>
      <c r="N658">
        <f>4.504919922</f>
        <v>4.504919922</v>
      </c>
      <c r="O658">
        <f>4.781620117</f>
        <v>4.7816201170000001</v>
      </c>
    </row>
    <row r="659" spans="1:15" x14ac:dyDescent="0.25">
      <c r="A659" t="str">
        <f>"                        Canadian National Railway Co"</f>
        <v xml:space="preserve">                        Canadian National Railway Co</v>
      </c>
      <c r="B659" t="str">
        <f>"CNR CN Equity"</f>
        <v>CNR CN Equity</v>
      </c>
      <c r="C659" t="str">
        <f>"F0946"</f>
        <v>F0946</v>
      </c>
      <c r="D659" t="str">
        <f>"TOTAL_GHG_CO2_EMISSIONS"</f>
        <v>TOTAL_GHG_CO2_EMISSIONS</v>
      </c>
      <c r="E659" t="str">
        <f>"Dynamic"</f>
        <v>Dynamic</v>
      </c>
      <c r="F659" t="str">
        <f ca="1">IF(AND(ISNUMBER($F$1756),$B$1132=1),$F$1756,HLOOKUP(INDIRECT(ADDRESS(2,COLUMN())),OFFSET($K$2,0,0,ROW()-1,5),ROW()-1,FALSE))</f>
        <v/>
      </c>
      <c r="G659">
        <f ca="1">IF(AND(ISNUMBER($G$1756),$B$1132=1),$G$1756,HLOOKUP(INDIRECT(ADDRESS(2,COLUMN())),OFFSET($K$2,0,0,ROW()-1,5),ROW()-1,FALSE))</f>
        <v>5.2335600590000002</v>
      </c>
      <c r="H659">
        <f ca="1">IF(AND(ISNUMBER($H$1756),$B$1132=1),$H$1756,HLOOKUP(INDIRECT(ADDRESS(2,COLUMN())),OFFSET($K$2,0,0,ROW()-1,5),ROW()-1,FALSE))</f>
        <v>5.3976699220000004</v>
      </c>
      <c r="I659">
        <f ca="1">IF(AND(ISNUMBER($I$1756),$B$1132=1),$I$1756,HLOOKUP(INDIRECT(ADDRESS(2,COLUMN())),OFFSET($K$2,0,0,ROW()-1,5),ROW()-1,FALSE))</f>
        <v>5.934100098</v>
      </c>
      <c r="J659">
        <f ca="1">IF(AND(ISNUMBER($J$1756),$B$1132=1),$J$1756,HLOOKUP(INDIRECT(ADDRESS(2,COLUMN())),OFFSET($K$2,0,0,ROW()-1,5),ROW()-1,FALSE))</f>
        <v>5.9651699220000003</v>
      </c>
      <c r="K659" t="str">
        <f>""</f>
        <v/>
      </c>
      <c r="L659">
        <f>5.233560059</f>
        <v>5.2335600590000002</v>
      </c>
      <c r="M659">
        <f>5.397669922</f>
        <v>5.3976699220000004</v>
      </c>
      <c r="N659">
        <f>5.934100098</f>
        <v>5.934100098</v>
      </c>
      <c r="O659">
        <f>5.965169922</f>
        <v>5.9651699220000003</v>
      </c>
    </row>
    <row r="660" spans="1:15" x14ac:dyDescent="0.25">
      <c r="A660" t="str">
        <f>"                        Norfolk Southern Corp"</f>
        <v xml:space="preserve">                        Norfolk Southern Corp</v>
      </c>
      <c r="B660" t="str">
        <f>"NSC US Equity"</f>
        <v>NSC US Equity</v>
      </c>
      <c r="C660" t="str">
        <f>"F0946"</f>
        <v>F0946</v>
      </c>
      <c r="D660" t="str">
        <f>"TOTAL_GHG_CO2_EMISSIONS"</f>
        <v>TOTAL_GHG_CO2_EMISSIONS</v>
      </c>
      <c r="E660" t="str">
        <f>"Dynamic"</f>
        <v>Dynamic</v>
      </c>
      <c r="F660" t="str">
        <f ca="1">IF(AND(ISNUMBER($F$1757),$B$1132=1),$F$1757,HLOOKUP(INDIRECT(ADDRESS(2,COLUMN())),OFFSET($K$2,0,0,ROW()-1,5),ROW()-1,FALSE))</f>
        <v/>
      </c>
      <c r="G660">
        <f ca="1">IF(AND(ISNUMBER($G$1757),$B$1132=1),$G$1757,HLOOKUP(INDIRECT(ADDRESS(2,COLUMN())),OFFSET($K$2,0,0,ROW()-1,5),ROW()-1,FALSE))</f>
        <v>4.3137099609999998</v>
      </c>
      <c r="H660">
        <f ca="1">IF(AND(ISNUMBER($H$1757),$B$1132=1),$H$1757,HLOOKUP(INDIRECT(ADDRESS(2,COLUMN())),OFFSET($K$2,0,0,ROW()-1,5),ROW()-1,FALSE))</f>
        <v>3.9799299320000001</v>
      </c>
      <c r="I660">
        <f ca="1">IF(AND(ISNUMBER($I$1757),$B$1132=1),$I$1757,HLOOKUP(INDIRECT(ADDRESS(2,COLUMN())),OFFSET($K$2,0,0,ROW()-1,5),ROW()-1,FALSE))</f>
        <v>4.9855200200000001</v>
      </c>
      <c r="J660">
        <f ca="1">IF(AND(ISNUMBER($J$1757),$B$1132=1),$J$1757,HLOOKUP(INDIRECT(ADDRESS(2,COLUMN())),OFFSET($K$2,0,0,ROW()-1,5),ROW()-1,FALSE))</f>
        <v>5.1262797850000004</v>
      </c>
      <c r="K660" t="str">
        <f>""</f>
        <v/>
      </c>
      <c r="L660">
        <f>4.313709961</f>
        <v>4.3137099609999998</v>
      </c>
      <c r="M660">
        <f>3.979929932</f>
        <v>3.9799299320000001</v>
      </c>
      <c r="N660">
        <f>4.98552002</f>
        <v>4.9855200200000001</v>
      </c>
      <c r="O660">
        <f>5.126279785</f>
        <v>5.1262797850000004</v>
      </c>
    </row>
    <row r="661" spans="1:15" x14ac:dyDescent="0.25">
      <c r="A661" t="str">
        <f>"                        Union Pacific Corp"</f>
        <v xml:space="preserve">                        Union Pacific Corp</v>
      </c>
      <c r="B661" t="str">
        <f>"UNP US Equity"</f>
        <v>UNP US Equity</v>
      </c>
      <c r="C661" t="str">
        <f>"F0946"</f>
        <v>F0946</v>
      </c>
      <c r="D661" t="str">
        <f>"TOTAL_GHG_CO2_EMISSIONS"</f>
        <v>TOTAL_GHG_CO2_EMISSIONS</v>
      </c>
      <c r="E661" t="str">
        <f>"Dynamic"</f>
        <v>Dynamic</v>
      </c>
      <c r="F661" t="str">
        <f ca="1">IF(AND(ISNUMBER($F$1758),$B$1132=1),$F$1758,HLOOKUP(INDIRECT(ADDRESS(2,COLUMN())),OFFSET($K$2,0,0,ROW()-1,5),ROW()-1,FALSE))</f>
        <v/>
      </c>
      <c r="G661">
        <f ca="1">IF(AND(ISNUMBER($G$1758),$B$1132=1),$G$1758,HLOOKUP(INDIRECT(ADDRESS(2,COLUMN())),OFFSET($K$2,0,0,ROW()-1,5),ROW()-1,FALSE))</f>
        <v>9.4658300779999998</v>
      </c>
      <c r="H661">
        <f ca="1">IF(AND(ISNUMBER($H$1758),$B$1132=1),$H$1758,HLOOKUP(INDIRECT(ADDRESS(2,COLUMN())),OFFSET($K$2,0,0,ROW()-1,5),ROW()-1,FALSE))</f>
        <v>9.1574697270000005</v>
      </c>
      <c r="I661">
        <f ca="1">IF(AND(ISNUMBER($I$1758),$B$1132=1),$I$1758,HLOOKUP(INDIRECT(ADDRESS(2,COLUMN())),OFFSET($K$2,0,0,ROW()-1,5),ROW()-1,FALSE))</f>
        <v>10.4155</v>
      </c>
      <c r="J661">
        <f ca="1">IF(AND(ISNUMBER($J$1758),$B$1132=1),$J$1758,HLOOKUP(INDIRECT(ADDRESS(2,COLUMN())),OFFSET($K$2,0,0,ROW()-1,5),ROW()-1,FALSE))</f>
        <v>11.7592002</v>
      </c>
      <c r="K661" t="str">
        <f>""</f>
        <v/>
      </c>
      <c r="L661">
        <f>9.465830078</f>
        <v>9.4658300779999998</v>
      </c>
      <c r="M661">
        <f>9.157469727</f>
        <v>9.1574697270000005</v>
      </c>
      <c r="N661">
        <f>10.4155</f>
        <v>10.4155</v>
      </c>
      <c r="O661">
        <f>11.7592002</f>
        <v>11.7592002</v>
      </c>
    </row>
    <row r="662" spans="1:15" x14ac:dyDescent="0.25">
      <c r="A662" t="str">
        <f>"                    Courier Services"</f>
        <v xml:space="preserve">                    Courier Services</v>
      </c>
      <c r="B662" t="str">
        <f>""</f>
        <v/>
      </c>
      <c r="E662" t="str">
        <f>"Sum"</f>
        <v>Sum</v>
      </c>
      <c r="F662">
        <f ca="1">IF(ISERROR(IF(SUM($F$663:$F$663) = 0, "", SUM($F$663:$F$663))), "", (IF(SUM($F$663:$F$663) = 0, "", SUM($F$663:$F$663))))</f>
        <v>26.171394005</v>
      </c>
      <c r="G662">
        <f ca="1">IF(ISERROR(IF(SUM($G$663:$G$663) = 0, "", SUM($G$663:$G$663))), "", (IF(SUM($G$663:$G$663) = 0, "", SUM($G$663:$G$663))))</f>
        <v>50.928539040999993</v>
      </c>
      <c r="H662">
        <f ca="1">IF(ISERROR(IF(SUM($H$663:$H$663) = 0, "", SUM($H$663:$H$663))), "", (IF(SUM($H$663:$H$663) = 0, "", SUM($H$663:$H$663))))</f>
        <v>49.224630443000002</v>
      </c>
      <c r="I662">
        <f ca="1">IF(ISERROR(IF(SUM($I$663:$I$663) = 0, "", SUM($I$663:$I$663))), "", (IF(SUM($I$663:$I$663) = 0, "", SUM($I$663:$I$663))))</f>
        <v>44.932545177999998</v>
      </c>
      <c r="J662">
        <f ca="1">IF(ISERROR(IF(SUM($J$663:$J$663) = 0, "", SUM($J$663:$J$663))), "", (IF(SUM($J$663:$J$663) = 0, "", SUM($J$663:$J$663))))</f>
        <v>45.300799060999999</v>
      </c>
      <c r="K662" t="str">
        <f>""</f>
        <v/>
      </c>
      <c r="L662">
        <f>50.92853904</f>
        <v>50.928539039999997</v>
      </c>
      <c r="M662">
        <f>49.22463044</f>
        <v>49.224630439999999</v>
      </c>
      <c r="N662">
        <f>44.93254518</f>
        <v>44.932545179999998</v>
      </c>
      <c r="O662">
        <f>45.30079906</f>
        <v>45.300799060000003</v>
      </c>
    </row>
    <row r="663" spans="1:15" x14ac:dyDescent="0.25">
      <c r="A663" t="str">
        <f>"                        Express &amp; Courier Services"</f>
        <v xml:space="preserve">                        Express &amp; Courier Services</v>
      </c>
      <c r="B663" t="str">
        <f>""</f>
        <v/>
      </c>
      <c r="E663" t="str">
        <f>"Sum"</f>
        <v>Sum</v>
      </c>
      <c r="F663">
        <f ca="1">IF(ISERROR(IF(SUM($F$664:$F$688) = 0, "", SUM($F$664:$F$688))), "", (IF(SUM($F$664:$F$688) = 0, "", SUM($F$664:$F$688))))</f>
        <v>26.171394005</v>
      </c>
      <c r="G663">
        <f ca="1">IF(ISERROR(IF(SUM($G$664:$G$688) = 0, "", SUM($G$664:$G$688))), "", (IF(SUM($G$664:$G$688) = 0, "", SUM($G$664:$G$688))))</f>
        <v>50.928539040999993</v>
      </c>
      <c r="H663">
        <f ca="1">IF(ISERROR(IF(SUM($H$664:$H$688) = 0, "", SUM($H$664:$H$688))), "", (IF(SUM($H$664:$H$688) = 0, "", SUM($H$664:$H$688))))</f>
        <v>49.224630443000002</v>
      </c>
      <c r="I663">
        <f ca="1">IF(ISERROR(IF(SUM($I$664:$I$688) = 0, "", SUM($I$664:$I$688))), "", (IF(SUM($I$664:$I$688) = 0, "", SUM($I$664:$I$688))))</f>
        <v>44.932545177999998</v>
      </c>
      <c r="J663">
        <f ca="1">IF(ISERROR(IF(SUM($J$664:$J$688) = 0, "", SUM($J$664:$J$688))), "", (IF(SUM($J$664:$J$688) = 0, "", SUM($J$664:$J$688))))</f>
        <v>45.300799060999999</v>
      </c>
      <c r="K663" t="str">
        <f>""</f>
        <v/>
      </c>
      <c r="L663">
        <f>50.92853904</f>
        <v>50.928539039999997</v>
      </c>
      <c r="M663">
        <f>49.22463044</f>
        <v>49.224630439999999</v>
      </c>
      <c r="N663">
        <f>44.93254518</f>
        <v>44.932545179999998</v>
      </c>
      <c r="O663">
        <f>45.30079906</f>
        <v>45.300799060000003</v>
      </c>
    </row>
    <row r="664" spans="1:15" x14ac:dyDescent="0.25">
      <c r="A664" t="str">
        <f>"                        United States Postal Service"</f>
        <v xml:space="preserve">                        United States Postal Service</v>
      </c>
      <c r="B664" t="str">
        <f>"6507Z US Equity"</f>
        <v>6507Z US Equity</v>
      </c>
      <c r="C664" t="str">
        <f t="shared" ref="C664:C688" si="72">"F0946"</f>
        <v>F0946</v>
      </c>
      <c r="D664" t="str">
        <f t="shared" ref="D664:D688" si="73">"TOTAL_GHG_CO2_EMISSIONS"</f>
        <v>TOTAL_GHG_CO2_EMISSIONS</v>
      </c>
      <c r="E664" t="str">
        <f t="shared" ref="E664:E688" si="74">"Dynamic"</f>
        <v>Dynamic</v>
      </c>
      <c r="F664" t="str">
        <f ca="1">IF(AND(ISNUMBER($F$1759),$B$1132=1),$F$1759,HLOOKUP(INDIRECT(ADDRESS(2,COLUMN())),OFFSET($K$2,0,0,ROW()-1,5),ROW()-1,FALSE))</f>
        <v/>
      </c>
      <c r="G664" t="str">
        <f ca="1">IF(AND(ISNUMBER($G$1759),$B$1132=1),$G$1759,HLOOKUP(INDIRECT(ADDRESS(2,COLUMN())),OFFSET($K$2,0,0,ROW()-1,5),ROW()-1,FALSE))</f>
        <v/>
      </c>
      <c r="H664" t="str">
        <f ca="1">IF(AND(ISNUMBER($H$1759),$B$1132=1),$H$1759,HLOOKUP(INDIRECT(ADDRESS(2,COLUMN())),OFFSET($K$2,0,0,ROW()-1,5),ROW()-1,FALSE))</f>
        <v/>
      </c>
      <c r="I664" t="str">
        <f ca="1">IF(AND(ISNUMBER($I$1759),$B$1132=1),$I$1759,HLOOKUP(INDIRECT(ADDRESS(2,COLUMN())),OFFSET($K$2,0,0,ROW()-1,5),ROW()-1,FALSE))</f>
        <v/>
      </c>
      <c r="J664" t="str">
        <f ca="1">IF(AND(ISNUMBER($J$1759),$B$1132=1),$J$1759,HLOOKUP(INDIRECT(ADDRESS(2,COLUMN())),OFFSET($K$2,0,0,ROW()-1,5),ROW()-1,FALSE))</f>
        <v/>
      </c>
      <c r="K664" t="str">
        <f>""</f>
        <v/>
      </c>
      <c r="L664" t="str">
        <f>""</f>
        <v/>
      </c>
      <c r="M664" t="str">
        <f>""</f>
        <v/>
      </c>
      <c r="N664" t="str">
        <f>""</f>
        <v/>
      </c>
      <c r="O664" t="str">
        <f>""</f>
        <v/>
      </c>
    </row>
    <row r="665" spans="1:15" x14ac:dyDescent="0.25">
      <c r="A665" t="str">
        <f>"                        Aramex PJSC"</f>
        <v xml:space="preserve">                        Aramex PJSC</v>
      </c>
      <c r="B665" t="str">
        <f>"ARMX UH Equity"</f>
        <v>ARMX UH Equity</v>
      </c>
      <c r="C665" t="str">
        <f t="shared" si="72"/>
        <v>F0946</v>
      </c>
      <c r="D665" t="str">
        <f t="shared" si="73"/>
        <v>TOTAL_GHG_CO2_EMISSIONS</v>
      </c>
      <c r="E665" t="str">
        <f t="shared" si="74"/>
        <v>Dynamic</v>
      </c>
      <c r="F665">
        <f ca="1">IF(AND(ISNUMBER($F$1760),$B$1132=1),$F$1760,HLOOKUP(INDIRECT(ADDRESS(2,COLUMN())),OFFSET($K$2,0,0,ROW()-1,5),ROW()-1,FALSE))</f>
        <v>8.6911003000000001E-2</v>
      </c>
      <c r="G665">
        <f ca="1">IF(AND(ISNUMBER($G$1760),$B$1132=1),$G$1760,HLOOKUP(INDIRECT(ADDRESS(2,COLUMN())),OFFSET($K$2,0,0,ROW()-1,5),ROW()-1,FALSE))</f>
        <v>9.5421996999999995E-2</v>
      </c>
      <c r="H665">
        <f ca="1">IF(AND(ISNUMBER($H$1760),$B$1132=1),$H$1760,HLOOKUP(INDIRECT(ADDRESS(2,COLUMN())),OFFSET($K$2,0,0,ROW()-1,5),ROW()-1,FALSE))</f>
        <v>9.8660003999999996E-2</v>
      </c>
      <c r="I665">
        <f ca="1">IF(AND(ISNUMBER($I$1760),$B$1132=1),$I$1760,HLOOKUP(INDIRECT(ADDRESS(2,COLUMN())),OFFSET($K$2,0,0,ROW()-1,5),ROW()-1,FALSE))</f>
        <v>9.9269996999999999E-2</v>
      </c>
      <c r="J665">
        <f ca="1">IF(AND(ISNUMBER($J$1760),$B$1132=1),$J$1760,HLOOKUP(INDIRECT(ADDRESS(2,COLUMN())),OFFSET($K$2,0,0,ROW()-1,5),ROW()-1,FALSE))</f>
        <v>8.0814002999999995E-2</v>
      </c>
      <c r="K665">
        <f>0.086911003</f>
        <v>8.6911003000000001E-2</v>
      </c>
      <c r="L665">
        <f>0.095421997</f>
        <v>9.5421996999999995E-2</v>
      </c>
      <c r="M665">
        <f>0.098660004</f>
        <v>9.8660003999999996E-2</v>
      </c>
      <c r="N665">
        <f>0.099269997</f>
        <v>9.9269996999999999E-2</v>
      </c>
      <c r="O665">
        <f>0.080814003</f>
        <v>8.0814002999999995E-2</v>
      </c>
    </row>
    <row r="666" spans="1:15" x14ac:dyDescent="0.25">
      <c r="A666" t="str">
        <f>"                        Australian Postal Corp"</f>
        <v xml:space="preserve">                        Australian Postal Corp</v>
      </c>
      <c r="B666" t="str">
        <f>"1067Z AU Equity"</f>
        <v>1067Z AU Equity</v>
      </c>
      <c r="C666" t="str">
        <f t="shared" si="72"/>
        <v>F0946</v>
      </c>
      <c r="D666" t="str">
        <f t="shared" si="73"/>
        <v>TOTAL_GHG_CO2_EMISSIONS</v>
      </c>
      <c r="E666" t="str">
        <f t="shared" si="74"/>
        <v>Dynamic</v>
      </c>
      <c r="F666" t="str">
        <f ca="1">IF(AND(ISNUMBER($F$1761),$B$1132=1),$F$1761,HLOOKUP(INDIRECT(ADDRESS(2,COLUMN())),OFFSET($K$2,0,0,ROW()-1,5),ROW()-1,FALSE))</f>
        <v/>
      </c>
      <c r="G666" t="str">
        <f ca="1">IF(AND(ISNUMBER($G$1761),$B$1132=1),$G$1761,HLOOKUP(INDIRECT(ADDRESS(2,COLUMN())),OFFSET($K$2,0,0,ROW()-1,5),ROW()-1,FALSE))</f>
        <v/>
      </c>
      <c r="H666" t="str">
        <f ca="1">IF(AND(ISNUMBER($H$1761),$B$1132=1),$H$1761,HLOOKUP(INDIRECT(ADDRESS(2,COLUMN())),OFFSET($K$2,0,0,ROW()-1,5),ROW()-1,FALSE))</f>
        <v/>
      </c>
      <c r="I666" t="str">
        <f ca="1">IF(AND(ISNUMBER($I$1761),$B$1132=1),$I$1761,HLOOKUP(INDIRECT(ADDRESS(2,COLUMN())),OFFSET($K$2,0,0,ROW()-1,5),ROW()-1,FALSE))</f>
        <v/>
      </c>
      <c r="J666" t="str">
        <f ca="1">IF(AND(ISNUMBER($J$1761),$B$1132=1),$J$1761,HLOOKUP(INDIRECT(ADDRESS(2,COLUMN())),OFFSET($K$2,0,0,ROW()-1,5),ROW()-1,FALSE))</f>
        <v/>
      </c>
      <c r="K666" t="str">
        <f>""</f>
        <v/>
      </c>
      <c r="L666" t="str">
        <f>""</f>
        <v/>
      </c>
      <c r="M666" t="str">
        <f>""</f>
        <v/>
      </c>
      <c r="N666" t="str">
        <f>""</f>
        <v/>
      </c>
      <c r="O666" t="str">
        <f>""</f>
        <v/>
      </c>
    </row>
    <row r="667" spans="1:15" x14ac:dyDescent="0.25">
      <c r="A667" t="str">
        <f>"                        Canada Post Corp"</f>
        <v xml:space="preserve">                        Canada Post Corp</v>
      </c>
      <c r="B667" t="str">
        <f>"3471586Z US Equity"</f>
        <v>3471586Z US Equity</v>
      </c>
      <c r="C667" t="str">
        <f t="shared" si="72"/>
        <v>F0946</v>
      </c>
      <c r="D667" t="str">
        <f t="shared" si="73"/>
        <v>TOTAL_GHG_CO2_EMISSIONS</v>
      </c>
      <c r="E667" t="str">
        <f t="shared" si="74"/>
        <v>Dynamic</v>
      </c>
      <c r="F667" t="str">
        <f ca="1">IF(AND(ISNUMBER($F$1762),$B$1132=1),$F$1762,HLOOKUP(INDIRECT(ADDRESS(2,COLUMN())),OFFSET($K$2,0,0,ROW()-1,5),ROW()-1,FALSE))</f>
        <v/>
      </c>
      <c r="G667" t="str">
        <f ca="1">IF(AND(ISNUMBER($G$1762),$B$1132=1),$G$1762,HLOOKUP(INDIRECT(ADDRESS(2,COLUMN())),OFFSET($K$2,0,0,ROW()-1,5),ROW()-1,FALSE))</f>
        <v/>
      </c>
      <c r="H667" t="str">
        <f ca="1">IF(AND(ISNUMBER($H$1762),$B$1132=1),$H$1762,HLOOKUP(INDIRECT(ADDRESS(2,COLUMN())),OFFSET($K$2,0,0,ROW()-1,5),ROW()-1,FALSE))</f>
        <v/>
      </c>
      <c r="I667" t="str">
        <f ca="1">IF(AND(ISNUMBER($I$1762),$B$1132=1),$I$1762,HLOOKUP(INDIRECT(ADDRESS(2,COLUMN())),OFFSET($K$2,0,0,ROW()-1,5),ROW()-1,FALSE))</f>
        <v/>
      </c>
      <c r="J667" t="str">
        <f ca="1">IF(AND(ISNUMBER($J$1762),$B$1132=1),$J$1762,HLOOKUP(INDIRECT(ADDRESS(2,COLUMN())),OFFSET($K$2,0,0,ROW()-1,5),ROW()-1,FALSE))</f>
        <v/>
      </c>
      <c r="K667" t="str">
        <f>""</f>
        <v/>
      </c>
      <c r="L667" t="str">
        <f>""</f>
        <v/>
      </c>
      <c r="M667" t="str">
        <f>""</f>
        <v/>
      </c>
      <c r="N667" t="str">
        <f>""</f>
        <v/>
      </c>
      <c r="O667" t="str">
        <f>""</f>
        <v/>
      </c>
    </row>
    <row r="668" spans="1:15" x14ac:dyDescent="0.25">
      <c r="A668" t="str">
        <f>"                        CJ Logistics Corp"</f>
        <v xml:space="preserve">                        CJ Logistics Corp</v>
      </c>
      <c r="B668" t="str">
        <f>"000120 KS Equity"</f>
        <v>000120 KS Equity</v>
      </c>
      <c r="C668" t="str">
        <f t="shared" si="72"/>
        <v>F0946</v>
      </c>
      <c r="D668" t="str">
        <f t="shared" si="73"/>
        <v>TOTAL_GHG_CO2_EMISSIONS</v>
      </c>
      <c r="E668" t="str">
        <f t="shared" si="74"/>
        <v>Dynamic</v>
      </c>
      <c r="F668" t="str">
        <f ca="1">IF(AND(ISNUMBER($F$1763),$B$1132=1),$F$1763,HLOOKUP(INDIRECT(ADDRESS(2,COLUMN())),OFFSET($K$2,0,0,ROW()-1,5),ROW()-1,FALSE))</f>
        <v/>
      </c>
      <c r="G668">
        <f ca="1">IF(AND(ISNUMBER($G$1763),$B$1132=1),$G$1763,HLOOKUP(INDIRECT(ADDRESS(2,COLUMN())),OFFSET($K$2,0,0,ROW()-1,5),ROW()-1,FALSE))</f>
        <v>0.228289993</v>
      </c>
      <c r="H668">
        <f ca="1">IF(AND(ISNUMBER($H$1763),$B$1132=1),$H$1763,HLOOKUP(INDIRECT(ADDRESS(2,COLUMN())),OFFSET($K$2,0,0,ROW()-1,5),ROW()-1,FALSE))</f>
        <v>0.22717599499999999</v>
      </c>
      <c r="I668">
        <f ca="1">IF(AND(ISNUMBER($I$1763),$B$1132=1),$I$1763,HLOOKUP(INDIRECT(ADDRESS(2,COLUMN())),OFFSET($K$2,0,0,ROW()-1,5),ROW()-1,FALSE))</f>
        <v>0.214807999</v>
      </c>
      <c r="J668">
        <f ca="1">IF(AND(ISNUMBER($J$1763),$B$1132=1),$J$1763,HLOOKUP(INDIRECT(ADDRESS(2,COLUMN())),OFFSET($K$2,0,0,ROW()-1,5),ROW()-1,FALSE))</f>
        <v>0.21665800499999999</v>
      </c>
      <c r="K668" t="str">
        <f>""</f>
        <v/>
      </c>
      <c r="L668">
        <f>0.228289993</f>
        <v>0.228289993</v>
      </c>
      <c r="M668">
        <f>0.227175995</f>
        <v>0.22717599499999999</v>
      </c>
      <c r="N668">
        <f>0.214807999</f>
        <v>0.214807999</v>
      </c>
      <c r="O668">
        <f>0.216658005</f>
        <v>0.21665800499999999</v>
      </c>
    </row>
    <row r="669" spans="1:15" x14ac:dyDescent="0.25">
      <c r="A669" t="str">
        <f>"                        Deutsche Post AG"</f>
        <v xml:space="preserve">                        Deutsche Post AG</v>
      </c>
      <c r="B669" t="str">
        <f>"DPW GR Equity"</f>
        <v>DPW GR Equity</v>
      </c>
      <c r="C669" t="str">
        <f t="shared" si="72"/>
        <v>F0946</v>
      </c>
      <c r="D669" t="str">
        <f t="shared" si="73"/>
        <v>TOTAL_GHG_CO2_EMISSIONS</v>
      </c>
      <c r="E669" t="str">
        <f t="shared" si="74"/>
        <v>Dynamic</v>
      </c>
      <c r="F669">
        <f ca="1">IF(AND(ISNUMBER($F$1764),$B$1132=1),$F$1764,HLOOKUP(INDIRECT(ADDRESS(2,COLUMN())),OFFSET($K$2,0,0,ROW()-1,5),ROW()-1,FALSE))</f>
        <v>8.99</v>
      </c>
      <c r="G669">
        <f ca="1">IF(AND(ISNUMBER($G$1764),$B$1132=1),$G$1764,HLOOKUP(INDIRECT(ADDRESS(2,COLUMN())),OFFSET($K$2,0,0,ROW()-1,5),ROW()-1,FALSE))</f>
        <v>8.07</v>
      </c>
      <c r="H669">
        <f ca="1">IF(AND(ISNUMBER($H$1764),$B$1132=1),$H$1764,HLOOKUP(INDIRECT(ADDRESS(2,COLUMN())),OFFSET($K$2,0,0,ROW()-1,5),ROW()-1,FALSE))</f>
        <v>7.2480000000000002</v>
      </c>
      <c r="I669">
        <f ca="1">IF(AND(ISNUMBER($I$1764),$B$1132=1),$I$1764,HLOOKUP(INDIRECT(ADDRESS(2,COLUMN())),OFFSET($K$2,0,0,ROW()-1,5),ROW()-1,FALSE))</f>
        <v>7.13</v>
      </c>
      <c r="J669">
        <f ca="1">IF(AND(ISNUMBER($J$1764),$B$1132=1),$J$1764,HLOOKUP(INDIRECT(ADDRESS(2,COLUMN())),OFFSET($K$2,0,0,ROW()-1,5),ROW()-1,FALSE))</f>
        <v>7.1</v>
      </c>
      <c r="K669">
        <f>8.99</f>
        <v>8.99</v>
      </c>
      <c r="L669">
        <f>8.07</f>
        <v>8.07</v>
      </c>
      <c r="M669">
        <f>7.248</f>
        <v>7.2480000000000002</v>
      </c>
      <c r="N669">
        <f>7.13</f>
        <v>7.13</v>
      </c>
      <c r="O669">
        <f>7.1</f>
        <v>7.1</v>
      </c>
    </row>
    <row r="670" spans="1:15" x14ac:dyDescent="0.25">
      <c r="A670" t="str">
        <f>"                        Empresa Brasileira de Correios"</f>
        <v xml:space="preserve">                        Empresa Brasileira de Correios</v>
      </c>
      <c r="B670" t="str">
        <f>"3623171Z BZ Equity"</f>
        <v>3623171Z BZ Equity</v>
      </c>
      <c r="C670" t="str">
        <f t="shared" si="72"/>
        <v>F0946</v>
      </c>
      <c r="D670" t="str">
        <f t="shared" si="73"/>
        <v>TOTAL_GHG_CO2_EMISSIONS</v>
      </c>
      <c r="E670" t="str">
        <f t="shared" si="74"/>
        <v>Dynamic</v>
      </c>
      <c r="F670" t="str">
        <f ca="1">IF(AND(ISNUMBER($F$1765),$B$1132=1),$F$1765,HLOOKUP(INDIRECT(ADDRESS(2,COLUMN())),OFFSET($K$2,0,0,ROW()-1,5),ROW()-1,FALSE))</f>
        <v/>
      </c>
      <c r="G670" t="str">
        <f ca="1">IF(AND(ISNUMBER($G$1765),$B$1132=1),$G$1765,HLOOKUP(INDIRECT(ADDRESS(2,COLUMN())),OFFSET($K$2,0,0,ROW()-1,5),ROW()-1,FALSE))</f>
        <v/>
      </c>
      <c r="H670" t="str">
        <f ca="1">IF(AND(ISNUMBER($H$1765),$B$1132=1),$H$1765,HLOOKUP(INDIRECT(ADDRESS(2,COLUMN())),OFFSET($K$2,0,0,ROW()-1,5),ROW()-1,FALSE))</f>
        <v/>
      </c>
      <c r="I670" t="str">
        <f ca="1">IF(AND(ISNUMBER($I$1765),$B$1132=1),$I$1765,HLOOKUP(INDIRECT(ADDRESS(2,COLUMN())),OFFSET($K$2,0,0,ROW()-1,5),ROW()-1,FALSE))</f>
        <v/>
      </c>
      <c r="J670" t="str">
        <f ca="1">IF(AND(ISNUMBER($J$1765),$B$1132=1),$J$1765,HLOOKUP(INDIRECT(ADDRESS(2,COLUMN())),OFFSET($K$2,0,0,ROW()-1,5),ROW()-1,FALSE))</f>
        <v/>
      </c>
      <c r="K670" t="str">
        <f>""</f>
        <v/>
      </c>
      <c r="L670" t="str">
        <f>""</f>
        <v/>
      </c>
      <c r="M670" t="str">
        <f>""</f>
        <v/>
      </c>
      <c r="N670" t="str">
        <f>""</f>
        <v/>
      </c>
      <c r="O670" t="str">
        <f>""</f>
        <v/>
      </c>
    </row>
    <row r="671" spans="1:15" x14ac:dyDescent="0.25">
      <c r="A671" t="str">
        <f>"                        FedEx Corp"</f>
        <v xml:space="preserve">                        FedEx Corp</v>
      </c>
      <c r="B671" t="str">
        <f>"FDX US Equity"</f>
        <v>FDX US Equity</v>
      </c>
      <c r="C671" t="str">
        <f t="shared" si="72"/>
        <v>F0946</v>
      </c>
      <c r="D671" t="str">
        <f t="shared" si="73"/>
        <v>TOTAL_GHG_CO2_EMISSIONS</v>
      </c>
      <c r="E671" t="str">
        <f t="shared" si="74"/>
        <v>Dynamic</v>
      </c>
      <c r="F671" t="str">
        <f ca="1">IF(AND(ISNUMBER($F$1766),$B$1132=1),$F$1766,HLOOKUP(INDIRECT(ADDRESS(2,COLUMN())),OFFSET($K$2,0,0,ROW()-1,5),ROW()-1,FALSE))</f>
        <v/>
      </c>
      <c r="G671">
        <f ca="1">IF(AND(ISNUMBER($G$1766),$B$1132=1),$G$1766,HLOOKUP(INDIRECT(ADDRESS(2,COLUMN())),OFFSET($K$2,0,0,ROW()-1,5),ROW()-1,FALSE))</f>
        <v>17.978300780000001</v>
      </c>
      <c r="H671">
        <f ca="1">IF(AND(ISNUMBER($H$1766),$B$1132=1),$H$1766,HLOOKUP(INDIRECT(ADDRESS(2,COLUMN())),OFFSET($K$2,0,0,ROW()-1,5),ROW()-1,FALSE))</f>
        <v>17.593900390000002</v>
      </c>
      <c r="I671">
        <f ca="1">IF(AND(ISNUMBER($I$1766),$B$1132=1),$I$1766,HLOOKUP(INDIRECT(ADDRESS(2,COLUMN())),OFFSET($K$2,0,0,ROW()-1,5),ROW()-1,FALSE))</f>
        <v>16.183599610000002</v>
      </c>
      <c r="J671">
        <f ca="1">IF(AND(ISNUMBER($J$1766),$B$1132=1),$J$1766,HLOOKUP(INDIRECT(ADDRESS(2,COLUMN())),OFFSET($K$2,0,0,ROW()-1,5),ROW()-1,FALSE))</f>
        <v>16.40219922</v>
      </c>
      <c r="K671" t="str">
        <f>""</f>
        <v/>
      </c>
      <c r="L671">
        <f>17.97830078</f>
        <v>17.978300780000001</v>
      </c>
      <c r="M671">
        <f>17.59390039</f>
        <v>17.593900390000002</v>
      </c>
      <c r="N671">
        <f>16.18359961</f>
        <v>16.183599610000002</v>
      </c>
      <c r="O671">
        <f>16.40219922</f>
        <v>16.40219922</v>
      </c>
    </row>
    <row r="672" spans="1:15" x14ac:dyDescent="0.25">
      <c r="A672" t="str">
        <f>"                        Freightways Group Ltd"</f>
        <v xml:space="preserve">                        Freightways Group Ltd</v>
      </c>
      <c r="B672" t="str">
        <f>"FRW NZ Equity"</f>
        <v>FRW NZ Equity</v>
      </c>
      <c r="C672" t="str">
        <f t="shared" si="72"/>
        <v>F0946</v>
      </c>
      <c r="D672" t="str">
        <f t="shared" si="73"/>
        <v>TOTAL_GHG_CO2_EMISSIONS</v>
      </c>
      <c r="E672" t="str">
        <f t="shared" si="74"/>
        <v>Dynamic</v>
      </c>
      <c r="F672" t="str">
        <f ca="1">IF(AND(ISNUMBER($F$1767),$B$1132=1),$F$1767,HLOOKUP(INDIRECT(ADDRESS(2,COLUMN())),OFFSET($K$2,0,0,ROW()-1,5),ROW()-1,FALSE))</f>
        <v/>
      </c>
      <c r="G672">
        <f ca="1">IF(AND(ISNUMBER($G$1767),$B$1132=1),$G$1767,HLOOKUP(INDIRECT(ADDRESS(2,COLUMN())),OFFSET($K$2,0,0,ROW()-1,5),ROW()-1,FALSE))</f>
        <v>1.4115900000000001E-2</v>
      </c>
      <c r="H672">
        <f ca="1">IF(AND(ISNUMBER($H$1767),$B$1132=1),$H$1767,HLOOKUP(INDIRECT(ADDRESS(2,COLUMN())),OFFSET($K$2,0,0,ROW()-1,5),ROW()-1,FALSE))</f>
        <v>4.5058299999999997E-3</v>
      </c>
      <c r="I672">
        <f ca="1">IF(AND(ISNUMBER($I$1767),$B$1132=1),$I$1767,HLOOKUP(INDIRECT(ADDRESS(2,COLUMN())),OFFSET($K$2,0,0,ROW()-1,5),ROW()-1,FALSE))</f>
        <v>4.7103600000000002E-3</v>
      </c>
      <c r="J672">
        <f ca="1">IF(AND(ISNUMBER($J$1767),$B$1132=1),$J$1767,HLOOKUP(INDIRECT(ADDRESS(2,COLUMN())),OFFSET($K$2,0,0,ROW()-1,5),ROW()-1,FALSE))</f>
        <v>4.7854100000000004E-3</v>
      </c>
      <c r="K672" t="str">
        <f>""</f>
        <v/>
      </c>
      <c r="L672">
        <f>0.0141159</f>
        <v>1.4115900000000001E-2</v>
      </c>
      <c r="M672">
        <f>0.00450583</f>
        <v>4.5058299999999997E-3</v>
      </c>
      <c r="N672">
        <f>0.00471036</f>
        <v>4.7103600000000002E-3</v>
      </c>
      <c r="O672">
        <f>0.00478541</f>
        <v>4.7854100000000004E-3</v>
      </c>
    </row>
    <row r="673" spans="1:15" x14ac:dyDescent="0.25">
      <c r="A673" t="str">
        <f>"                        HMM Co Ltd"</f>
        <v xml:space="preserve">                        HMM Co Ltd</v>
      </c>
      <c r="B673" t="str">
        <f>"011200 KS Equity"</f>
        <v>011200 KS Equity</v>
      </c>
      <c r="C673" t="str">
        <f t="shared" si="72"/>
        <v>F0946</v>
      </c>
      <c r="D673" t="str">
        <f t="shared" si="73"/>
        <v>TOTAL_GHG_CO2_EMISSIONS</v>
      </c>
      <c r="E673" t="str">
        <f t="shared" si="74"/>
        <v>Dynamic</v>
      </c>
      <c r="F673" t="str">
        <f ca="1">IF(AND(ISNUMBER($F$1768),$B$1132=1),$F$1768,HLOOKUP(INDIRECT(ADDRESS(2,COLUMN())),OFFSET($K$2,0,0,ROW()-1,5),ROW()-1,FALSE))</f>
        <v/>
      </c>
      <c r="G673">
        <f ca="1">IF(AND(ISNUMBER($G$1768),$B$1132=1),$G$1768,HLOOKUP(INDIRECT(ADDRESS(2,COLUMN())),OFFSET($K$2,0,0,ROW()-1,5),ROW()-1,FALSE))</f>
        <v>5.5133500980000001</v>
      </c>
      <c r="H673">
        <f ca="1">IF(AND(ISNUMBER($H$1768),$B$1132=1),$H$1768,HLOOKUP(INDIRECT(ADDRESS(2,COLUMN())),OFFSET($K$2,0,0,ROW()-1,5),ROW()-1,FALSE))</f>
        <v>4.9119702150000002</v>
      </c>
      <c r="I673">
        <f ca="1">IF(AND(ISNUMBER($I$1768),$B$1132=1),$I$1768,HLOOKUP(INDIRECT(ADDRESS(2,COLUMN())),OFFSET($K$2,0,0,ROW()-1,5),ROW()-1,FALSE))</f>
        <v>4.2374501950000001</v>
      </c>
      <c r="J673">
        <f ca="1">IF(AND(ISNUMBER($J$1768),$B$1132=1),$J$1768,HLOOKUP(INDIRECT(ADDRESS(2,COLUMN())),OFFSET($K$2,0,0,ROW()-1,5),ROW()-1,FALSE))</f>
        <v>4.7311601559999996</v>
      </c>
      <c r="K673" t="str">
        <f>""</f>
        <v/>
      </c>
      <c r="L673">
        <f>5.513350098</f>
        <v>5.5133500980000001</v>
      </c>
      <c r="M673">
        <f>4.911970215</f>
        <v>4.9119702150000002</v>
      </c>
      <c r="N673">
        <f>4.237450195</f>
        <v>4.2374501950000001</v>
      </c>
      <c r="O673">
        <f>4.731160156</f>
        <v>4.7311601559999996</v>
      </c>
    </row>
    <row r="674" spans="1:15" x14ac:dyDescent="0.25">
      <c r="A674" t="str">
        <f>"                        Hanjin Transportation Co Ltd"</f>
        <v xml:space="preserve">                        Hanjin Transportation Co Ltd</v>
      </c>
      <c r="B674" t="str">
        <f>"002320 KS Equity"</f>
        <v>002320 KS Equity</v>
      </c>
      <c r="C674" t="str">
        <f t="shared" si="72"/>
        <v>F0946</v>
      </c>
      <c r="D674" t="str">
        <f t="shared" si="73"/>
        <v>TOTAL_GHG_CO2_EMISSIONS</v>
      </c>
      <c r="E674" t="str">
        <f t="shared" si="74"/>
        <v>Dynamic</v>
      </c>
      <c r="F674" t="str">
        <f ca="1">IF(AND(ISNUMBER($F$1769),$B$1132=1),$F$1769,HLOOKUP(INDIRECT(ADDRESS(2,COLUMN())),OFFSET($K$2,0,0,ROW()-1,5),ROW()-1,FALSE))</f>
        <v/>
      </c>
      <c r="G674">
        <f ca="1">IF(AND(ISNUMBER($G$1769),$B$1132=1),$G$1769,HLOOKUP(INDIRECT(ADDRESS(2,COLUMN())),OFFSET($K$2,0,0,ROW()-1,5),ROW()-1,FALSE))</f>
        <v>0.108795998</v>
      </c>
      <c r="H674">
        <f ca="1">IF(AND(ISNUMBER($H$1769),$B$1132=1),$H$1769,HLOOKUP(INDIRECT(ADDRESS(2,COLUMN())),OFFSET($K$2,0,0,ROW()-1,5),ROW()-1,FALSE))</f>
        <v>0.10810500300000001</v>
      </c>
      <c r="I674">
        <f ca="1">IF(AND(ISNUMBER($I$1769),$B$1132=1),$I$1769,HLOOKUP(INDIRECT(ADDRESS(2,COLUMN())),OFFSET($K$2,0,0,ROW()-1,5),ROW()-1,FALSE))</f>
        <v>0.12450800300000001</v>
      </c>
      <c r="J674">
        <f ca="1">IF(AND(ISNUMBER($J$1769),$B$1132=1),$J$1769,HLOOKUP(INDIRECT(ADDRESS(2,COLUMN())),OFFSET($K$2,0,0,ROW()-1,5),ROW()-1,FALSE))</f>
        <v>0.12428600300000001</v>
      </c>
      <c r="K674" t="str">
        <f>""</f>
        <v/>
      </c>
      <c r="L674">
        <f>0.108795998</f>
        <v>0.108795998</v>
      </c>
      <c r="M674">
        <f>0.108105003</f>
        <v>0.10810500300000001</v>
      </c>
      <c r="N674">
        <f>0.124508003</f>
        <v>0.12450800300000001</v>
      </c>
      <c r="O674">
        <f>0.124286003</f>
        <v>0.12428600300000001</v>
      </c>
    </row>
    <row r="675" spans="1:15" x14ac:dyDescent="0.25">
      <c r="A675" t="str">
        <f>"                        Japan Post Service Co Ltd"</f>
        <v xml:space="preserve">                        Japan Post Service Co Ltd</v>
      </c>
      <c r="B675" t="str">
        <f>"JPSRVZ JP Equity"</f>
        <v>JPSRVZ JP Equity</v>
      </c>
      <c r="C675" t="str">
        <f t="shared" si="72"/>
        <v>F0946</v>
      </c>
      <c r="D675" t="str">
        <f t="shared" si="73"/>
        <v>TOTAL_GHG_CO2_EMISSIONS</v>
      </c>
      <c r="E675" t="str">
        <f t="shared" si="74"/>
        <v>Dynamic</v>
      </c>
      <c r="F675" t="str">
        <f ca="1">IF(AND(ISNUMBER($F$1770),$B$1132=1),$F$1770,HLOOKUP(INDIRECT(ADDRESS(2,COLUMN())),OFFSET($K$2,0,0,ROW()-1,5),ROW()-1,FALSE))</f>
        <v/>
      </c>
      <c r="G675" t="str">
        <f ca="1">IF(AND(ISNUMBER($G$1770),$B$1132=1),$G$1770,HLOOKUP(INDIRECT(ADDRESS(2,COLUMN())),OFFSET($K$2,0,0,ROW()-1,5),ROW()-1,FALSE))</f>
        <v/>
      </c>
      <c r="H675" t="str">
        <f ca="1">IF(AND(ISNUMBER($H$1770),$B$1132=1),$H$1770,HLOOKUP(INDIRECT(ADDRESS(2,COLUMN())),OFFSET($K$2,0,0,ROW()-1,5),ROW()-1,FALSE))</f>
        <v/>
      </c>
      <c r="I675" t="str">
        <f ca="1">IF(AND(ISNUMBER($I$1770),$B$1132=1),$I$1770,HLOOKUP(INDIRECT(ADDRESS(2,COLUMN())),OFFSET($K$2,0,0,ROW()-1,5),ROW()-1,FALSE))</f>
        <v/>
      </c>
      <c r="J675" t="str">
        <f ca="1">IF(AND(ISNUMBER($J$1770),$B$1132=1),$J$1770,HLOOKUP(INDIRECT(ADDRESS(2,COLUMN())),OFFSET($K$2,0,0,ROW()-1,5),ROW()-1,FALSE))</f>
        <v/>
      </c>
      <c r="K675" t="str">
        <f>""</f>
        <v/>
      </c>
      <c r="L675" t="str">
        <f>""</f>
        <v/>
      </c>
      <c r="M675" t="str">
        <f>""</f>
        <v/>
      </c>
      <c r="N675" t="str">
        <f>""</f>
        <v/>
      </c>
      <c r="O675" t="str">
        <f>""</f>
        <v/>
      </c>
    </row>
    <row r="676" spans="1:15" x14ac:dyDescent="0.25">
      <c r="A676" t="str">
        <f>"                        La Poste SA"</f>
        <v xml:space="preserve">                        La Poste SA</v>
      </c>
      <c r="B676" t="str">
        <f>"222691Z FP Equity"</f>
        <v>222691Z FP Equity</v>
      </c>
      <c r="C676" t="str">
        <f t="shared" si="72"/>
        <v>F0946</v>
      </c>
      <c r="D676" t="str">
        <f t="shared" si="73"/>
        <v>TOTAL_GHG_CO2_EMISSIONS</v>
      </c>
      <c r="E676" t="str">
        <f t="shared" si="74"/>
        <v>Dynamic</v>
      </c>
      <c r="F676" t="str">
        <f ca="1">IF(AND(ISNUMBER($F$1771),$B$1132=1),$F$1771,HLOOKUP(INDIRECT(ADDRESS(2,COLUMN())),OFFSET($K$2,0,0,ROW()-1,5),ROW()-1,FALSE))</f>
        <v/>
      </c>
      <c r="G676">
        <f ca="1">IF(AND(ISNUMBER($G$1771),$B$1132=1),$G$1771,HLOOKUP(INDIRECT(ADDRESS(2,COLUMN())),OFFSET($K$2,0,0,ROW()-1,5),ROW()-1,FALSE))</f>
        <v>0.50492099000000001</v>
      </c>
      <c r="H676">
        <f ca="1">IF(AND(ISNUMBER($H$1771),$B$1132=1),$H$1771,HLOOKUP(INDIRECT(ADDRESS(2,COLUMN())),OFFSET($K$2,0,0,ROW()-1,5),ROW()-1,FALSE))</f>
        <v>0.44537500000000002</v>
      </c>
      <c r="I676" t="str">
        <f ca="1">IF(AND(ISNUMBER($I$1771),$B$1132=1),$I$1771,HLOOKUP(INDIRECT(ADDRESS(2,COLUMN())),OFFSET($K$2,0,0,ROW()-1,5),ROW()-1,FALSE))</f>
        <v/>
      </c>
      <c r="J676" t="str">
        <f ca="1">IF(AND(ISNUMBER($J$1771),$B$1132=1),$J$1771,HLOOKUP(INDIRECT(ADDRESS(2,COLUMN())),OFFSET($K$2,0,0,ROW()-1,5),ROW()-1,FALSE))</f>
        <v/>
      </c>
      <c r="K676" t="str">
        <f>""</f>
        <v/>
      </c>
      <c r="L676">
        <f>0.50492099</f>
        <v>0.50492099000000001</v>
      </c>
      <c r="M676">
        <f>0.445375</f>
        <v>0.44537500000000002</v>
      </c>
      <c r="N676" t="str">
        <f>""</f>
        <v/>
      </c>
      <c r="O676" t="str">
        <f>""</f>
        <v/>
      </c>
    </row>
    <row r="677" spans="1:15" x14ac:dyDescent="0.25">
      <c r="A677" t="str">
        <f>"                        Oesterreichische Post AG"</f>
        <v xml:space="preserve">                        Oesterreichische Post AG</v>
      </c>
      <c r="B677" t="str">
        <f>"POST AV Equity"</f>
        <v>POST AV Equity</v>
      </c>
      <c r="C677" t="str">
        <f t="shared" si="72"/>
        <v>F0946</v>
      </c>
      <c r="D677" t="str">
        <f t="shared" si="73"/>
        <v>TOTAL_GHG_CO2_EMISSIONS</v>
      </c>
      <c r="E677" t="str">
        <f t="shared" si="74"/>
        <v>Dynamic</v>
      </c>
      <c r="F677">
        <f ca="1">IF(AND(ISNUMBER($F$1772),$B$1132=1),$F$1772,HLOOKUP(INDIRECT(ADDRESS(2,COLUMN())),OFFSET($K$2,0,0,ROW()-1,5),ROW()-1,FALSE))</f>
        <v>8.0817000999999999E-2</v>
      </c>
      <c r="G677">
        <f ca="1">IF(AND(ISNUMBER($G$1772),$B$1132=1),$G$1772,HLOOKUP(INDIRECT(ADDRESS(2,COLUMN())),OFFSET($K$2,0,0,ROW()-1,5),ROW()-1,FALSE))</f>
        <v>8.8475998E-2</v>
      </c>
      <c r="H677">
        <f ca="1">IF(AND(ISNUMBER($H$1772),$B$1132=1),$H$1772,HLOOKUP(INDIRECT(ADDRESS(2,COLUMN())),OFFSET($K$2,0,0,ROW()-1,5),ROW()-1,FALSE))</f>
        <v>6.7586997999999995E-2</v>
      </c>
      <c r="I677">
        <f ca="1">IF(AND(ISNUMBER($I$1772),$B$1132=1),$I$1772,HLOOKUP(INDIRECT(ADDRESS(2,COLUMN())),OFFSET($K$2,0,0,ROW()-1,5),ROW()-1,FALSE))</f>
        <v>7.1440002000000002E-2</v>
      </c>
      <c r="J677">
        <f ca="1">IF(AND(ISNUMBER($J$1772),$B$1132=1),$J$1772,HLOOKUP(INDIRECT(ADDRESS(2,COLUMN())),OFFSET($K$2,0,0,ROW()-1,5),ROW()-1,FALSE))</f>
        <v>6.5781997999999994E-2</v>
      </c>
      <c r="K677">
        <f>0.080817001</f>
        <v>8.0817000999999999E-2</v>
      </c>
      <c r="L677">
        <f>0.088475998</f>
        <v>8.8475998E-2</v>
      </c>
      <c r="M677">
        <f>0.067586998</f>
        <v>6.7586997999999995E-2</v>
      </c>
      <c r="N677">
        <f>0.071440002</f>
        <v>7.1440002000000002E-2</v>
      </c>
      <c r="O677">
        <f>0.065781998</f>
        <v>6.5781997999999994E-2</v>
      </c>
    </row>
    <row r="678" spans="1:15" x14ac:dyDescent="0.25">
      <c r="A678" t="str">
        <f>"                        Postal Services Holding Co Ltd"</f>
        <v xml:space="preserve">                        Postal Services Holding Co Ltd</v>
      </c>
      <c r="B678" t="str">
        <f>"3900202Z LN Equity"</f>
        <v>3900202Z LN Equity</v>
      </c>
      <c r="C678" t="str">
        <f t="shared" si="72"/>
        <v>F0946</v>
      </c>
      <c r="D678" t="str">
        <f t="shared" si="73"/>
        <v>TOTAL_GHG_CO2_EMISSIONS</v>
      </c>
      <c r="E678" t="str">
        <f t="shared" si="74"/>
        <v>Dynamic</v>
      </c>
      <c r="F678" t="str">
        <f ca="1">IF(AND(ISNUMBER($F$1773),$B$1132=1),$F$1773,HLOOKUP(INDIRECT(ADDRESS(2,COLUMN())),OFFSET($K$2,0,0,ROW()-1,5),ROW()-1,FALSE))</f>
        <v/>
      </c>
      <c r="G678" t="str">
        <f ca="1">IF(AND(ISNUMBER($G$1773),$B$1132=1),$G$1773,HLOOKUP(INDIRECT(ADDRESS(2,COLUMN())),OFFSET($K$2,0,0,ROW()-1,5),ROW()-1,FALSE))</f>
        <v/>
      </c>
      <c r="H678" t="str">
        <f ca="1">IF(AND(ISNUMBER($H$1773),$B$1132=1),$H$1773,HLOOKUP(INDIRECT(ADDRESS(2,COLUMN())),OFFSET($K$2,0,0,ROW()-1,5),ROW()-1,FALSE))</f>
        <v/>
      </c>
      <c r="I678" t="str">
        <f ca="1">IF(AND(ISNUMBER($I$1773),$B$1132=1),$I$1773,HLOOKUP(INDIRECT(ADDRESS(2,COLUMN())),OFFSET($K$2,0,0,ROW()-1,5),ROW()-1,FALSE))</f>
        <v/>
      </c>
      <c r="J678" t="str">
        <f ca="1">IF(AND(ISNUMBER($J$1773),$B$1132=1),$J$1773,HLOOKUP(INDIRECT(ADDRESS(2,COLUMN())),OFFSET($K$2,0,0,ROW()-1,5),ROW()-1,FALSE))</f>
        <v/>
      </c>
      <c r="K678" t="str">
        <f>""</f>
        <v/>
      </c>
      <c r="L678" t="str">
        <f>""</f>
        <v/>
      </c>
      <c r="M678" t="str">
        <f>""</f>
        <v/>
      </c>
      <c r="N678" t="str">
        <f>""</f>
        <v/>
      </c>
      <c r="O678" t="str">
        <f>""</f>
        <v/>
      </c>
    </row>
    <row r="679" spans="1:15" x14ac:dyDescent="0.25">
      <c r="A679" t="str">
        <f>"                        Poste Italiane SpA"</f>
        <v xml:space="preserve">                        Poste Italiane SpA</v>
      </c>
      <c r="B679" t="str">
        <f>"PST IM Equity"</f>
        <v>PST IM Equity</v>
      </c>
      <c r="C679" t="str">
        <f t="shared" si="72"/>
        <v>F0946</v>
      </c>
      <c r="D679" t="str">
        <f t="shared" si="73"/>
        <v>TOTAL_GHG_CO2_EMISSIONS</v>
      </c>
      <c r="E679" t="str">
        <f t="shared" si="74"/>
        <v>Dynamic</v>
      </c>
      <c r="F679">
        <f ca="1">IF(AND(ISNUMBER($F$1774),$B$1132=1),$F$1774,HLOOKUP(INDIRECT(ADDRESS(2,COLUMN())),OFFSET($K$2,0,0,ROW()-1,5),ROW()-1,FALSE))</f>
        <v>0.291908997</v>
      </c>
      <c r="G679">
        <f ca="1">IF(AND(ISNUMBER($G$1774),$B$1132=1),$G$1774,HLOOKUP(INDIRECT(ADDRESS(2,COLUMN())),OFFSET($K$2,0,0,ROW()-1,5),ROW()-1,FALSE))</f>
        <v>0.308473999</v>
      </c>
      <c r="H679">
        <f ca="1">IF(AND(ISNUMBER($H$1774),$B$1132=1),$H$1774,HLOOKUP(INDIRECT(ADDRESS(2,COLUMN())),OFFSET($K$2,0,0,ROW()-1,5),ROW()-1,FALSE))</f>
        <v>0.30947601299999999</v>
      </c>
      <c r="I679">
        <f ca="1">IF(AND(ISNUMBER($I$1774),$B$1132=1),$I$1774,HLOOKUP(INDIRECT(ADDRESS(2,COLUMN())),OFFSET($K$2,0,0,ROW()-1,5),ROW()-1,FALSE))</f>
        <v>0.32360199000000001</v>
      </c>
      <c r="J679">
        <f ca="1">IF(AND(ISNUMBER($J$1774),$B$1132=1),$J$1774,HLOOKUP(INDIRECT(ADDRESS(2,COLUMN())),OFFSET($K$2,0,0,ROW()-1,5),ROW()-1,FALSE))</f>
        <v>0.318026001</v>
      </c>
      <c r="K679">
        <f>0.291908997</f>
        <v>0.291908997</v>
      </c>
      <c r="L679">
        <f>0.308473999</f>
        <v>0.308473999</v>
      </c>
      <c r="M679">
        <f>0.309476013</f>
        <v>0.30947601299999999</v>
      </c>
      <c r="N679">
        <f>0.32360199</f>
        <v>0.32360199000000001</v>
      </c>
      <c r="O679">
        <f>0.318026001</f>
        <v>0.318026001</v>
      </c>
    </row>
    <row r="680" spans="1:15" x14ac:dyDescent="0.25">
      <c r="A680" t="str">
        <f>"                        PostNL NV"</f>
        <v xml:space="preserve">                        PostNL NV</v>
      </c>
      <c r="B680" t="str">
        <f>"PNL NA Equity"</f>
        <v>PNL NA Equity</v>
      </c>
      <c r="C680" t="str">
        <f t="shared" si="72"/>
        <v>F0946</v>
      </c>
      <c r="D680" t="str">
        <f t="shared" si="73"/>
        <v>TOTAL_GHG_CO2_EMISSIONS</v>
      </c>
      <c r="E680" t="str">
        <f t="shared" si="74"/>
        <v>Dynamic</v>
      </c>
      <c r="F680" t="str">
        <f ca="1">IF(AND(ISNUMBER($F$1775),$B$1132=1),$F$1775,HLOOKUP(INDIRECT(ADDRESS(2,COLUMN())),OFFSET($K$2,0,0,ROW()-1,5),ROW()-1,FALSE))</f>
        <v/>
      </c>
      <c r="G680">
        <f ca="1">IF(AND(ISNUMBER($G$1775),$B$1132=1),$G$1775,HLOOKUP(INDIRECT(ADDRESS(2,COLUMN())),OFFSET($K$2,0,0,ROW()-1,5),ROW()-1,FALSE))</f>
        <v>3.4458999999999997E-2</v>
      </c>
      <c r="H680">
        <f ca="1">IF(AND(ISNUMBER($H$1775),$B$1132=1),$H$1775,HLOOKUP(INDIRECT(ADDRESS(2,COLUMN())),OFFSET($K$2,0,0,ROW()-1,5),ROW()-1,FALSE))</f>
        <v>0.04</v>
      </c>
      <c r="I680">
        <f ca="1">IF(AND(ISNUMBER($I$1775),$B$1132=1),$I$1775,HLOOKUP(INDIRECT(ADDRESS(2,COLUMN())),OFFSET($K$2,0,0,ROW()-1,5),ROW()-1,FALSE))</f>
        <v>0.04</v>
      </c>
      <c r="J680">
        <f ca="1">IF(AND(ISNUMBER($J$1775),$B$1132=1),$J$1775,HLOOKUP(INDIRECT(ADDRESS(2,COLUMN())),OFFSET($K$2,0,0,ROW()-1,5),ROW()-1,FALSE))</f>
        <v>7.5999999999999998E-2</v>
      </c>
      <c r="K680" t="str">
        <f>""</f>
        <v/>
      </c>
      <c r="L680">
        <f>0.034459</f>
        <v>3.4458999999999997E-2</v>
      </c>
      <c r="M680">
        <f>0.04</f>
        <v>0.04</v>
      </c>
      <c r="N680">
        <f>0.04</f>
        <v>0.04</v>
      </c>
      <c r="O680">
        <f>0.076</f>
        <v>7.5999999999999998E-2</v>
      </c>
    </row>
    <row r="681" spans="1:15" x14ac:dyDescent="0.25">
      <c r="A681" t="str">
        <f>"                        Quest Holdings SA"</f>
        <v xml:space="preserve">                        Quest Holdings SA</v>
      </c>
      <c r="B681" t="str">
        <f>"QUEST GA Equity"</f>
        <v>QUEST GA Equity</v>
      </c>
      <c r="C681" t="str">
        <f t="shared" si="72"/>
        <v>F0946</v>
      </c>
      <c r="D681" t="str">
        <f t="shared" si="73"/>
        <v>TOTAL_GHG_CO2_EMISSIONS</v>
      </c>
      <c r="E681" t="str">
        <f t="shared" si="74"/>
        <v>Dynamic</v>
      </c>
      <c r="F681" t="str">
        <f ca="1">IF(AND(ISNUMBER($F$1776),$B$1132=1),$F$1776,HLOOKUP(INDIRECT(ADDRESS(2,COLUMN())),OFFSET($K$2,0,0,ROW()-1,5),ROW()-1,FALSE))</f>
        <v/>
      </c>
      <c r="G681">
        <f ca="1">IF(AND(ISNUMBER($G$1776),$B$1132=1),$G$1776,HLOOKUP(INDIRECT(ADDRESS(2,COLUMN())),OFFSET($K$2,0,0,ROW()-1,5),ROW()-1,FALSE))</f>
        <v>1.6213E-3</v>
      </c>
      <c r="H681">
        <f ca="1">IF(AND(ISNUMBER($H$1776),$B$1132=1),$H$1776,HLOOKUP(INDIRECT(ADDRESS(2,COLUMN())),OFFSET($K$2,0,0,ROW()-1,5),ROW()-1,FALSE))</f>
        <v>1.5330000000000001E-3</v>
      </c>
      <c r="I681">
        <f ca="1">IF(AND(ISNUMBER($I$1776),$B$1132=1),$I$1776,HLOOKUP(INDIRECT(ADDRESS(2,COLUMN())),OFFSET($K$2,0,0,ROW()-1,5),ROW()-1,FALSE))</f>
        <v>2.251E-3</v>
      </c>
      <c r="J681">
        <f ca="1">IF(AND(ISNUMBER($J$1776),$B$1132=1),$J$1776,HLOOKUP(INDIRECT(ADDRESS(2,COLUMN())),OFFSET($K$2,0,0,ROW()-1,5),ROW()-1,FALSE))</f>
        <v>2.1473E-3</v>
      </c>
      <c r="K681" t="str">
        <f>""</f>
        <v/>
      </c>
      <c r="L681">
        <f>0.0016213</f>
        <v>1.6213E-3</v>
      </c>
      <c r="M681">
        <f>0.001533</f>
        <v>1.5330000000000001E-3</v>
      </c>
      <c r="N681">
        <f>0.002251</f>
        <v>2.251E-3</v>
      </c>
      <c r="O681">
        <f>0.0021473</f>
        <v>2.1473E-3</v>
      </c>
    </row>
    <row r="682" spans="1:15" x14ac:dyDescent="0.25">
      <c r="A682" t="str">
        <f>"                        Rentokil Initial PLC"</f>
        <v xml:space="preserve">                        Rentokil Initial PLC</v>
      </c>
      <c r="B682" t="str">
        <f>"RTO LN Equity"</f>
        <v>RTO LN Equity</v>
      </c>
      <c r="C682" t="str">
        <f t="shared" si="72"/>
        <v>F0946</v>
      </c>
      <c r="D682" t="str">
        <f t="shared" si="73"/>
        <v>TOTAL_GHG_CO2_EMISSIONS</v>
      </c>
      <c r="E682" t="str">
        <f t="shared" si="74"/>
        <v>Dynamic</v>
      </c>
      <c r="F682">
        <f ca="1">IF(AND(ISNUMBER($F$1777),$B$1132=1),$F$1777,HLOOKUP(INDIRECT(ADDRESS(2,COLUMN())),OFFSET($K$2,0,0,ROW()-1,5),ROW()-1,FALSE))</f>
        <v>0.216757004</v>
      </c>
      <c r="G682">
        <f ca="1">IF(AND(ISNUMBER($G$1777),$B$1132=1),$G$1777,HLOOKUP(INDIRECT(ADDRESS(2,COLUMN())),OFFSET($K$2,0,0,ROW()-1,5),ROW()-1,FALSE))</f>
        <v>0.20005999799999999</v>
      </c>
      <c r="H682">
        <f ca="1">IF(AND(ISNUMBER($H$1777),$B$1132=1),$H$1777,HLOOKUP(INDIRECT(ADDRESS(2,COLUMN())),OFFSET($K$2,0,0,ROW()-1,5),ROW()-1,FALSE))</f>
        <v>0.185145004</v>
      </c>
      <c r="I682">
        <f ca="1">IF(AND(ISNUMBER($I$1777),$B$1132=1),$I$1777,HLOOKUP(INDIRECT(ADDRESS(2,COLUMN())),OFFSET($K$2,0,0,ROW()-1,5),ROW()-1,FALSE))</f>
        <v>0.19608400000000001</v>
      </c>
      <c r="J682">
        <f ca="1">IF(AND(ISNUMBER($J$1777),$B$1132=1),$J$1777,HLOOKUP(INDIRECT(ADDRESS(2,COLUMN())),OFFSET($K$2,0,0,ROW()-1,5),ROW()-1,FALSE))</f>
        <v>0.186891007</v>
      </c>
      <c r="K682">
        <f>0.216757004</f>
        <v>0.216757004</v>
      </c>
      <c r="L682">
        <f>0.200059998</f>
        <v>0.20005999799999999</v>
      </c>
      <c r="M682">
        <f>0.185145004</f>
        <v>0.185145004</v>
      </c>
      <c r="N682">
        <f>0.196084</f>
        <v>0.19608400000000001</v>
      </c>
      <c r="O682">
        <f>0.186891007</f>
        <v>0.186891007</v>
      </c>
    </row>
    <row r="683" spans="1:15" x14ac:dyDescent="0.25">
      <c r="A683" t="str">
        <f>"                        Russian Post FGUP"</f>
        <v xml:space="preserve">                        Russian Post FGUP</v>
      </c>
      <c r="B683" t="str">
        <f>"POCHT RU Equity"</f>
        <v>POCHT RU Equity</v>
      </c>
      <c r="C683" t="str">
        <f t="shared" si="72"/>
        <v>F0946</v>
      </c>
      <c r="D683" t="str">
        <f t="shared" si="73"/>
        <v>TOTAL_GHG_CO2_EMISSIONS</v>
      </c>
      <c r="E683" t="str">
        <f t="shared" si="74"/>
        <v>Dynamic</v>
      </c>
      <c r="F683" t="str">
        <f ca="1">IF(AND(ISNUMBER($F$1778),$B$1132=1),$F$1778,HLOOKUP(INDIRECT(ADDRESS(2,COLUMN())),OFFSET($K$2,0,0,ROW()-1,5),ROW()-1,FALSE))</f>
        <v/>
      </c>
      <c r="G683" t="str">
        <f ca="1">IF(AND(ISNUMBER($G$1778),$B$1132=1),$G$1778,HLOOKUP(INDIRECT(ADDRESS(2,COLUMN())),OFFSET($K$2,0,0,ROW()-1,5),ROW()-1,FALSE))</f>
        <v/>
      </c>
      <c r="H683" t="str">
        <f ca="1">IF(AND(ISNUMBER($H$1778),$B$1132=1),$H$1778,HLOOKUP(INDIRECT(ADDRESS(2,COLUMN())),OFFSET($K$2,0,0,ROW()-1,5),ROW()-1,FALSE))</f>
        <v/>
      </c>
      <c r="I683" t="str">
        <f ca="1">IF(AND(ISNUMBER($I$1778),$B$1132=1),$I$1778,HLOOKUP(INDIRECT(ADDRESS(2,COLUMN())),OFFSET($K$2,0,0,ROW()-1,5),ROW()-1,FALSE))</f>
        <v/>
      </c>
      <c r="J683" t="str">
        <f ca="1">IF(AND(ISNUMBER($J$1778),$B$1132=1),$J$1778,HLOOKUP(INDIRECT(ADDRESS(2,COLUMN())),OFFSET($K$2,0,0,ROW()-1,5),ROW()-1,FALSE))</f>
        <v/>
      </c>
      <c r="K683" t="str">
        <f>""</f>
        <v/>
      </c>
      <c r="L683" t="str">
        <f>""</f>
        <v/>
      </c>
      <c r="M683" t="str">
        <f>""</f>
        <v/>
      </c>
      <c r="N683" t="str">
        <f>""</f>
        <v/>
      </c>
      <c r="O683" t="str">
        <f>""</f>
        <v/>
      </c>
    </row>
    <row r="684" spans="1:15" x14ac:dyDescent="0.25">
      <c r="A684" t="str">
        <f>"                        SG Holdings Co Ltd"</f>
        <v xml:space="preserve">                        SG Holdings Co Ltd</v>
      </c>
      <c r="B684" t="str">
        <f>"9143 JP Equity"</f>
        <v>9143 JP Equity</v>
      </c>
      <c r="C684" t="str">
        <f t="shared" si="72"/>
        <v>F0946</v>
      </c>
      <c r="D684" t="str">
        <f t="shared" si="73"/>
        <v>TOTAL_GHG_CO2_EMISSIONS</v>
      </c>
      <c r="E684" t="str">
        <f t="shared" si="74"/>
        <v>Dynamic</v>
      </c>
      <c r="F684" t="str">
        <f ca="1">IF(AND(ISNUMBER($F$1779),$B$1132=1),$F$1779,HLOOKUP(INDIRECT(ADDRESS(2,COLUMN())),OFFSET($K$2,0,0,ROW()-1,5),ROW()-1,FALSE))</f>
        <v/>
      </c>
      <c r="G684">
        <f ca="1">IF(AND(ISNUMBER($G$1779),$B$1132=1),$G$1779,HLOOKUP(INDIRECT(ADDRESS(2,COLUMN())),OFFSET($K$2,0,0,ROW()-1,5),ROW()-1,FALSE))</f>
        <v>0.394544006</v>
      </c>
      <c r="H684">
        <f ca="1">IF(AND(ISNUMBER($H$1779),$B$1132=1),$H$1779,HLOOKUP(INDIRECT(ADDRESS(2,COLUMN())),OFFSET($K$2,0,0,ROW()-1,5),ROW()-1,FALSE))</f>
        <v>0.40176901300000001</v>
      </c>
      <c r="I684">
        <f ca="1">IF(AND(ISNUMBER($I$1779),$B$1132=1),$I$1779,HLOOKUP(INDIRECT(ADDRESS(2,COLUMN())),OFFSET($K$2,0,0,ROW()-1,5),ROW()-1,FALSE))</f>
        <v>0.410934998</v>
      </c>
      <c r="J684">
        <f ca="1">IF(AND(ISNUMBER($J$1779),$B$1132=1),$J$1779,HLOOKUP(INDIRECT(ADDRESS(2,COLUMN())),OFFSET($K$2,0,0,ROW()-1,5),ROW()-1,FALSE))</f>
        <v>0.420454987</v>
      </c>
      <c r="K684" t="str">
        <f>""</f>
        <v/>
      </c>
      <c r="L684">
        <f>0.394544006</f>
        <v>0.394544006</v>
      </c>
      <c r="M684">
        <f>0.401769013</f>
        <v>0.40176901300000001</v>
      </c>
      <c r="N684">
        <f>0.410934998</f>
        <v>0.410934998</v>
      </c>
      <c r="O684">
        <f>0.420454987</f>
        <v>0.420454987</v>
      </c>
    </row>
    <row r="685" spans="1:15" x14ac:dyDescent="0.25">
      <c r="A685" t="str">
        <f>"                        TFI International Inc"</f>
        <v xml:space="preserve">                        TFI International Inc</v>
      </c>
      <c r="B685" t="str">
        <f>"TFII CN Equity"</f>
        <v>TFII CN Equity</v>
      </c>
      <c r="C685" t="str">
        <f t="shared" si="72"/>
        <v>F0946</v>
      </c>
      <c r="D685" t="str">
        <f t="shared" si="73"/>
        <v>TOTAL_GHG_CO2_EMISSIONS</v>
      </c>
      <c r="E685" t="str">
        <f t="shared" si="74"/>
        <v>Dynamic</v>
      </c>
      <c r="F685" t="str">
        <f ca="1">IF(AND(ISNUMBER($F$1780),$B$1132=1),$F$1780,HLOOKUP(INDIRECT(ADDRESS(2,COLUMN())),OFFSET($K$2,0,0,ROW()-1,5),ROW()-1,FALSE))</f>
        <v/>
      </c>
      <c r="G685" t="str">
        <f ca="1">IF(AND(ISNUMBER($G$1780),$B$1132=1),$G$1780,HLOOKUP(INDIRECT(ADDRESS(2,COLUMN())),OFFSET($K$2,0,0,ROW()-1,5),ROW()-1,FALSE))</f>
        <v/>
      </c>
      <c r="H685" t="str">
        <f ca="1">IF(AND(ISNUMBER($H$1780),$B$1132=1),$H$1780,HLOOKUP(INDIRECT(ADDRESS(2,COLUMN())),OFFSET($K$2,0,0,ROW()-1,5),ROW()-1,FALSE))</f>
        <v/>
      </c>
      <c r="I685" t="str">
        <f ca="1">IF(AND(ISNUMBER($I$1780),$B$1132=1),$I$1780,HLOOKUP(INDIRECT(ADDRESS(2,COLUMN())),OFFSET($K$2,0,0,ROW()-1,5),ROW()-1,FALSE))</f>
        <v/>
      </c>
      <c r="J685" t="str">
        <f ca="1">IF(AND(ISNUMBER($J$1780),$B$1132=1),$J$1780,HLOOKUP(INDIRECT(ADDRESS(2,COLUMN())),OFFSET($K$2,0,0,ROW()-1,5),ROW()-1,FALSE))</f>
        <v/>
      </c>
      <c r="K685" t="str">
        <f>""</f>
        <v/>
      </c>
      <c r="L685" t="str">
        <f>""</f>
        <v/>
      </c>
      <c r="M685" t="str">
        <f>""</f>
        <v/>
      </c>
      <c r="N685" t="str">
        <f>""</f>
        <v/>
      </c>
      <c r="O685" t="str">
        <f>""</f>
        <v/>
      </c>
    </row>
    <row r="686" spans="1:15" x14ac:dyDescent="0.25">
      <c r="A686" t="str">
        <f>"                        Transport Corp of India Ltd"</f>
        <v xml:space="preserve">                        Transport Corp of India Ltd</v>
      </c>
      <c r="B686" t="str">
        <f>"TRPC IN Equity"</f>
        <v>TRPC IN Equity</v>
      </c>
      <c r="C686" t="str">
        <f t="shared" si="72"/>
        <v>F0946</v>
      </c>
      <c r="D686" t="str">
        <f t="shared" si="73"/>
        <v>TOTAL_GHG_CO2_EMISSIONS</v>
      </c>
      <c r="E686" t="str">
        <f t="shared" si="74"/>
        <v>Dynamic</v>
      </c>
      <c r="F686" t="str">
        <f ca="1">IF(AND(ISNUMBER($F$1781),$B$1132=1),$F$1781,HLOOKUP(INDIRECT(ADDRESS(2,COLUMN())),OFFSET($K$2,0,0,ROW()-1,5),ROW()-1,FALSE))</f>
        <v/>
      </c>
      <c r="G686">
        <f ca="1">IF(AND(ISNUMBER($G$1781),$B$1132=1),$G$1781,HLOOKUP(INDIRECT(ADDRESS(2,COLUMN())),OFFSET($K$2,0,0,ROW()-1,5),ROW()-1,FALSE))</f>
        <v>0.114947998</v>
      </c>
      <c r="H686">
        <f ca="1">IF(AND(ISNUMBER($H$1781),$B$1132=1),$H$1781,HLOOKUP(INDIRECT(ADDRESS(2,COLUMN())),OFFSET($K$2,0,0,ROW()-1,5),ROW()-1,FALSE))</f>
        <v>0.116322998</v>
      </c>
      <c r="I686" t="str">
        <f ca="1">IF(AND(ISNUMBER($I$1781),$B$1132=1),$I$1781,HLOOKUP(INDIRECT(ADDRESS(2,COLUMN())),OFFSET($K$2,0,0,ROW()-1,5),ROW()-1,FALSE))</f>
        <v/>
      </c>
      <c r="J686" t="str">
        <f ca="1">IF(AND(ISNUMBER($J$1781),$B$1132=1),$J$1781,HLOOKUP(INDIRECT(ADDRESS(2,COLUMN())),OFFSET($K$2,0,0,ROW()-1,5),ROW()-1,FALSE))</f>
        <v/>
      </c>
      <c r="K686" t="str">
        <f>""</f>
        <v/>
      </c>
      <c r="L686">
        <f>0.114947998</f>
        <v>0.114947998</v>
      </c>
      <c r="M686">
        <f>0.116322998</f>
        <v>0.116322998</v>
      </c>
      <c r="N686" t="str">
        <f>""</f>
        <v/>
      </c>
      <c r="O686" t="str">
        <f>""</f>
        <v/>
      </c>
    </row>
    <row r="687" spans="1:15" x14ac:dyDescent="0.25">
      <c r="A687" t="str">
        <f>"                        United Parcel Service Inc"</f>
        <v xml:space="preserve">                        United Parcel Service Inc</v>
      </c>
      <c r="B687" t="str">
        <f>"UPS US Equity"</f>
        <v>UPS US Equity</v>
      </c>
      <c r="C687" t="str">
        <f t="shared" si="72"/>
        <v>F0946</v>
      </c>
      <c r="D687" t="str">
        <f t="shared" si="73"/>
        <v>TOTAL_GHG_CO2_EMISSIONS</v>
      </c>
      <c r="E687" t="str">
        <f t="shared" si="74"/>
        <v>Dynamic</v>
      </c>
      <c r="F687">
        <f ca="1">IF(AND(ISNUMBER($F$1782),$B$1132=1),$F$1782,HLOOKUP(INDIRECT(ADDRESS(2,COLUMN())),OFFSET($K$2,0,0,ROW()-1,5),ROW()-1,FALSE))</f>
        <v>16.504999999999999</v>
      </c>
      <c r="G687">
        <f ca="1">IF(AND(ISNUMBER($G$1782),$B$1132=1),$G$1782,HLOOKUP(INDIRECT(ADDRESS(2,COLUMN())),OFFSET($K$2,0,0,ROW()-1,5),ROW()-1,FALSE))</f>
        <v>16.344000000000001</v>
      </c>
      <c r="H687">
        <f ca="1">IF(AND(ISNUMBER($H$1782),$B$1132=1),$H$1782,HLOOKUP(INDIRECT(ADDRESS(2,COLUMN())),OFFSET($K$2,0,0,ROW()-1,5),ROW()-1,FALSE))</f>
        <v>16.55</v>
      </c>
      <c r="I687">
        <f ca="1">IF(AND(ISNUMBER($I$1782),$B$1132=1),$I$1782,HLOOKUP(INDIRECT(ADDRESS(2,COLUMN())),OFFSET($K$2,0,0,ROW()-1,5),ROW()-1,FALSE))</f>
        <v>14.977</v>
      </c>
      <c r="J687">
        <f ca="1">IF(AND(ISNUMBER($J$1782),$B$1132=1),$J$1782,HLOOKUP(INDIRECT(ADDRESS(2,COLUMN())),OFFSET($K$2,0,0,ROW()-1,5),ROW()-1,FALSE))</f>
        <v>14.635</v>
      </c>
      <c r="K687">
        <f>16.505</f>
        <v>16.504999999999999</v>
      </c>
      <c r="L687">
        <f>16.344</f>
        <v>16.344000000000001</v>
      </c>
      <c r="M687">
        <f>16.55</f>
        <v>16.55</v>
      </c>
      <c r="N687">
        <f>14.977</f>
        <v>14.977</v>
      </c>
      <c r="O687">
        <f>14.635</f>
        <v>14.635</v>
      </c>
    </row>
    <row r="688" spans="1:15" x14ac:dyDescent="0.25">
      <c r="A688" t="str">
        <f>"                        Yamato Holdings Co Ltd"</f>
        <v xml:space="preserve">                        Yamato Holdings Co Ltd</v>
      </c>
      <c r="B688" t="str">
        <f>"9064 JP Equity"</f>
        <v>9064 JP Equity</v>
      </c>
      <c r="C688" t="str">
        <f t="shared" si="72"/>
        <v>F0946</v>
      </c>
      <c r="D688" t="str">
        <f t="shared" si="73"/>
        <v>TOTAL_GHG_CO2_EMISSIONS</v>
      </c>
      <c r="E688" t="str">
        <f t="shared" si="74"/>
        <v>Dynamic</v>
      </c>
      <c r="F688" t="str">
        <f ca="1">IF(AND(ISNUMBER($F$1783),$B$1132=1),$F$1783,HLOOKUP(INDIRECT(ADDRESS(2,COLUMN())),OFFSET($K$2,0,0,ROW()-1,5),ROW()-1,FALSE))</f>
        <v/>
      </c>
      <c r="G688">
        <f ca="1">IF(AND(ISNUMBER($G$1783),$B$1132=1),$G$1783,HLOOKUP(INDIRECT(ADDRESS(2,COLUMN())),OFFSET($K$2,0,0,ROW()-1,5),ROW()-1,FALSE))</f>
        <v>0.92876098600000001</v>
      </c>
      <c r="H688">
        <f ca="1">IF(AND(ISNUMBER($H$1783),$B$1132=1),$H$1783,HLOOKUP(INDIRECT(ADDRESS(2,COLUMN())),OFFSET($K$2,0,0,ROW()-1,5),ROW()-1,FALSE))</f>
        <v>0.91510497999999996</v>
      </c>
      <c r="I688">
        <f ca="1">IF(AND(ISNUMBER($I$1783),$B$1132=1),$I$1783,HLOOKUP(INDIRECT(ADDRESS(2,COLUMN())),OFFSET($K$2,0,0,ROW()-1,5),ROW()-1,FALSE))</f>
        <v>0.91688702399999999</v>
      </c>
      <c r="J688">
        <f ca="1">IF(AND(ISNUMBER($J$1783),$B$1132=1),$J$1783,HLOOKUP(INDIRECT(ADDRESS(2,COLUMN())),OFFSET($K$2,0,0,ROW()-1,5),ROW()-1,FALSE))</f>
        <v>0.936594971</v>
      </c>
      <c r="K688" t="str">
        <f>""</f>
        <v/>
      </c>
      <c r="L688">
        <f>0.928760986</f>
        <v>0.92876098600000001</v>
      </c>
      <c r="M688">
        <f>0.91510498</f>
        <v>0.91510497999999996</v>
      </c>
      <c r="N688">
        <f>0.916887024</f>
        <v>0.91688702399999999</v>
      </c>
      <c r="O688">
        <f>0.936594971</f>
        <v>0.936594971</v>
      </c>
    </row>
    <row r="689" spans="1:15" x14ac:dyDescent="0.25">
      <c r="A689" t="str">
        <f>"        Materials"</f>
        <v xml:space="preserve">        Materials</v>
      </c>
      <c r="B689" t="str">
        <f>""</f>
        <v/>
      </c>
      <c r="E689" t="str">
        <f>"Sum"</f>
        <v>Sum</v>
      </c>
      <c r="F689">
        <f ca="1">IF(ISERROR(IF(SUM($F$690,$F$810,$F$930,$F$942) = 0, "", SUM($F$690,$F$810,$F$930,$F$942))), "", (IF(SUM($F$690,$F$810,$F$930,$F$942) = 0, "", SUM($F$690,$F$810,$F$930,$F$942))))</f>
        <v>804.03914976900001</v>
      </c>
      <c r="G689">
        <f ca="1">IF(ISERROR(IF(SUM($G$690,$G$810,$G$930,$G$942) = 0, "", SUM($G$690,$G$810,$G$930,$G$942))), "", (IF(SUM($G$690,$G$810,$G$930,$G$942) = 0, "", SUM($G$690,$G$810,$G$930,$G$942))))</f>
        <v>1687.3758442389999</v>
      </c>
      <c r="H689">
        <f ca="1">IF(ISERROR(IF(SUM($H$690,$H$810,$H$930,$H$942) = 0, "", SUM($H$690,$H$810,$H$930,$H$942))), "", (IF(SUM($H$690,$H$810,$H$930,$H$942) = 0, "", SUM($H$690,$H$810,$H$930,$H$942))))</f>
        <v>1711.3615762269999</v>
      </c>
      <c r="I689">
        <f ca="1">IF(ISERROR(IF(SUM($I$690,$I$810,$I$930,$I$942) = 0, "", SUM($I$690,$I$810,$I$930,$I$942))), "", (IF(SUM($I$690,$I$810,$I$930,$I$942) = 0, "", SUM($I$690,$I$810,$I$930,$I$942))))</f>
        <v>1778.9191329750001</v>
      </c>
      <c r="J689">
        <f ca="1">IF(ISERROR(IF(SUM($J$690,$J$810,$J$930,$J$942) = 0, "", SUM($J$690,$J$810,$J$930,$J$942))), "", (IF(SUM($J$690,$J$810,$J$930,$J$942) = 0, "", SUM($J$690,$J$810,$J$930,$J$942))))</f>
        <v>1721.9447030619999</v>
      </c>
      <c r="K689" t="str">
        <f>""</f>
        <v/>
      </c>
      <c r="L689">
        <f>1687.375844</f>
        <v>1687.3758439999999</v>
      </c>
      <c r="M689">
        <f>1711.361576</f>
        <v>1711.361576</v>
      </c>
      <c r="N689">
        <f>1778.919133</f>
        <v>1778.9191330000001</v>
      </c>
      <c r="O689">
        <f>1721.944703</f>
        <v>1721.9447029999999</v>
      </c>
    </row>
    <row r="690" spans="1:15" x14ac:dyDescent="0.25">
      <c r="A690" t="str">
        <f>"            Chemicals"</f>
        <v xml:space="preserve">            Chemicals</v>
      </c>
      <c r="B690" t="str">
        <f>""</f>
        <v/>
      </c>
      <c r="E690" t="str">
        <f>"Sum"</f>
        <v>Sum</v>
      </c>
      <c r="F690">
        <f ca="1">IF(ISERROR(IF(SUM($F$691,$F$733,$F$805) = 0, "", SUM($F$691,$F$733,$F$805))), "", (IF(SUM($F$691,$F$733,$F$805) = 0, "", SUM($F$691,$F$733,$F$805))))</f>
        <v>235.28477008200002</v>
      </c>
      <c r="G690">
        <f ca="1">IF(ISERROR(IF(SUM($G$691,$G$733,$G$805) = 0, "", SUM($G$691,$G$733,$G$805))), "", (IF(SUM($G$691,$G$733,$G$805) = 0, "", SUM($G$691,$G$733,$G$805))))</f>
        <v>663.13607321699988</v>
      </c>
      <c r="H690">
        <f ca="1">IF(ISERROR(IF(SUM($H$691,$H$733,$H$805) = 0, "", SUM($H$691,$H$733,$H$805))), "", (IF(SUM($H$691,$H$733,$H$805) = 0, "", SUM($H$691,$H$733,$H$805))))</f>
        <v>724.52468429199985</v>
      </c>
      <c r="I690">
        <f ca="1">IF(ISERROR(IF(SUM($I$691,$I$733,$I$805) = 0, "", SUM($I$691,$I$733,$I$805))), "", (IF(SUM($I$691,$I$733,$I$805) = 0, "", SUM($I$691,$I$733,$I$805))))</f>
        <v>734.27149772199994</v>
      </c>
      <c r="J690">
        <f ca="1">IF(ISERROR(IF(SUM($J$691,$J$733,$J$805) = 0, "", SUM($J$691,$J$733,$J$805))), "", (IF(SUM($J$691,$J$733,$J$805) = 0, "", SUM($J$691,$J$733,$J$805))))</f>
        <v>644.35964538500002</v>
      </c>
      <c r="K690" t="str">
        <f>""</f>
        <v/>
      </c>
      <c r="L690">
        <f>663.1360732</f>
        <v>663.13607320000006</v>
      </c>
      <c r="M690">
        <f>724.5246843</f>
        <v>724.52468429999999</v>
      </c>
      <c r="N690">
        <f>734.2714977</f>
        <v>734.27149770000005</v>
      </c>
      <c r="O690">
        <f>644.3596454</f>
        <v>644.35964539999998</v>
      </c>
    </row>
    <row r="691" spans="1:15" x14ac:dyDescent="0.25">
      <c r="A691" t="str">
        <f>"                Agricultural Chemicals"</f>
        <v xml:space="preserve">                Agricultural Chemicals</v>
      </c>
      <c r="B691" t="str">
        <f>""</f>
        <v/>
      </c>
      <c r="E691" t="str">
        <f>"Sum"</f>
        <v>Sum</v>
      </c>
      <c r="F691">
        <f ca="1">IF(ISERROR(IF(SUM($F$692:$F$732) = 0, "", SUM($F$692:$F$732))), "", (IF(SUM($F$692:$F$732) = 0, "", SUM($F$692:$F$732))))</f>
        <v>37.242960388</v>
      </c>
      <c r="G691">
        <f ca="1">IF(ISERROR(IF(SUM($G$692:$G$732) = 0, "", SUM($G$692:$G$732))), "", (IF(SUM($G$692:$G$732) = 0, "", SUM($G$692:$G$732))))</f>
        <v>89.200692681000021</v>
      </c>
      <c r="H691">
        <f ca="1">IF(ISERROR(IF(SUM($H$692:$H$732) = 0, "", SUM($H$692:$H$732))), "", (IF(SUM($H$692:$H$732) = 0, "", SUM($H$692:$H$732))))</f>
        <v>85.645586155999979</v>
      </c>
      <c r="I691">
        <f ca="1">IF(ISERROR(IF(SUM($I$692:$I$732) = 0, "", SUM($I$692:$I$732))), "", (IF(SUM($I$692:$I$732) = 0, "", SUM($I$692:$I$732))))</f>
        <v>87.874660616999989</v>
      </c>
      <c r="J691">
        <f ca="1">IF(ISERROR(IF(SUM($J$692:$J$732) = 0, "", SUM($J$692:$J$732))), "", (IF(SUM($J$692:$J$732) = 0, "", SUM($J$692:$J$732))))</f>
        <v>84.155013127000018</v>
      </c>
      <c r="K691" t="str">
        <f>""</f>
        <v/>
      </c>
      <c r="L691">
        <f>89.20069268</f>
        <v>89.200692680000003</v>
      </c>
      <c r="M691">
        <f>85.64558615</f>
        <v>85.64558615</v>
      </c>
      <c r="N691">
        <f>87.87466062</f>
        <v>87.87466062</v>
      </c>
      <c r="O691">
        <f>84.15501313</f>
        <v>84.15501313</v>
      </c>
    </row>
    <row r="692" spans="1:15" x14ac:dyDescent="0.25">
      <c r="A692" t="str">
        <f>"                    Abou Kir Fertilizers &amp; Chemica"</f>
        <v xml:space="preserve">                    Abou Kir Fertilizers &amp; Chemica</v>
      </c>
      <c r="B692" t="str">
        <f>"ABUK EY Equity"</f>
        <v>ABUK EY Equity</v>
      </c>
      <c r="C692" t="str">
        <f t="shared" ref="C692:C732" si="75">"F0946"</f>
        <v>F0946</v>
      </c>
      <c r="D692" t="str">
        <f t="shared" ref="D692:D732" si="76">"TOTAL_GHG_CO2_EMISSIONS"</f>
        <v>TOTAL_GHG_CO2_EMISSIONS</v>
      </c>
      <c r="E692" t="str">
        <f t="shared" ref="E692:E732" si="77">"Dynamic"</f>
        <v>Dynamic</v>
      </c>
      <c r="F692" t="str">
        <f ca="1">IF(AND(ISNUMBER($F$1784),$B$1132=1),$F$1784,HLOOKUP(INDIRECT(ADDRESS(2,COLUMN())),OFFSET($K$2,0,0,ROW()-1,5),ROW()-1,FALSE))</f>
        <v/>
      </c>
      <c r="G692" t="str">
        <f ca="1">IF(AND(ISNUMBER($G$1784),$B$1132=1),$G$1784,HLOOKUP(INDIRECT(ADDRESS(2,COLUMN())),OFFSET($K$2,0,0,ROW()-1,5),ROW()-1,FALSE))</f>
        <v/>
      </c>
      <c r="H692" t="str">
        <f ca="1">IF(AND(ISNUMBER($H$1784),$B$1132=1),$H$1784,HLOOKUP(INDIRECT(ADDRESS(2,COLUMN())),OFFSET($K$2,0,0,ROW()-1,5),ROW()-1,FALSE))</f>
        <v/>
      </c>
      <c r="I692" t="str">
        <f ca="1">IF(AND(ISNUMBER($I$1784),$B$1132=1),$I$1784,HLOOKUP(INDIRECT(ADDRESS(2,COLUMN())),OFFSET($K$2,0,0,ROW()-1,5),ROW()-1,FALSE))</f>
        <v/>
      </c>
      <c r="J692" t="str">
        <f ca="1">IF(AND(ISNUMBER($J$1784),$B$1132=1),$J$1784,HLOOKUP(INDIRECT(ADDRESS(2,COLUMN())),OFFSET($K$2,0,0,ROW()-1,5),ROW()-1,FALSE))</f>
        <v/>
      </c>
      <c r="K692" t="str">
        <f>""</f>
        <v/>
      </c>
      <c r="L692" t="str">
        <f>""</f>
        <v/>
      </c>
      <c r="M692" t="str">
        <f>""</f>
        <v/>
      </c>
      <c r="N692" t="str">
        <f>""</f>
        <v/>
      </c>
      <c r="O692" t="str">
        <f>""</f>
        <v/>
      </c>
    </row>
    <row r="693" spans="1:15" x14ac:dyDescent="0.25">
      <c r="A693" t="str">
        <f>"                    Acron PJSC"</f>
        <v xml:space="preserve">                    Acron PJSC</v>
      </c>
      <c r="B693" t="str">
        <f>"AKRN RM Equity"</f>
        <v>AKRN RM Equity</v>
      </c>
      <c r="C693" t="str">
        <f t="shared" si="75"/>
        <v>F0946</v>
      </c>
      <c r="D693" t="str">
        <f t="shared" si="76"/>
        <v>TOTAL_GHG_CO2_EMISSIONS</v>
      </c>
      <c r="E693" t="str">
        <f t="shared" si="77"/>
        <v>Dynamic</v>
      </c>
      <c r="F693" t="str">
        <f ca="1">IF(AND(ISNUMBER($F$1785),$B$1132=1),$F$1785,HLOOKUP(INDIRECT(ADDRESS(2,COLUMN())),OFFSET($K$2,0,0,ROW()-1,5),ROW()-1,FALSE))</f>
        <v/>
      </c>
      <c r="G693" t="str">
        <f ca="1">IF(AND(ISNUMBER($G$1785),$B$1132=1),$G$1785,HLOOKUP(INDIRECT(ADDRESS(2,COLUMN())),OFFSET($K$2,0,0,ROW()-1,5),ROW()-1,FALSE))</f>
        <v/>
      </c>
      <c r="H693">
        <f ca="1">IF(AND(ISNUMBER($H$1785),$B$1132=1),$H$1785,HLOOKUP(INDIRECT(ADDRESS(2,COLUMN())),OFFSET($K$2,0,0,ROW()-1,5),ROW()-1,FALSE))</f>
        <v>3.6019999999999999</v>
      </c>
      <c r="I693">
        <f ca="1">IF(AND(ISNUMBER($I$1785),$B$1132=1),$I$1785,HLOOKUP(INDIRECT(ADDRESS(2,COLUMN())),OFFSET($K$2,0,0,ROW()-1,5),ROW()-1,FALSE))</f>
        <v>4.4039999999999999</v>
      </c>
      <c r="J693">
        <f ca="1">IF(AND(ISNUMBER($J$1785),$B$1132=1),$J$1785,HLOOKUP(INDIRECT(ADDRESS(2,COLUMN())),OFFSET($K$2,0,0,ROW()-1,5),ROW()-1,FALSE))</f>
        <v>4.5270000000000001</v>
      </c>
      <c r="K693" t="str">
        <f>""</f>
        <v/>
      </c>
      <c r="L693" t="str">
        <f>""</f>
        <v/>
      </c>
      <c r="M693">
        <f>3.602</f>
        <v>3.6019999999999999</v>
      </c>
      <c r="N693">
        <f>4.404</f>
        <v>4.4039999999999999</v>
      </c>
      <c r="O693">
        <f>4.527</f>
        <v>4.5270000000000001</v>
      </c>
    </row>
    <row r="694" spans="1:15" x14ac:dyDescent="0.25">
      <c r="A694" t="str">
        <f>"                    American Vanguard Corp"</f>
        <v xml:space="preserve">                    American Vanguard Corp</v>
      </c>
      <c r="B694" t="str">
        <f>"AVD US Equity"</f>
        <v>AVD US Equity</v>
      </c>
      <c r="C694" t="str">
        <f t="shared" si="75"/>
        <v>F0946</v>
      </c>
      <c r="D694" t="str">
        <f t="shared" si="76"/>
        <v>TOTAL_GHG_CO2_EMISSIONS</v>
      </c>
      <c r="E694" t="str">
        <f t="shared" si="77"/>
        <v>Dynamic</v>
      </c>
      <c r="F694" t="str">
        <f ca="1">IF(AND(ISNUMBER($F$1786),$B$1132=1),$F$1786,HLOOKUP(INDIRECT(ADDRESS(2,COLUMN())),OFFSET($K$2,0,0,ROW()-1,5),ROW()-1,FALSE))</f>
        <v/>
      </c>
      <c r="G694" t="str">
        <f ca="1">IF(AND(ISNUMBER($G$1786),$B$1132=1),$G$1786,HLOOKUP(INDIRECT(ADDRESS(2,COLUMN())),OFFSET($K$2,0,0,ROW()-1,5),ROW()-1,FALSE))</f>
        <v/>
      </c>
      <c r="H694" t="str">
        <f ca="1">IF(AND(ISNUMBER($H$1786),$B$1132=1),$H$1786,HLOOKUP(INDIRECT(ADDRESS(2,COLUMN())),OFFSET($K$2,0,0,ROW()-1,5),ROW()-1,FALSE))</f>
        <v/>
      </c>
      <c r="I694" t="str">
        <f ca="1">IF(AND(ISNUMBER($I$1786),$B$1132=1),$I$1786,HLOOKUP(INDIRECT(ADDRESS(2,COLUMN())),OFFSET($K$2,0,0,ROW()-1,5),ROW()-1,FALSE))</f>
        <v/>
      </c>
      <c r="J694" t="str">
        <f ca="1">IF(AND(ISNUMBER($J$1786),$B$1132=1),$J$1786,HLOOKUP(INDIRECT(ADDRESS(2,COLUMN())),OFFSET($K$2,0,0,ROW()-1,5),ROW()-1,FALSE))</f>
        <v/>
      </c>
      <c r="K694" t="str">
        <f>""</f>
        <v/>
      </c>
      <c r="L694" t="str">
        <f>""</f>
        <v/>
      </c>
      <c r="M694" t="str">
        <f>""</f>
        <v/>
      </c>
      <c r="N694" t="str">
        <f>""</f>
        <v/>
      </c>
      <c r="O694" t="str">
        <f>""</f>
        <v/>
      </c>
    </row>
    <row r="695" spans="1:15" x14ac:dyDescent="0.25">
      <c r="A695" t="str">
        <f>"                    CF Industries Holdings Inc"</f>
        <v xml:space="preserve">                    CF Industries Holdings Inc</v>
      </c>
      <c r="B695" t="str">
        <f>"CF US Equity"</f>
        <v>CF US Equity</v>
      </c>
      <c r="C695" t="str">
        <f t="shared" si="75"/>
        <v>F0946</v>
      </c>
      <c r="D695" t="str">
        <f t="shared" si="76"/>
        <v>TOTAL_GHG_CO2_EMISSIONS</v>
      </c>
      <c r="E695" t="str">
        <f t="shared" si="77"/>
        <v>Dynamic</v>
      </c>
      <c r="F695">
        <f ca="1">IF(AND(ISNUMBER($F$1787),$B$1132=1),$F$1787,HLOOKUP(INDIRECT(ADDRESS(2,COLUMN())),OFFSET($K$2,0,0,ROW()-1,5),ROW()-1,FALSE))</f>
        <v>17.78040039</v>
      </c>
      <c r="G695">
        <f ca="1">IF(AND(ISNUMBER($G$1787),$B$1132=1),$G$1787,HLOOKUP(INDIRECT(ADDRESS(2,COLUMN())),OFFSET($K$2,0,0,ROW()-1,5),ROW()-1,FALSE))</f>
        <v>17.325599610000001</v>
      </c>
      <c r="H695">
        <f ca="1">IF(AND(ISNUMBER($H$1787),$B$1132=1),$H$1787,HLOOKUP(INDIRECT(ADDRESS(2,COLUMN())),OFFSET($K$2,0,0,ROW()-1,5),ROW()-1,FALSE))</f>
        <v>18.79719922</v>
      </c>
      <c r="I695">
        <f ca="1">IF(AND(ISNUMBER($I$1787),$B$1132=1),$I$1787,HLOOKUP(INDIRECT(ADDRESS(2,COLUMN())),OFFSET($K$2,0,0,ROW()-1,5),ROW()-1,FALSE))</f>
        <v>19.241499999999998</v>
      </c>
      <c r="J695">
        <f ca="1">IF(AND(ISNUMBER($J$1787),$B$1132=1),$J$1787,HLOOKUP(INDIRECT(ADDRESS(2,COLUMN())),OFFSET($K$2,0,0,ROW()-1,5),ROW()-1,FALSE))</f>
        <v>17.633199220000002</v>
      </c>
      <c r="K695">
        <f>17.78040039</f>
        <v>17.78040039</v>
      </c>
      <c r="L695">
        <f>17.32559961</f>
        <v>17.325599610000001</v>
      </c>
      <c r="M695">
        <f>18.79719922</f>
        <v>18.79719922</v>
      </c>
      <c r="N695">
        <f>19.2415</f>
        <v>19.241499999999998</v>
      </c>
      <c r="O695">
        <f>17.63319922</f>
        <v>17.633199220000002</v>
      </c>
    </row>
    <row r="696" spans="1:15" x14ac:dyDescent="0.25">
      <c r="A696" t="str">
        <f>"                    Chambal Fertilisers and Chemic"</f>
        <v xml:space="preserve">                    Chambal Fertilisers and Chemic</v>
      </c>
      <c r="B696" t="str">
        <f>"CHMB IN Equity"</f>
        <v>CHMB IN Equity</v>
      </c>
      <c r="C696" t="str">
        <f t="shared" si="75"/>
        <v>F0946</v>
      </c>
      <c r="D696" t="str">
        <f t="shared" si="76"/>
        <v>TOTAL_GHG_CO2_EMISSIONS</v>
      </c>
      <c r="E696" t="str">
        <f t="shared" si="77"/>
        <v>Dynamic</v>
      </c>
      <c r="F696" t="str">
        <f ca="1">IF(AND(ISNUMBER($F$1788),$B$1132=1),$F$1788,HLOOKUP(INDIRECT(ADDRESS(2,COLUMN())),OFFSET($K$2,0,0,ROW()-1,5),ROW()-1,FALSE))</f>
        <v/>
      </c>
      <c r="G696" t="str">
        <f ca="1">IF(AND(ISNUMBER($G$1788),$B$1132=1),$G$1788,HLOOKUP(INDIRECT(ADDRESS(2,COLUMN())),OFFSET($K$2,0,0,ROW()-1,5),ROW()-1,FALSE))</f>
        <v/>
      </c>
      <c r="H696" t="str">
        <f ca="1">IF(AND(ISNUMBER($H$1788),$B$1132=1),$H$1788,HLOOKUP(INDIRECT(ADDRESS(2,COLUMN())),OFFSET($K$2,0,0,ROW()-1,5),ROW()-1,FALSE))</f>
        <v/>
      </c>
      <c r="I696" t="str">
        <f ca="1">IF(AND(ISNUMBER($I$1788),$B$1132=1),$I$1788,HLOOKUP(INDIRECT(ADDRESS(2,COLUMN())),OFFSET($K$2,0,0,ROW()-1,5),ROW()-1,FALSE))</f>
        <v/>
      </c>
      <c r="J696" t="str">
        <f ca="1">IF(AND(ISNUMBER($J$1788),$B$1132=1),$J$1788,HLOOKUP(INDIRECT(ADDRESS(2,COLUMN())),OFFSET($K$2,0,0,ROW()-1,5),ROW()-1,FALSE))</f>
        <v/>
      </c>
      <c r="K696" t="str">
        <f>""</f>
        <v/>
      </c>
      <c r="L696" t="str">
        <f>""</f>
        <v/>
      </c>
      <c r="M696" t="str">
        <f>""</f>
        <v/>
      </c>
      <c r="N696" t="str">
        <f>""</f>
        <v/>
      </c>
      <c r="O696" t="str">
        <f>""</f>
        <v/>
      </c>
    </row>
    <row r="697" spans="1:15" x14ac:dyDescent="0.25">
      <c r="A697" t="str">
        <f>"                    China BlueChemical Ltd"</f>
        <v xml:space="preserve">                    China BlueChemical Ltd</v>
      </c>
      <c r="B697" t="str">
        <f>"3983 HK Equity"</f>
        <v>3983 HK Equity</v>
      </c>
      <c r="C697" t="str">
        <f t="shared" si="75"/>
        <v>F0946</v>
      </c>
      <c r="D697" t="str">
        <f t="shared" si="76"/>
        <v>TOTAL_GHG_CO2_EMISSIONS</v>
      </c>
      <c r="E697" t="str">
        <f t="shared" si="77"/>
        <v>Dynamic</v>
      </c>
      <c r="F697" t="str">
        <f ca="1">IF(AND(ISNUMBER($F$1789),$B$1132=1),$F$1789,HLOOKUP(INDIRECT(ADDRESS(2,COLUMN())),OFFSET($K$2,0,0,ROW()-1,5),ROW()-1,FALSE))</f>
        <v/>
      </c>
      <c r="G697">
        <f ca="1">IF(AND(ISNUMBER($G$1789),$B$1132=1),$G$1789,HLOOKUP(INDIRECT(ADDRESS(2,COLUMN())),OFFSET($K$2,0,0,ROW()-1,5),ROW()-1,FALSE))</f>
        <v>5.5307001949999997</v>
      </c>
      <c r="H697">
        <f ca="1">IF(AND(ISNUMBER($H$1789),$B$1132=1),$H$1789,HLOOKUP(INDIRECT(ADDRESS(2,COLUMN())),OFFSET($K$2,0,0,ROW()-1,5),ROW()-1,FALSE))</f>
        <v>6.7422001949999997</v>
      </c>
      <c r="I697">
        <f ca="1">IF(AND(ISNUMBER($I$1789),$B$1132=1),$I$1789,HLOOKUP(INDIRECT(ADDRESS(2,COLUMN())),OFFSET($K$2,0,0,ROW()-1,5),ROW()-1,FALSE))</f>
        <v>6.4453999020000001</v>
      </c>
      <c r="J697">
        <f ca="1">IF(AND(ISNUMBER($J$1789),$B$1132=1),$J$1789,HLOOKUP(INDIRECT(ADDRESS(2,COLUMN())),OFFSET($K$2,0,0,ROW()-1,5),ROW()-1,FALSE))</f>
        <v>6.3339999999999996</v>
      </c>
      <c r="K697" t="str">
        <f>""</f>
        <v/>
      </c>
      <c r="L697">
        <f>5.530700195</f>
        <v>5.5307001949999997</v>
      </c>
      <c r="M697">
        <f>6.742200195</f>
        <v>6.7422001949999997</v>
      </c>
      <c r="N697">
        <f>6.445399902</f>
        <v>6.4453999020000001</v>
      </c>
      <c r="O697">
        <f>6.334</f>
        <v>6.3339999999999996</v>
      </c>
    </row>
    <row r="698" spans="1:15" x14ac:dyDescent="0.25">
      <c r="A698" t="str">
        <f>"                    China Green Agriculture Inc"</f>
        <v xml:space="preserve">                    China Green Agriculture Inc</v>
      </c>
      <c r="B698" t="str">
        <f>"CGA US Equity"</f>
        <v>CGA US Equity</v>
      </c>
      <c r="C698" t="str">
        <f t="shared" si="75"/>
        <v>F0946</v>
      </c>
      <c r="D698" t="str">
        <f t="shared" si="76"/>
        <v>TOTAL_GHG_CO2_EMISSIONS</v>
      </c>
      <c r="E698" t="str">
        <f t="shared" si="77"/>
        <v>Dynamic</v>
      </c>
      <c r="F698" t="str">
        <f ca="1">IF(AND(ISNUMBER($F$1790),$B$1132=1),$F$1790,HLOOKUP(INDIRECT(ADDRESS(2,COLUMN())),OFFSET($K$2,0,0,ROW()-1,5),ROW()-1,FALSE))</f>
        <v/>
      </c>
      <c r="G698" t="str">
        <f ca="1">IF(AND(ISNUMBER($G$1790),$B$1132=1),$G$1790,HLOOKUP(INDIRECT(ADDRESS(2,COLUMN())),OFFSET($K$2,0,0,ROW()-1,5),ROW()-1,FALSE))</f>
        <v/>
      </c>
      <c r="H698" t="str">
        <f ca="1">IF(AND(ISNUMBER($H$1790),$B$1132=1),$H$1790,HLOOKUP(INDIRECT(ADDRESS(2,COLUMN())),OFFSET($K$2,0,0,ROW()-1,5),ROW()-1,FALSE))</f>
        <v/>
      </c>
      <c r="I698" t="str">
        <f ca="1">IF(AND(ISNUMBER($I$1790),$B$1132=1),$I$1790,HLOOKUP(INDIRECT(ADDRESS(2,COLUMN())),OFFSET($K$2,0,0,ROW()-1,5),ROW()-1,FALSE))</f>
        <v/>
      </c>
      <c r="J698" t="str">
        <f ca="1">IF(AND(ISNUMBER($J$1790),$B$1132=1),$J$1790,HLOOKUP(INDIRECT(ADDRESS(2,COLUMN())),OFFSET($K$2,0,0,ROW()-1,5),ROW()-1,FALSE))</f>
        <v/>
      </c>
      <c r="K698" t="str">
        <f>""</f>
        <v/>
      </c>
      <c r="L698" t="str">
        <f>""</f>
        <v/>
      </c>
      <c r="M698" t="str">
        <f>""</f>
        <v/>
      </c>
      <c r="N698" t="str">
        <f>""</f>
        <v/>
      </c>
      <c r="O698" t="str">
        <f>""</f>
        <v/>
      </c>
    </row>
    <row r="699" spans="1:15" x14ac:dyDescent="0.25">
      <c r="A699" t="str">
        <f>"                    Coromandel International Ltd"</f>
        <v xml:space="preserve">                    Coromandel International Ltd</v>
      </c>
      <c r="B699" t="str">
        <f>"CRIN IN Equity"</f>
        <v>CRIN IN Equity</v>
      </c>
      <c r="C699" t="str">
        <f t="shared" si="75"/>
        <v>F0946</v>
      </c>
      <c r="D699" t="str">
        <f t="shared" si="76"/>
        <v>TOTAL_GHG_CO2_EMISSIONS</v>
      </c>
      <c r="E699" t="str">
        <f t="shared" si="77"/>
        <v>Dynamic</v>
      </c>
      <c r="F699" t="str">
        <f ca="1">IF(AND(ISNUMBER($F$1791),$B$1132=1),$F$1791,HLOOKUP(INDIRECT(ADDRESS(2,COLUMN())),OFFSET($K$2,0,0,ROW()-1,5),ROW()-1,FALSE))</f>
        <v/>
      </c>
      <c r="G699">
        <f ca="1">IF(AND(ISNUMBER($G$1791),$B$1132=1),$G$1791,HLOOKUP(INDIRECT(ADDRESS(2,COLUMN())),OFFSET($K$2,0,0,ROW()-1,5),ROW()-1,FALSE))</f>
        <v>0.14547199999999999</v>
      </c>
      <c r="H699">
        <f ca="1">IF(AND(ISNUMBER($H$1791),$B$1132=1),$H$1791,HLOOKUP(INDIRECT(ADDRESS(2,COLUMN())),OFFSET($K$2,0,0,ROW()-1,5),ROW()-1,FALSE))</f>
        <v>0.17829299900000001</v>
      </c>
      <c r="I699">
        <f ca="1">IF(AND(ISNUMBER($I$1791),$B$1132=1),$I$1791,HLOOKUP(INDIRECT(ADDRESS(2,COLUMN())),OFFSET($K$2,0,0,ROW()-1,5),ROW()-1,FALSE))</f>
        <v>0.17170300299999999</v>
      </c>
      <c r="J699">
        <f ca="1">IF(AND(ISNUMBER($J$1791),$B$1132=1),$J$1791,HLOOKUP(INDIRECT(ADDRESS(2,COLUMN())),OFFSET($K$2,0,0,ROW()-1,5),ROW()-1,FALSE))</f>
        <v>0.16415600599999999</v>
      </c>
      <c r="K699" t="str">
        <f>""</f>
        <v/>
      </c>
      <c r="L699">
        <f>0.145472</f>
        <v>0.14547199999999999</v>
      </c>
      <c r="M699">
        <f>0.178292999</f>
        <v>0.17829299900000001</v>
      </c>
      <c r="N699">
        <f>0.171703003</f>
        <v>0.17170300299999999</v>
      </c>
      <c r="O699">
        <f>0.164156006</f>
        <v>0.16415600599999999</v>
      </c>
    </row>
    <row r="700" spans="1:15" x14ac:dyDescent="0.25">
      <c r="A700" t="str">
        <f>"                    Corteva Inc"</f>
        <v xml:space="preserve">                    Corteva Inc</v>
      </c>
      <c r="B700" t="str">
        <f>"CTVA US Equity"</f>
        <v>CTVA US Equity</v>
      </c>
      <c r="C700" t="str">
        <f t="shared" si="75"/>
        <v>F0946</v>
      </c>
      <c r="D700" t="str">
        <f t="shared" si="76"/>
        <v>TOTAL_GHG_CO2_EMISSIONS</v>
      </c>
      <c r="E700" t="str">
        <f t="shared" si="77"/>
        <v>Dynamic</v>
      </c>
      <c r="F700" t="str">
        <f ca="1">IF(AND(ISNUMBER($F$1792),$B$1132=1),$F$1792,HLOOKUP(INDIRECT(ADDRESS(2,COLUMN())),OFFSET($K$2,0,0,ROW()-1,5),ROW()-1,FALSE))</f>
        <v/>
      </c>
      <c r="G700" t="str">
        <f ca="1">IF(AND(ISNUMBER($G$1792),$B$1132=1),$G$1792,HLOOKUP(INDIRECT(ADDRESS(2,COLUMN())),OFFSET($K$2,0,0,ROW()-1,5),ROW()-1,FALSE))</f>
        <v/>
      </c>
      <c r="H700" t="str">
        <f ca="1">IF(AND(ISNUMBER($H$1792),$B$1132=1),$H$1792,HLOOKUP(INDIRECT(ADDRESS(2,COLUMN())),OFFSET($K$2,0,0,ROW()-1,5),ROW()-1,FALSE))</f>
        <v/>
      </c>
      <c r="I700" t="str">
        <f ca="1">IF(AND(ISNUMBER($I$1792),$B$1132=1),$I$1792,HLOOKUP(INDIRECT(ADDRESS(2,COLUMN())),OFFSET($K$2,0,0,ROW()-1,5),ROW()-1,FALSE))</f>
        <v/>
      </c>
      <c r="J700" t="str">
        <f ca="1">IF(AND(ISNUMBER($J$1792),$B$1132=1),$J$1792,HLOOKUP(INDIRECT(ADDRESS(2,COLUMN())),OFFSET($K$2,0,0,ROW()-1,5),ROW()-1,FALSE))</f>
        <v/>
      </c>
      <c r="K700" t="str">
        <f>""</f>
        <v/>
      </c>
      <c r="L700" t="str">
        <f>""</f>
        <v/>
      </c>
      <c r="M700" t="str">
        <f>""</f>
        <v/>
      </c>
      <c r="N700" t="str">
        <f>""</f>
        <v/>
      </c>
      <c r="O700" t="str">
        <f>""</f>
        <v/>
      </c>
    </row>
    <row r="701" spans="1:15" x14ac:dyDescent="0.25">
      <c r="A701" t="str">
        <f>"                    Evogene Ltd"</f>
        <v xml:space="preserve">                    Evogene Ltd</v>
      </c>
      <c r="B701" t="str">
        <f>"EVGN IT Equity"</f>
        <v>EVGN IT Equity</v>
      </c>
      <c r="C701" t="str">
        <f t="shared" si="75"/>
        <v>F0946</v>
      </c>
      <c r="D701" t="str">
        <f t="shared" si="76"/>
        <v>TOTAL_GHG_CO2_EMISSIONS</v>
      </c>
      <c r="E701" t="str">
        <f t="shared" si="77"/>
        <v>Dynamic</v>
      </c>
      <c r="F701" t="str">
        <f ca="1">IF(AND(ISNUMBER($F$1793),$B$1132=1),$F$1793,HLOOKUP(INDIRECT(ADDRESS(2,COLUMN())),OFFSET($K$2,0,0,ROW()-1,5),ROW()-1,FALSE))</f>
        <v/>
      </c>
      <c r="G701" t="str">
        <f ca="1">IF(AND(ISNUMBER($G$1793),$B$1132=1),$G$1793,HLOOKUP(INDIRECT(ADDRESS(2,COLUMN())),OFFSET($K$2,0,0,ROW()-1,5),ROW()-1,FALSE))</f>
        <v/>
      </c>
      <c r="H701" t="str">
        <f ca="1">IF(AND(ISNUMBER($H$1793),$B$1132=1),$H$1793,HLOOKUP(INDIRECT(ADDRESS(2,COLUMN())),OFFSET($K$2,0,0,ROW()-1,5),ROW()-1,FALSE))</f>
        <v/>
      </c>
      <c r="I701" t="str">
        <f ca="1">IF(AND(ISNUMBER($I$1793),$B$1132=1),$I$1793,HLOOKUP(INDIRECT(ADDRESS(2,COLUMN())),OFFSET($K$2,0,0,ROW()-1,5),ROW()-1,FALSE))</f>
        <v/>
      </c>
      <c r="J701" t="str">
        <f ca="1">IF(AND(ISNUMBER($J$1793),$B$1132=1),$J$1793,HLOOKUP(INDIRECT(ADDRESS(2,COLUMN())),OFFSET($K$2,0,0,ROW()-1,5),ROW()-1,FALSE))</f>
        <v/>
      </c>
      <c r="K701" t="str">
        <f>""</f>
        <v/>
      </c>
      <c r="L701" t="str">
        <f>""</f>
        <v/>
      </c>
      <c r="M701" t="str">
        <f>""</f>
        <v/>
      </c>
      <c r="N701" t="str">
        <f>""</f>
        <v/>
      </c>
      <c r="O701" t="str">
        <f>""</f>
        <v/>
      </c>
    </row>
    <row r="702" spans="1:15" x14ac:dyDescent="0.25">
      <c r="A702" t="str">
        <f>"                    Fauji Fertilizer Bin Qasim Ltd"</f>
        <v xml:space="preserve">                    Fauji Fertilizer Bin Qasim Ltd</v>
      </c>
      <c r="B702" t="str">
        <f>"FFBL PA Equity"</f>
        <v>FFBL PA Equity</v>
      </c>
      <c r="C702" t="str">
        <f t="shared" si="75"/>
        <v>F0946</v>
      </c>
      <c r="D702" t="str">
        <f t="shared" si="76"/>
        <v>TOTAL_GHG_CO2_EMISSIONS</v>
      </c>
      <c r="E702" t="str">
        <f t="shared" si="77"/>
        <v>Dynamic</v>
      </c>
      <c r="F702" t="str">
        <f ca="1">IF(AND(ISNUMBER($F$1794),$B$1132=1),$F$1794,HLOOKUP(INDIRECT(ADDRESS(2,COLUMN())),OFFSET($K$2,0,0,ROW()-1,5),ROW()-1,FALSE))</f>
        <v/>
      </c>
      <c r="G702" t="str">
        <f ca="1">IF(AND(ISNUMBER($G$1794),$B$1132=1),$G$1794,HLOOKUP(INDIRECT(ADDRESS(2,COLUMN())),OFFSET($K$2,0,0,ROW()-1,5),ROW()-1,FALSE))</f>
        <v/>
      </c>
      <c r="H702" t="str">
        <f ca="1">IF(AND(ISNUMBER($H$1794),$B$1132=1),$H$1794,HLOOKUP(INDIRECT(ADDRESS(2,COLUMN())),OFFSET($K$2,0,0,ROW()-1,5),ROW()-1,FALSE))</f>
        <v/>
      </c>
      <c r="I702" t="str">
        <f ca="1">IF(AND(ISNUMBER($I$1794),$B$1132=1),$I$1794,HLOOKUP(INDIRECT(ADDRESS(2,COLUMN())),OFFSET($K$2,0,0,ROW()-1,5),ROW()-1,FALSE))</f>
        <v/>
      </c>
      <c r="J702" t="str">
        <f ca="1">IF(AND(ISNUMBER($J$1794),$B$1132=1),$J$1794,HLOOKUP(INDIRECT(ADDRESS(2,COLUMN())),OFFSET($K$2,0,0,ROW()-1,5),ROW()-1,FALSE))</f>
        <v/>
      </c>
      <c r="K702" t="str">
        <f>""</f>
        <v/>
      </c>
      <c r="L702" t="str">
        <f>""</f>
        <v/>
      </c>
      <c r="M702" t="str">
        <f>""</f>
        <v/>
      </c>
      <c r="N702" t="str">
        <f>""</f>
        <v/>
      </c>
      <c r="O702" t="str">
        <f>""</f>
        <v/>
      </c>
    </row>
    <row r="703" spans="1:15" x14ac:dyDescent="0.25">
      <c r="A703" t="str">
        <f>"                    Fauji Fertilizer Co Ltd"</f>
        <v xml:space="preserve">                    Fauji Fertilizer Co Ltd</v>
      </c>
      <c r="B703" t="str">
        <f>"FFC PA Equity"</f>
        <v>FFC PA Equity</v>
      </c>
      <c r="C703" t="str">
        <f t="shared" si="75"/>
        <v>F0946</v>
      </c>
      <c r="D703" t="str">
        <f t="shared" si="76"/>
        <v>TOTAL_GHG_CO2_EMISSIONS</v>
      </c>
      <c r="E703" t="str">
        <f t="shared" si="77"/>
        <v>Dynamic</v>
      </c>
      <c r="F703" t="str">
        <f ca="1">IF(AND(ISNUMBER($F$1795),$B$1132=1),$F$1795,HLOOKUP(INDIRECT(ADDRESS(2,COLUMN())),OFFSET($K$2,0,0,ROW()-1,5),ROW()-1,FALSE))</f>
        <v/>
      </c>
      <c r="G703">
        <f ca="1">IF(AND(ISNUMBER($G$1795),$B$1132=1),$G$1795,HLOOKUP(INDIRECT(ADDRESS(2,COLUMN())),OFFSET($K$2,0,0,ROW()-1,5),ROW()-1,FALSE))</f>
        <v>1.9083599849999999</v>
      </c>
      <c r="H703">
        <f ca="1">IF(AND(ISNUMBER($H$1795),$B$1132=1),$H$1795,HLOOKUP(INDIRECT(ADDRESS(2,COLUMN())),OFFSET($K$2,0,0,ROW()-1,5),ROW()-1,FALSE))</f>
        <v>1.8800200199999999</v>
      </c>
      <c r="I703">
        <f ca="1">IF(AND(ISNUMBER($I$1795),$B$1132=1),$I$1795,HLOOKUP(INDIRECT(ADDRESS(2,COLUMN())),OFFSET($K$2,0,0,ROW()-1,5),ROW()-1,FALSE))</f>
        <v>1.87097998</v>
      </c>
      <c r="J703">
        <f ca="1">IF(AND(ISNUMBER($J$1795),$B$1132=1),$J$1795,HLOOKUP(INDIRECT(ADDRESS(2,COLUMN())),OFFSET($K$2,0,0,ROW()-1,5),ROW()-1,FALSE))</f>
        <v>1.8736199950000001</v>
      </c>
      <c r="K703" t="str">
        <f>""</f>
        <v/>
      </c>
      <c r="L703">
        <f>1.908359985</f>
        <v>1.9083599849999999</v>
      </c>
      <c r="M703">
        <f>1.88002002</f>
        <v>1.8800200199999999</v>
      </c>
      <c r="N703">
        <f>1.87097998</f>
        <v>1.87097998</v>
      </c>
      <c r="O703">
        <f>1.873619995</f>
        <v>1.8736199950000001</v>
      </c>
    </row>
    <row r="704" spans="1:15" x14ac:dyDescent="0.25">
      <c r="A704" t="str">
        <f>"                    Fertilizantes Heringer SA"</f>
        <v xml:space="preserve">                    Fertilizantes Heringer SA</v>
      </c>
      <c r="B704" t="str">
        <f>"FHER3 BZ Equity"</f>
        <v>FHER3 BZ Equity</v>
      </c>
      <c r="C704" t="str">
        <f t="shared" si="75"/>
        <v>F0946</v>
      </c>
      <c r="D704" t="str">
        <f t="shared" si="76"/>
        <v>TOTAL_GHG_CO2_EMISSIONS</v>
      </c>
      <c r="E704" t="str">
        <f t="shared" si="77"/>
        <v>Dynamic</v>
      </c>
      <c r="F704" t="str">
        <f ca="1">IF(AND(ISNUMBER($F$1796),$B$1132=1),$F$1796,HLOOKUP(INDIRECT(ADDRESS(2,COLUMN())),OFFSET($K$2,0,0,ROW()-1,5),ROW()-1,FALSE))</f>
        <v/>
      </c>
      <c r="G704" t="str">
        <f ca="1">IF(AND(ISNUMBER($G$1796),$B$1132=1),$G$1796,HLOOKUP(INDIRECT(ADDRESS(2,COLUMN())),OFFSET($K$2,0,0,ROW()-1,5),ROW()-1,FALSE))</f>
        <v/>
      </c>
      <c r="H704" t="str">
        <f ca="1">IF(AND(ISNUMBER($H$1796),$B$1132=1),$H$1796,HLOOKUP(INDIRECT(ADDRESS(2,COLUMN())),OFFSET($K$2,0,0,ROW()-1,5),ROW()-1,FALSE))</f>
        <v/>
      </c>
      <c r="I704" t="str">
        <f ca="1">IF(AND(ISNUMBER($I$1796),$B$1132=1),$I$1796,HLOOKUP(INDIRECT(ADDRESS(2,COLUMN())),OFFSET($K$2,0,0,ROW()-1,5),ROW()-1,FALSE))</f>
        <v/>
      </c>
      <c r="J704" t="str">
        <f ca="1">IF(AND(ISNUMBER($J$1796),$B$1132=1),$J$1796,HLOOKUP(INDIRECT(ADDRESS(2,COLUMN())),OFFSET($K$2,0,0,ROW()-1,5),ROW()-1,FALSE))</f>
        <v/>
      </c>
      <c r="K704" t="str">
        <f>""</f>
        <v/>
      </c>
      <c r="L704" t="str">
        <f>""</f>
        <v/>
      </c>
      <c r="M704" t="str">
        <f>""</f>
        <v/>
      </c>
      <c r="N704" t="str">
        <f>""</f>
        <v/>
      </c>
      <c r="O704" t="str">
        <f>""</f>
        <v/>
      </c>
    </row>
    <row r="705" spans="1:15" x14ac:dyDescent="0.25">
      <c r="A705" t="str">
        <f>"                    FMC Corp"</f>
        <v xml:space="preserve">                    FMC Corp</v>
      </c>
      <c r="B705" t="str">
        <f>"FMC US Equity"</f>
        <v>FMC US Equity</v>
      </c>
      <c r="C705" t="str">
        <f t="shared" si="75"/>
        <v>F0946</v>
      </c>
      <c r="D705" t="str">
        <f t="shared" si="76"/>
        <v>TOTAL_GHG_CO2_EMISSIONS</v>
      </c>
      <c r="E705" t="str">
        <f t="shared" si="77"/>
        <v>Dynamic</v>
      </c>
      <c r="F705">
        <f ca="1">IF(AND(ISNUMBER($F$1797),$B$1132=1),$F$1797,HLOOKUP(INDIRECT(ADDRESS(2,COLUMN())),OFFSET($K$2,0,0,ROW()-1,5),ROW()-1,FALSE))</f>
        <v>0.155</v>
      </c>
      <c r="G705">
        <f ca="1">IF(AND(ISNUMBER($G$1797),$B$1132=1),$G$1797,HLOOKUP(INDIRECT(ADDRESS(2,COLUMN())),OFFSET($K$2,0,0,ROW()-1,5),ROW()-1,FALSE))</f>
        <v>0.165880005</v>
      </c>
      <c r="H705">
        <f ca="1">IF(AND(ISNUMBER($H$1797),$B$1132=1),$H$1797,HLOOKUP(INDIRECT(ADDRESS(2,COLUMN())),OFFSET($K$2,0,0,ROW()-1,5),ROW()-1,FALSE))</f>
        <v>0.151944</v>
      </c>
      <c r="I705">
        <f ca="1">IF(AND(ISNUMBER($I$1797),$B$1132=1),$I$1797,HLOOKUP(INDIRECT(ADDRESS(2,COLUMN())),OFFSET($K$2,0,0,ROW()-1,5),ROW()-1,FALSE))</f>
        <v>0.15282299799999999</v>
      </c>
      <c r="J705">
        <f ca="1">IF(AND(ISNUMBER($J$1797),$B$1132=1),$J$1797,HLOOKUP(INDIRECT(ADDRESS(2,COLUMN())),OFFSET($K$2,0,0,ROW()-1,5),ROW()-1,FALSE))</f>
        <v>0.28709899900000002</v>
      </c>
      <c r="K705">
        <f>0.155</f>
        <v>0.155</v>
      </c>
      <c r="L705">
        <f>0.165880005</f>
        <v>0.165880005</v>
      </c>
      <c r="M705">
        <f>0.151944</f>
        <v>0.151944</v>
      </c>
      <c r="N705">
        <f>0.152822998</f>
        <v>0.15282299799999999</v>
      </c>
      <c r="O705">
        <f>0.287098999</f>
        <v>0.28709899900000002</v>
      </c>
    </row>
    <row r="706" spans="1:15" x14ac:dyDescent="0.25">
      <c r="A706" t="str">
        <f>"                    ICL Group Ltd"</f>
        <v xml:space="preserve">                    ICL Group Ltd</v>
      </c>
      <c r="B706" t="str">
        <f>"ICL IT Equity"</f>
        <v>ICL IT Equity</v>
      </c>
      <c r="C706" t="str">
        <f t="shared" si="75"/>
        <v>F0946</v>
      </c>
      <c r="D706" t="str">
        <f t="shared" si="76"/>
        <v>TOTAL_GHG_CO2_EMISSIONS</v>
      </c>
      <c r="E706" t="str">
        <f t="shared" si="77"/>
        <v>Dynamic</v>
      </c>
      <c r="F706" t="str">
        <f ca="1">IF(AND(ISNUMBER($F$1798),$B$1132=1),$F$1798,HLOOKUP(INDIRECT(ADDRESS(2,COLUMN())),OFFSET($K$2,0,0,ROW()-1,5),ROW()-1,FALSE))</f>
        <v/>
      </c>
      <c r="G706">
        <f ca="1">IF(AND(ISNUMBER($G$1798),$B$1132=1),$G$1798,HLOOKUP(INDIRECT(ADDRESS(2,COLUMN())),OFFSET($K$2,0,0,ROW()-1,5),ROW()-1,FALSE))</f>
        <v>2.6242900389999999</v>
      </c>
      <c r="H706">
        <f ca="1">IF(AND(ISNUMBER($H$1798),$B$1132=1),$H$1798,HLOOKUP(INDIRECT(ADDRESS(2,COLUMN())),OFFSET($K$2,0,0,ROW()-1,5),ROW()-1,FALSE))</f>
        <v>2.5640000000000001</v>
      </c>
      <c r="I706">
        <f ca="1">IF(AND(ISNUMBER($I$1798),$B$1132=1),$I$1798,HLOOKUP(INDIRECT(ADDRESS(2,COLUMN())),OFFSET($K$2,0,0,ROW()-1,5),ROW()-1,FALSE))</f>
        <v>3.16426001</v>
      </c>
      <c r="J706">
        <f ca="1">IF(AND(ISNUMBER($J$1798),$B$1132=1),$J$1798,HLOOKUP(INDIRECT(ADDRESS(2,COLUMN())),OFFSET($K$2,0,0,ROW()-1,5),ROW()-1,FALSE))</f>
        <v>3.2286201170000002</v>
      </c>
      <c r="K706" t="str">
        <f>""</f>
        <v/>
      </c>
      <c r="L706">
        <f>2.624290039</f>
        <v>2.6242900389999999</v>
      </c>
      <c r="M706">
        <f>2.564</f>
        <v>2.5640000000000001</v>
      </c>
      <c r="N706">
        <f>3.16426001</f>
        <v>3.16426001</v>
      </c>
      <c r="O706">
        <f>3.228620117</f>
        <v>3.2286201170000002</v>
      </c>
    </row>
    <row r="707" spans="1:15" x14ac:dyDescent="0.25">
      <c r="A707" t="str">
        <f>"                    Intrepid Potash Inc"</f>
        <v xml:space="preserve">                    Intrepid Potash Inc</v>
      </c>
      <c r="B707" t="str">
        <f>"IPI US Equity"</f>
        <v>IPI US Equity</v>
      </c>
      <c r="C707" t="str">
        <f t="shared" si="75"/>
        <v>F0946</v>
      </c>
      <c r="D707" t="str">
        <f t="shared" si="76"/>
        <v>TOTAL_GHG_CO2_EMISSIONS</v>
      </c>
      <c r="E707" t="str">
        <f t="shared" si="77"/>
        <v>Dynamic</v>
      </c>
      <c r="F707" t="str">
        <f ca="1">IF(AND(ISNUMBER($F$1799),$B$1132=1),$F$1799,HLOOKUP(INDIRECT(ADDRESS(2,COLUMN())),OFFSET($K$2,0,0,ROW()-1,5),ROW()-1,FALSE))</f>
        <v/>
      </c>
      <c r="G707" t="str">
        <f ca="1">IF(AND(ISNUMBER($G$1799),$B$1132=1),$G$1799,HLOOKUP(INDIRECT(ADDRESS(2,COLUMN())),OFFSET($K$2,0,0,ROW()-1,5),ROW()-1,FALSE))</f>
        <v/>
      </c>
      <c r="H707" t="str">
        <f ca="1">IF(AND(ISNUMBER($H$1799),$B$1132=1),$H$1799,HLOOKUP(INDIRECT(ADDRESS(2,COLUMN())),OFFSET($K$2,0,0,ROW()-1,5),ROW()-1,FALSE))</f>
        <v/>
      </c>
      <c r="I707" t="str">
        <f ca="1">IF(AND(ISNUMBER($I$1799),$B$1132=1),$I$1799,HLOOKUP(INDIRECT(ADDRESS(2,COLUMN())),OFFSET($K$2,0,0,ROW()-1,5),ROW()-1,FALSE))</f>
        <v/>
      </c>
      <c r="J707" t="str">
        <f ca="1">IF(AND(ISNUMBER($J$1799),$B$1132=1),$J$1799,HLOOKUP(INDIRECT(ADDRESS(2,COLUMN())),OFFSET($K$2,0,0,ROW()-1,5),ROW()-1,FALSE))</f>
        <v/>
      </c>
      <c r="K707" t="str">
        <f>""</f>
        <v/>
      </c>
      <c r="L707" t="str">
        <f>""</f>
        <v/>
      </c>
      <c r="M707" t="str">
        <f>""</f>
        <v/>
      </c>
      <c r="N707" t="str">
        <f>""</f>
        <v/>
      </c>
      <c r="O707" t="str">
        <f>""</f>
        <v/>
      </c>
    </row>
    <row r="708" spans="1:15" x14ac:dyDescent="0.25">
      <c r="A708" t="str">
        <f>"                    Incitec Pivot Ltd"</f>
        <v xml:space="preserve">                    Incitec Pivot Ltd</v>
      </c>
      <c r="B708" t="str">
        <f>"IPL AU Equity"</f>
        <v>IPL AU Equity</v>
      </c>
      <c r="C708" t="str">
        <f t="shared" si="75"/>
        <v>F0946</v>
      </c>
      <c r="D708" t="str">
        <f t="shared" si="76"/>
        <v>TOTAL_GHG_CO2_EMISSIONS</v>
      </c>
      <c r="E708" t="str">
        <f t="shared" si="77"/>
        <v>Dynamic</v>
      </c>
      <c r="F708">
        <f ca="1">IF(AND(ISNUMBER($F$1800),$B$1132=1),$F$1800,HLOOKUP(INDIRECT(ADDRESS(2,COLUMN())),OFFSET($K$2,0,0,ROW()-1,5),ROW()-1,FALSE))</f>
        <v>3.8</v>
      </c>
      <c r="G708">
        <f ca="1">IF(AND(ISNUMBER($G$1800),$B$1132=1),$G$1800,HLOOKUP(INDIRECT(ADDRESS(2,COLUMN())),OFFSET($K$2,0,0,ROW()-1,5),ROW()-1,FALSE))</f>
        <v>3.4120200199999999</v>
      </c>
      <c r="H708">
        <f ca="1">IF(AND(ISNUMBER($H$1800),$B$1132=1),$H$1800,HLOOKUP(INDIRECT(ADDRESS(2,COLUMN())),OFFSET($K$2,0,0,ROW()-1,5),ROW()-1,FALSE))</f>
        <v>3.6167399900000001</v>
      </c>
      <c r="I708">
        <f ca="1">IF(AND(ISNUMBER($I$1800),$B$1132=1),$I$1800,HLOOKUP(INDIRECT(ADDRESS(2,COLUMN())),OFFSET($K$2,0,0,ROW()-1,5),ROW()-1,FALSE))</f>
        <v>3.3875100100000002</v>
      </c>
      <c r="J708">
        <f ca="1">IF(AND(ISNUMBER($J$1800),$B$1132=1),$J$1800,HLOOKUP(INDIRECT(ADDRESS(2,COLUMN())),OFFSET($K$2,0,0,ROW()-1,5),ROW()-1,FALSE))</f>
        <v>3.7513999020000002</v>
      </c>
      <c r="K708">
        <f>3.8</f>
        <v>3.8</v>
      </c>
      <c r="L708">
        <f>3.41202002</f>
        <v>3.4120200199999999</v>
      </c>
      <c r="M708">
        <f>3.61673999</f>
        <v>3.6167399900000001</v>
      </c>
      <c r="N708">
        <f>3.38751001</f>
        <v>3.3875100100000002</v>
      </c>
      <c r="O708">
        <f>3.751399902</f>
        <v>3.7513999020000002</v>
      </c>
    </row>
    <row r="709" spans="1:15" x14ac:dyDescent="0.25">
      <c r="A709" t="str">
        <f>"                    Ishihara Sangyo Kaisha Ltd"</f>
        <v xml:space="preserve">                    Ishihara Sangyo Kaisha Ltd</v>
      </c>
      <c r="B709" t="str">
        <f>"4028 JP Equity"</f>
        <v>4028 JP Equity</v>
      </c>
      <c r="C709" t="str">
        <f t="shared" si="75"/>
        <v>F0946</v>
      </c>
      <c r="D709" t="str">
        <f t="shared" si="76"/>
        <v>TOTAL_GHG_CO2_EMISSIONS</v>
      </c>
      <c r="E709" t="str">
        <f t="shared" si="77"/>
        <v>Dynamic</v>
      </c>
      <c r="F709" t="str">
        <f ca="1">IF(AND(ISNUMBER($F$1801),$B$1132=1),$F$1801,HLOOKUP(INDIRECT(ADDRESS(2,COLUMN())),OFFSET($K$2,0,0,ROW()-1,5),ROW()-1,FALSE))</f>
        <v/>
      </c>
      <c r="G709">
        <f ca="1">IF(AND(ISNUMBER($G$1801),$B$1132=1),$G$1801,HLOOKUP(INDIRECT(ADDRESS(2,COLUMN())),OFFSET($K$2,0,0,ROW()-1,5),ROW()-1,FALSE))</f>
        <v>0.50800000000000001</v>
      </c>
      <c r="H709">
        <f ca="1">IF(AND(ISNUMBER($H$1801),$B$1132=1),$H$1801,HLOOKUP(INDIRECT(ADDRESS(2,COLUMN())),OFFSET($K$2,0,0,ROW()-1,5),ROW()-1,FALSE))</f>
        <v>0.442</v>
      </c>
      <c r="I709">
        <f ca="1">IF(AND(ISNUMBER($I$1801),$B$1132=1),$I$1801,HLOOKUP(INDIRECT(ADDRESS(2,COLUMN())),OFFSET($K$2,0,0,ROW()-1,5),ROW()-1,FALSE))</f>
        <v>0.48899999999999999</v>
      </c>
      <c r="J709" t="str">
        <f ca="1">IF(AND(ISNUMBER($J$1801),$B$1132=1),$J$1801,HLOOKUP(INDIRECT(ADDRESS(2,COLUMN())),OFFSET($K$2,0,0,ROW()-1,5),ROW()-1,FALSE))</f>
        <v/>
      </c>
      <c r="K709" t="str">
        <f>""</f>
        <v/>
      </c>
      <c r="L709">
        <f>0.508</f>
        <v>0.50800000000000001</v>
      </c>
      <c r="M709">
        <f>0.442</f>
        <v>0.442</v>
      </c>
      <c r="N709">
        <f>0.489</f>
        <v>0.48899999999999999</v>
      </c>
      <c r="O709" t="str">
        <f>""</f>
        <v/>
      </c>
    </row>
    <row r="710" spans="1:15" x14ac:dyDescent="0.25">
      <c r="A710" t="str">
        <f>"                    Jordan Phosphate Mines"</f>
        <v xml:space="preserve">                    Jordan Phosphate Mines</v>
      </c>
      <c r="B710" t="str">
        <f>"JOPH JR Equity"</f>
        <v>JOPH JR Equity</v>
      </c>
      <c r="C710" t="str">
        <f t="shared" si="75"/>
        <v>F0946</v>
      </c>
      <c r="D710" t="str">
        <f t="shared" si="76"/>
        <v>TOTAL_GHG_CO2_EMISSIONS</v>
      </c>
      <c r="E710" t="str">
        <f t="shared" si="77"/>
        <v>Dynamic</v>
      </c>
      <c r="F710" t="str">
        <f ca="1">IF(AND(ISNUMBER($F$1802),$B$1132=1),$F$1802,HLOOKUP(INDIRECT(ADDRESS(2,COLUMN())),OFFSET($K$2,0,0,ROW()-1,5),ROW()-1,FALSE))</f>
        <v/>
      </c>
      <c r="G710" t="str">
        <f ca="1">IF(AND(ISNUMBER($G$1802),$B$1132=1),$G$1802,HLOOKUP(INDIRECT(ADDRESS(2,COLUMN())),OFFSET($K$2,0,0,ROW()-1,5),ROW()-1,FALSE))</f>
        <v/>
      </c>
      <c r="H710" t="str">
        <f ca="1">IF(AND(ISNUMBER($H$1802),$B$1132=1),$H$1802,HLOOKUP(INDIRECT(ADDRESS(2,COLUMN())),OFFSET($K$2,0,0,ROW()-1,5),ROW()-1,FALSE))</f>
        <v/>
      </c>
      <c r="I710" t="str">
        <f ca="1">IF(AND(ISNUMBER($I$1802),$B$1132=1),$I$1802,HLOOKUP(INDIRECT(ADDRESS(2,COLUMN())),OFFSET($K$2,0,0,ROW()-1,5),ROW()-1,FALSE))</f>
        <v/>
      </c>
      <c r="J710" t="str">
        <f ca="1">IF(AND(ISNUMBER($J$1802),$B$1132=1),$J$1802,HLOOKUP(INDIRECT(ADDRESS(2,COLUMN())),OFFSET($K$2,0,0,ROW()-1,5),ROW()-1,FALSE))</f>
        <v/>
      </c>
      <c r="K710" t="str">
        <f>""</f>
        <v/>
      </c>
      <c r="L710" t="str">
        <f>""</f>
        <v/>
      </c>
      <c r="M710" t="str">
        <f>""</f>
        <v/>
      </c>
      <c r="N710" t="str">
        <f>""</f>
        <v/>
      </c>
      <c r="O710" t="str">
        <f>""</f>
        <v/>
      </c>
    </row>
    <row r="711" spans="1:15" x14ac:dyDescent="0.25">
      <c r="A711" t="str">
        <f>"                    K+S AG"</f>
        <v xml:space="preserve">                    K+S AG</v>
      </c>
      <c r="B711" t="str">
        <f>"SDF GR Equity"</f>
        <v>SDF GR Equity</v>
      </c>
      <c r="C711" t="str">
        <f t="shared" si="75"/>
        <v>F0946</v>
      </c>
      <c r="D711" t="str">
        <f t="shared" si="76"/>
        <v>TOTAL_GHG_CO2_EMISSIONS</v>
      </c>
      <c r="E711" t="str">
        <f t="shared" si="77"/>
        <v>Dynamic</v>
      </c>
      <c r="F711">
        <f ca="1">IF(AND(ISNUMBER($F$1803),$B$1132=1),$F$1803,HLOOKUP(INDIRECT(ADDRESS(2,COLUMN())),OFFSET($K$2,0,0,ROW()-1,5),ROW()-1,FALSE))</f>
        <v>2</v>
      </c>
      <c r="G711">
        <f ca="1">IF(AND(ISNUMBER($G$1803),$B$1132=1),$G$1803,HLOOKUP(INDIRECT(ADDRESS(2,COLUMN())),OFFSET($K$2,0,0,ROW()-1,5),ROW()-1,FALSE))</f>
        <v>2.2000000000000002</v>
      </c>
      <c r="H711">
        <f ca="1">IF(AND(ISNUMBER($H$1803),$B$1132=1),$H$1803,HLOOKUP(INDIRECT(ADDRESS(2,COLUMN())),OFFSET($K$2,0,0,ROW()-1,5),ROW()-1,FALSE))</f>
        <v>2.6</v>
      </c>
      <c r="I711">
        <f ca="1">IF(AND(ISNUMBER($I$1803),$B$1132=1),$I$1803,HLOOKUP(INDIRECT(ADDRESS(2,COLUMN())),OFFSET($K$2,0,0,ROW()-1,5),ROW()-1,FALSE))</f>
        <v>2.6</v>
      </c>
      <c r="J711">
        <f ca="1">IF(AND(ISNUMBER($J$1803),$B$1132=1),$J$1803,HLOOKUP(INDIRECT(ADDRESS(2,COLUMN())),OFFSET($K$2,0,0,ROW()-1,5),ROW()-1,FALSE))</f>
        <v>2.6</v>
      </c>
      <c r="K711">
        <f>2</f>
        <v>2</v>
      </c>
      <c r="L711">
        <f>2.2</f>
        <v>2.2000000000000002</v>
      </c>
      <c r="M711">
        <f>2.6</f>
        <v>2.6</v>
      </c>
      <c r="N711">
        <f>2.6</f>
        <v>2.6</v>
      </c>
      <c r="O711">
        <f>2.6</f>
        <v>2.6</v>
      </c>
    </row>
    <row r="712" spans="1:15" x14ac:dyDescent="0.25">
      <c r="A712" t="str">
        <f>"                    KWS Saat SE &amp; Co KGaA"</f>
        <v xml:space="preserve">                    KWS Saat SE &amp; Co KGaA</v>
      </c>
      <c r="B712" t="str">
        <f>"KWS GR Equity"</f>
        <v>KWS GR Equity</v>
      </c>
      <c r="C712" t="str">
        <f t="shared" si="75"/>
        <v>F0946</v>
      </c>
      <c r="D712" t="str">
        <f t="shared" si="76"/>
        <v>TOTAL_GHG_CO2_EMISSIONS</v>
      </c>
      <c r="E712" t="str">
        <f t="shared" si="77"/>
        <v>Dynamic</v>
      </c>
      <c r="F712" t="str">
        <f ca="1">IF(AND(ISNUMBER($F$1804),$B$1132=1),$F$1804,HLOOKUP(INDIRECT(ADDRESS(2,COLUMN())),OFFSET($K$2,0,0,ROW()-1,5),ROW()-1,FALSE))</f>
        <v/>
      </c>
      <c r="G712" t="str">
        <f ca="1">IF(AND(ISNUMBER($G$1804),$B$1132=1),$G$1804,HLOOKUP(INDIRECT(ADDRESS(2,COLUMN())),OFFSET($K$2,0,0,ROW()-1,5),ROW()-1,FALSE))</f>
        <v/>
      </c>
      <c r="H712">
        <f ca="1">IF(AND(ISNUMBER($H$1804),$B$1132=1),$H$1804,HLOOKUP(INDIRECT(ADDRESS(2,COLUMN())),OFFSET($K$2,0,0,ROW()-1,5),ROW()-1,FALSE))</f>
        <v>6.4455001999999997E-2</v>
      </c>
      <c r="I712" t="str">
        <f ca="1">IF(AND(ISNUMBER($I$1804),$B$1132=1),$I$1804,HLOOKUP(INDIRECT(ADDRESS(2,COLUMN())),OFFSET($K$2,0,0,ROW()-1,5),ROW()-1,FALSE))</f>
        <v/>
      </c>
      <c r="J712" t="str">
        <f ca="1">IF(AND(ISNUMBER($J$1804),$B$1132=1),$J$1804,HLOOKUP(INDIRECT(ADDRESS(2,COLUMN())),OFFSET($K$2,0,0,ROW()-1,5),ROW()-1,FALSE))</f>
        <v/>
      </c>
      <c r="K712" t="str">
        <f>""</f>
        <v/>
      </c>
      <c r="L712" t="str">
        <f>""</f>
        <v/>
      </c>
      <c r="M712">
        <f>0.064455002</f>
        <v>6.4455001999999997E-2</v>
      </c>
      <c r="N712" t="str">
        <f>""</f>
        <v/>
      </c>
      <c r="O712" t="str">
        <f>""</f>
        <v/>
      </c>
    </row>
    <row r="713" spans="1:15" x14ac:dyDescent="0.25">
      <c r="A713" t="str">
        <f>"                    Kingenta Ecological Engineerin"</f>
        <v xml:space="preserve">                    Kingenta Ecological Engineerin</v>
      </c>
      <c r="B713" t="str">
        <f>"002470 CH Equity"</f>
        <v>002470 CH Equity</v>
      </c>
      <c r="C713" t="str">
        <f t="shared" si="75"/>
        <v>F0946</v>
      </c>
      <c r="D713" t="str">
        <f t="shared" si="76"/>
        <v>TOTAL_GHG_CO2_EMISSIONS</v>
      </c>
      <c r="E713" t="str">
        <f t="shared" si="77"/>
        <v>Dynamic</v>
      </c>
      <c r="F713" t="str">
        <f ca="1">IF(AND(ISNUMBER($F$1805),$B$1132=1),$F$1805,HLOOKUP(INDIRECT(ADDRESS(2,COLUMN())),OFFSET($K$2,0,0,ROW()-1,5),ROW()-1,FALSE))</f>
        <v/>
      </c>
      <c r="G713" t="str">
        <f ca="1">IF(AND(ISNUMBER($G$1805),$B$1132=1),$G$1805,HLOOKUP(INDIRECT(ADDRESS(2,COLUMN())),OFFSET($K$2,0,0,ROW()-1,5),ROW()-1,FALSE))</f>
        <v/>
      </c>
      <c r="H713" t="str">
        <f ca="1">IF(AND(ISNUMBER($H$1805),$B$1132=1),$H$1805,HLOOKUP(INDIRECT(ADDRESS(2,COLUMN())),OFFSET($K$2,0,0,ROW()-1,5),ROW()-1,FALSE))</f>
        <v/>
      </c>
      <c r="I713" t="str">
        <f ca="1">IF(AND(ISNUMBER($I$1805),$B$1132=1),$I$1805,HLOOKUP(INDIRECT(ADDRESS(2,COLUMN())),OFFSET($K$2,0,0,ROW()-1,5),ROW()-1,FALSE))</f>
        <v/>
      </c>
      <c r="J713" t="str">
        <f ca="1">IF(AND(ISNUMBER($J$1805),$B$1132=1),$J$1805,HLOOKUP(INDIRECT(ADDRESS(2,COLUMN())),OFFSET($K$2,0,0,ROW()-1,5),ROW()-1,FALSE))</f>
        <v/>
      </c>
      <c r="K713" t="str">
        <f>""</f>
        <v/>
      </c>
      <c r="L713" t="str">
        <f>""</f>
        <v/>
      </c>
      <c r="M713" t="str">
        <f>""</f>
        <v/>
      </c>
      <c r="N713" t="str">
        <f>""</f>
        <v/>
      </c>
      <c r="O713" t="str">
        <f>""</f>
        <v/>
      </c>
    </row>
    <row r="714" spans="1:15" x14ac:dyDescent="0.25">
      <c r="A714" t="str">
        <f>"                    Lier Chemical Co Ltd"</f>
        <v xml:space="preserve">                    Lier Chemical Co Ltd</v>
      </c>
      <c r="B714" t="str">
        <f>"002258 CH Equity"</f>
        <v>002258 CH Equity</v>
      </c>
      <c r="C714" t="str">
        <f t="shared" si="75"/>
        <v>F0946</v>
      </c>
      <c r="D714" t="str">
        <f t="shared" si="76"/>
        <v>TOTAL_GHG_CO2_EMISSIONS</v>
      </c>
      <c r="E714" t="str">
        <f t="shared" si="77"/>
        <v>Dynamic</v>
      </c>
      <c r="F714" t="str">
        <f ca="1">IF(AND(ISNUMBER($F$1806),$B$1132=1),$F$1806,HLOOKUP(INDIRECT(ADDRESS(2,COLUMN())),OFFSET($K$2,0,0,ROW()-1,5),ROW()-1,FALSE))</f>
        <v/>
      </c>
      <c r="G714" t="str">
        <f ca="1">IF(AND(ISNUMBER($G$1806),$B$1132=1),$G$1806,HLOOKUP(INDIRECT(ADDRESS(2,COLUMN())),OFFSET($K$2,0,0,ROW()-1,5),ROW()-1,FALSE))</f>
        <v/>
      </c>
      <c r="H714" t="str">
        <f ca="1">IF(AND(ISNUMBER($H$1806),$B$1132=1),$H$1806,HLOOKUP(INDIRECT(ADDRESS(2,COLUMN())),OFFSET($K$2,0,0,ROW()-1,5),ROW()-1,FALSE))</f>
        <v/>
      </c>
      <c r="I714" t="str">
        <f ca="1">IF(AND(ISNUMBER($I$1806),$B$1132=1),$I$1806,HLOOKUP(INDIRECT(ADDRESS(2,COLUMN())),OFFSET($K$2,0,0,ROW()-1,5),ROW()-1,FALSE))</f>
        <v/>
      </c>
      <c r="J714" t="str">
        <f ca="1">IF(AND(ISNUMBER($J$1806),$B$1132=1),$J$1806,HLOOKUP(INDIRECT(ADDRESS(2,COLUMN())),OFFSET($K$2,0,0,ROW()-1,5),ROW()-1,FALSE))</f>
        <v/>
      </c>
      <c r="K714" t="str">
        <f>""</f>
        <v/>
      </c>
      <c r="L714" t="str">
        <f>""</f>
        <v/>
      </c>
      <c r="M714" t="str">
        <f>""</f>
        <v/>
      </c>
      <c r="N714" t="str">
        <f>""</f>
        <v/>
      </c>
      <c r="O714" t="str">
        <f>""</f>
        <v/>
      </c>
    </row>
    <row r="715" spans="1:15" x14ac:dyDescent="0.25">
      <c r="A715" t="str">
        <f>"                    Mosaic Co/The"</f>
        <v xml:space="preserve">                    Mosaic Co/The</v>
      </c>
      <c r="B715" t="str">
        <f>"MOS US Equity"</f>
        <v>MOS US Equity</v>
      </c>
      <c r="C715" t="str">
        <f t="shared" si="75"/>
        <v>F0946</v>
      </c>
      <c r="D715" t="str">
        <f t="shared" si="76"/>
        <v>TOTAL_GHG_CO2_EMISSIONS</v>
      </c>
      <c r="E715" t="str">
        <f t="shared" si="77"/>
        <v>Dynamic</v>
      </c>
      <c r="F715" t="str">
        <f ca="1">IF(AND(ISNUMBER($F$1807),$B$1132=1),$F$1807,HLOOKUP(INDIRECT(ADDRESS(2,COLUMN())),OFFSET($K$2,0,0,ROW()-1,5),ROW()-1,FALSE))</f>
        <v/>
      </c>
      <c r="G715">
        <f ca="1">IF(AND(ISNUMBER($G$1807),$B$1132=1),$G$1807,HLOOKUP(INDIRECT(ADDRESS(2,COLUMN())),OFFSET($K$2,0,0,ROW()-1,5),ROW()-1,FALSE))</f>
        <v>4.5344399409999996</v>
      </c>
      <c r="H715">
        <f ca="1">IF(AND(ISNUMBER($H$1807),$B$1132=1),$H$1807,HLOOKUP(INDIRECT(ADDRESS(2,COLUMN())),OFFSET($K$2,0,0,ROW()-1,5),ROW()-1,FALSE))</f>
        <v>4.9199902340000001</v>
      </c>
      <c r="I715">
        <f ca="1">IF(AND(ISNUMBER($I$1807),$B$1132=1),$I$1807,HLOOKUP(INDIRECT(ADDRESS(2,COLUMN())),OFFSET($K$2,0,0,ROW()-1,5),ROW()-1,FALSE))</f>
        <v>4.5839599609999997</v>
      </c>
      <c r="J715">
        <f ca="1">IF(AND(ISNUMBER($J$1807),$B$1132=1),$J$1807,HLOOKUP(INDIRECT(ADDRESS(2,COLUMN())),OFFSET($K$2,0,0,ROW()-1,5),ROW()-1,FALSE))</f>
        <v>5.4404399410000002</v>
      </c>
      <c r="K715" t="str">
        <f>""</f>
        <v/>
      </c>
      <c r="L715">
        <f>4.534439941</f>
        <v>4.5344399409999996</v>
      </c>
      <c r="M715">
        <f>4.919990234</f>
        <v>4.9199902340000001</v>
      </c>
      <c r="N715">
        <f>4.583959961</f>
        <v>4.5839599609999997</v>
      </c>
      <c r="O715">
        <f>5.440439941</f>
        <v>5.4404399410000002</v>
      </c>
    </row>
    <row r="716" spans="1:15" x14ac:dyDescent="0.25">
      <c r="A716" t="str">
        <f>"                    National Fertilizers Ltd"</f>
        <v xml:space="preserve">                    National Fertilizers Ltd</v>
      </c>
      <c r="B716" t="str">
        <f>"NFL IN Equity"</f>
        <v>NFL IN Equity</v>
      </c>
      <c r="C716" t="str">
        <f t="shared" si="75"/>
        <v>F0946</v>
      </c>
      <c r="D716" t="str">
        <f t="shared" si="76"/>
        <v>TOTAL_GHG_CO2_EMISSIONS</v>
      </c>
      <c r="E716" t="str">
        <f t="shared" si="77"/>
        <v>Dynamic</v>
      </c>
      <c r="F716" t="str">
        <f ca="1">IF(AND(ISNUMBER($F$1808),$B$1132=1),$F$1808,HLOOKUP(INDIRECT(ADDRESS(2,COLUMN())),OFFSET($K$2,0,0,ROW()-1,5),ROW()-1,FALSE))</f>
        <v/>
      </c>
      <c r="G716" t="str">
        <f ca="1">IF(AND(ISNUMBER($G$1808),$B$1132=1),$G$1808,HLOOKUP(INDIRECT(ADDRESS(2,COLUMN())),OFFSET($K$2,0,0,ROW()-1,5),ROW()-1,FALSE))</f>
        <v/>
      </c>
      <c r="H716" t="str">
        <f ca="1">IF(AND(ISNUMBER($H$1808),$B$1132=1),$H$1808,HLOOKUP(INDIRECT(ADDRESS(2,COLUMN())),OFFSET($K$2,0,0,ROW()-1,5),ROW()-1,FALSE))</f>
        <v/>
      </c>
      <c r="I716" t="str">
        <f ca="1">IF(AND(ISNUMBER($I$1808),$B$1132=1),$I$1808,HLOOKUP(INDIRECT(ADDRESS(2,COLUMN())),OFFSET($K$2,0,0,ROW()-1,5),ROW()-1,FALSE))</f>
        <v/>
      </c>
      <c r="J716" t="str">
        <f ca="1">IF(AND(ISNUMBER($J$1808),$B$1132=1),$J$1808,HLOOKUP(INDIRECT(ADDRESS(2,COLUMN())),OFFSET($K$2,0,0,ROW()-1,5),ROW()-1,FALSE))</f>
        <v/>
      </c>
      <c r="K716" t="str">
        <f>""</f>
        <v/>
      </c>
      <c r="L716" t="str">
        <f>""</f>
        <v/>
      </c>
      <c r="M716" t="str">
        <f>""</f>
        <v/>
      </c>
      <c r="N716" t="str">
        <f>""</f>
        <v/>
      </c>
      <c r="O716" t="str">
        <f>""</f>
        <v/>
      </c>
    </row>
    <row r="717" spans="1:15" x14ac:dyDescent="0.25">
      <c r="A717" t="str">
        <f>"                    Nufarm Ltd"</f>
        <v xml:space="preserve">                    Nufarm Ltd</v>
      </c>
      <c r="B717" t="str">
        <f>"NUF AU Equity"</f>
        <v>NUF AU Equity</v>
      </c>
      <c r="C717" t="str">
        <f t="shared" si="75"/>
        <v>F0946</v>
      </c>
      <c r="D717" t="str">
        <f t="shared" si="76"/>
        <v>TOTAL_GHG_CO2_EMISSIONS</v>
      </c>
      <c r="E717" t="str">
        <f t="shared" si="77"/>
        <v>Dynamic</v>
      </c>
      <c r="F717" t="str">
        <f ca="1">IF(AND(ISNUMBER($F$1809),$B$1132=1),$F$1809,HLOOKUP(INDIRECT(ADDRESS(2,COLUMN())),OFFSET($K$2,0,0,ROW()-1,5),ROW()-1,FALSE))</f>
        <v/>
      </c>
      <c r="G717">
        <f ca="1">IF(AND(ISNUMBER($G$1809),$B$1132=1),$G$1809,HLOOKUP(INDIRECT(ADDRESS(2,COLUMN())),OFFSET($K$2,0,0,ROW()-1,5),ROW()-1,FALSE))</f>
        <v>8.5637001000000004E-2</v>
      </c>
      <c r="H717">
        <f ca="1">IF(AND(ISNUMBER($H$1809),$B$1132=1),$H$1809,HLOOKUP(INDIRECT(ADDRESS(2,COLUMN())),OFFSET($K$2,0,0,ROW()-1,5),ROW()-1,FALSE))</f>
        <v>9.1605003000000004E-2</v>
      </c>
      <c r="I717">
        <f ca="1">IF(AND(ISNUMBER($I$1809),$B$1132=1),$I$1809,HLOOKUP(INDIRECT(ADDRESS(2,COLUMN())),OFFSET($K$2,0,0,ROW()-1,5),ROW()-1,FALSE))</f>
        <v>9.4012999999999999E-2</v>
      </c>
      <c r="J717">
        <f ca="1">IF(AND(ISNUMBER($J$1809),$B$1132=1),$J$1809,HLOOKUP(INDIRECT(ADDRESS(2,COLUMN())),OFFSET($K$2,0,0,ROW()-1,5),ROW()-1,FALSE))</f>
        <v>0.10583100099999999</v>
      </c>
      <c r="K717" t="str">
        <f>""</f>
        <v/>
      </c>
      <c r="L717">
        <f>0.085637001</f>
        <v>8.5637001000000004E-2</v>
      </c>
      <c r="M717">
        <f>0.091605003</f>
        <v>9.1605003000000004E-2</v>
      </c>
      <c r="N717">
        <f>0.094013</f>
        <v>9.4012999999999999E-2</v>
      </c>
      <c r="O717">
        <f>0.105831001</f>
        <v>0.10583100099999999</v>
      </c>
    </row>
    <row r="718" spans="1:15" x14ac:dyDescent="0.25">
      <c r="A718" t="str">
        <f>"                    Nippon Soda Co Ltd"</f>
        <v xml:space="preserve">                    Nippon Soda Co Ltd</v>
      </c>
      <c r="B718" t="str">
        <f>"4041 JP Equity"</f>
        <v>4041 JP Equity</v>
      </c>
      <c r="C718" t="str">
        <f t="shared" si="75"/>
        <v>F0946</v>
      </c>
      <c r="D718" t="str">
        <f t="shared" si="76"/>
        <v>TOTAL_GHG_CO2_EMISSIONS</v>
      </c>
      <c r="E718" t="str">
        <f t="shared" si="77"/>
        <v>Dynamic</v>
      </c>
      <c r="F718" t="str">
        <f ca="1">IF(AND(ISNUMBER($F$1810),$B$1132=1),$F$1810,HLOOKUP(INDIRECT(ADDRESS(2,COLUMN())),OFFSET($K$2,0,0,ROW()-1,5),ROW()-1,FALSE))</f>
        <v/>
      </c>
      <c r="G718" t="str">
        <f ca="1">IF(AND(ISNUMBER($G$1810),$B$1132=1),$G$1810,HLOOKUP(INDIRECT(ADDRESS(2,COLUMN())),OFFSET($K$2,0,0,ROW()-1,5),ROW()-1,FALSE))</f>
        <v/>
      </c>
      <c r="H718" t="str">
        <f ca="1">IF(AND(ISNUMBER($H$1810),$B$1132=1),$H$1810,HLOOKUP(INDIRECT(ADDRESS(2,COLUMN())),OFFSET($K$2,0,0,ROW()-1,5),ROW()-1,FALSE))</f>
        <v/>
      </c>
      <c r="I718" t="str">
        <f ca="1">IF(AND(ISNUMBER($I$1810),$B$1132=1),$I$1810,HLOOKUP(INDIRECT(ADDRESS(2,COLUMN())),OFFSET($K$2,0,0,ROW()-1,5),ROW()-1,FALSE))</f>
        <v/>
      </c>
      <c r="J718" t="str">
        <f ca="1">IF(AND(ISNUMBER($J$1810),$B$1132=1),$J$1810,HLOOKUP(INDIRECT(ADDRESS(2,COLUMN())),OFFSET($K$2,0,0,ROW()-1,5),ROW()-1,FALSE))</f>
        <v/>
      </c>
      <c r="K718" t="str">
        <f>""</f>
        <v/>
      </c>
      <c r="L718" t="str">
        <f>""</f>
        <v/>
      </c>
      <c r="M718" t="str">
        <f>""</f>
        <v/>
      </c>
      <c r="N718" t="str">
        <f>""</f>
        <v/>
      </c>
      <c r="O718" t="str">
        <f>""</f>
        <v/>
      </c>
    </row>
    <row r="719" spans="1:15" x14ac:dyDescent="0.25">
      <c r="A719" t="str">
        <f>"                    Nutrien Ltd"</f>
        <v xml:space="preserve">                    Nutrien Ltd</v>
      </c>
      <c r="B719" t="str">
        <f>"NTR US Equity"</f>
        <v>NTR US Equity</v>
      </c>
      <c r="C719" t="str">
        <f t="shared" si="75"/>
        <v>F0946</v>
      </c>
      <c r="D719" t="str">
        <f t="shared" si="76"/>
        <v>TOTAL_GHG_CO2_EMISSIONS</v>
      </c>
      <c r="E719" t="str">
        <f t="shared" si="77"/>
        <v>Dynamic</v>
      </c>
      <c r="F719">
        <f ca="1">IF(AND(ISNUMBER($F$1811),$B$1132=1),$F$1811,HLOOKUP(INDIRECT(ADDRESS(2,COLUMN())),OFFSET($K$2,0,0,ROW()-1,5),ROW()-1,FALSE))</f>
        <v>12.76</v>
      </c>
      <c r="G719">
        <f ca="1">IF(AND(ISNUMBER($G$1811),$B$1132=1),$G$1811,HLOOKUP(INDIRECT(ADDRESS(2,COLUMN())),OFFSET($K$2,0,0,ROW()-1,5),ROW()-1,FALSE))</f>
        <v>13.75</v>
      </c>
      <c r="H719">
        <f ca="1">IF(AND(ISNUMBER($H$1811),$B$1132=1),$H$1811,HLOOKUP(INDIRECT(ADDRESS(2,COLUMN())),OFFSET($K$2,0,0,ROW()-1,5),ROW()-1,FALSE))</f>
        <v>13.16</v>
      </c>
      <c r="I719">
        <f ca="1">IF(AND(ISNUMBER($I$1811),$B$1132=1),$I$1811,HLOOKUP(INDIRECT(ADDRESS(2,COLUMN())),OFFSET($K$2,0,0,ROW()-1,5),ROW()-1,FALSE))</f>
        <v>13.38</v>
      </c>
      <c r="J719">
        <f ca="1">IF(AND(ISNUMBER($J$1811),$B$1132=1),$J$1811,HLOOKUP(INDIRECT(ADDRESS(2,COLUMN())),OFFSET($K$2,0,0,ROW()-1,5),ROW()-1,FALSE))</f>
        <v>14.24</v>
      </c>
      <c r="K719">
        <f>12.76</f>
        <v>12.76</v>
      </c>
      <c r="L719">
        <f>13.75</f>
        <v>13.75</v>
      </c>
      <c r="M719">
        <f>13.16</f>
        <v>13.16</v>
      </c>
      <c r="N719">
        <f>13.38</f>
        <v>13.38</v>
      </c>
      <c r="O719">
        <f>14.24</f>
        <v>14.24</v>
      </c>
    </row>
    <row r="720" spans="1:15" x14ac:dyDescent="0.25">
      <c r="A720" t="str">
        <f>"                    Origin Agritech Ltd"</f>
        <v xml:space="preserve">                    Origin Agritech Ltd</v>
      </c>
      <c r="B720" t="str">
        <f>"SEED US Equity"</f>
        <v>SEED US Equity</v>
      </c>
      <c r="C720" t="str">
        <f t="shared" si="75"/>
        <v>F0946</v>
      </c>
      <c r="D720" t="str">
        <f t="shared" si="76"/>
        <v>TOTAL_GHG_CO2_EMISSIONS</v>
      </c>
      <c r="E720" t="str">
        <f t="shared" si="77"/>
        <v>Dynamic</v>
      </c>
      <c r="F720" t="str">
        <f ca="1">IF(AND(ISNUMBER($F$1812),$B$1132=1),$F$1812,HLOOKUP(INDIRECT(ADDRESS(2,COLUMN())),OFFSET($K$2,0,0,ROW()-1,5),ROW()-1,FALSE))</f>
        <v/>
      </c>
      <c r="G720" t="str">
        <f ca="1">IF(AND(ISNUMBER($G$1812),$B$1132=1),$G$1812,HLOOKUP(INDIRECT(ADDRESS(2,COLUMN())),OFFSET($K$2,0,0,ROW()-1,5),ROW()-1,FALSE))</f>
        <v/>
      </c>
      <c r="H720" t="str">
        <f ca="1">IF(AND(ISNUMBER($H$1812),$B$1132=1),$H$1812,HLOOKUP(INDIRECT(ADDRESS(2,COLUMN())),OFFSET($K$2,0,0,ROW()-1,5),ROW()-1,FALSE))</f>
        <v/>
      </c>
      <c r="I720" t="str">
        <f ca="1">IF(AND(ISNUMBER($I$1812),$B$1132=1),$I$1812,HLOOKUP(INDIRECT(ADDRESS(2,COLUMN())),OFFSET($K$2,0,0,ROW()-1,5),ROW()-1,FALSE))</f>
        <v/>
      </c>
      <c r="J720" t="str">
        <f ca="1">IF(AND(ISNUMBER($J$1812),$B$1132=1),$J$1812,HLOOKUP(INDIRECT(ADDRESS(2,COLUMN())),OFFSET($K$2,0,0,ROW()-1,5),ROW()-1,FALSE))</f>
        <v/>
      </c>
      <c r="K720" t="str">
        <f>""</f>
        <v/>
      </c>
      <c r="L720" t="str">
        <f>""</f>
        <v/>
      </c>
      <c r="M720" t="str">
        <f>""</f>
        <v/>
      </c>
      <c r="N720" t="str">
        <f>""</f>
        <v/>
      </c>
      <c r="O720" t="str">
        <f>""</f>
        <v/>
      </c>
    </row>
    <row r="721" spans="1:15" x14ac:dyDescent="0.25">
      <c r="A721" t="str">
        <f>"                    PhosAgro PJSC"</f>
        <v xml:space="preserve">                    PhosAgro PJSC</v>
      </c>
      <c r="B721" t="str">
        <f>"PHOR RM Equity"</f>
        <v>PHOR RM Equity</v>
      </c>
      <c r="C721" t="str">
        <f t="shared" si="75"/>
        <v>F0946</v>
      </c>
      <c r="D721" t="str">
        <f t="shared" si="76"/>
        <v>TOTAL_GHG_CO2_EMISSIONS</v>
      </c>
      <c r="E721" t="str">
        <f t="shared" si="77"/>
        <v>Dynamic</v>
      </c>
      <c r="F721" t="str">
        <f ca="1">IF(AND(ISNUMBER($F$1813),$B$1132=1),$F$1813,HLOOKUP(INDIRECT(ADDRESS(2,COLUMN())),OFFSET($K$2,0,0,ROW()-1,5),ROW()-1,FALSE))</f>
        <v/>
      </c>
      <c r="G721">
        <f ca="1">IF(AND(ISNUMBER($G$1813),$B$1132=1),$G$1813,HLOOKUP(INDIRECT(ADDRESS(2,COLUMN())),OFFSET($K$2,0,0,ROW()-1,5),ROW()-1,FALSE))</f>
        <v>5.5691000979999998</v>
      </c>
      <c r="H721">
        <f ca="1">IF(AND(ISNUMBER($H$1813),$B$1132=1),$H$1813,HLOOKUP(INDIRECT(ADDRESS(2,COLUMN())),OFFSET($K$2,0,0,ROW()-1,5),ROW()-1,FALSE))</f>
        <v>5.9606801760000003</v>
      </c>
      <c r="I721">
        <f ca="1">IF(AND(ISNUMBER($I$1813),$B$1132=1),$I$1813,HLOOKUP(INDIRECT(ADDRESS(2,COLUMN())),OFFSET($K$2,0,0,ROW()-1,5),ROW()-1,FALSE))</f>
        <v>5.8477402339999998</v>
      </c>
      <c r="J721">
        <f ca="1">IF(AND(ISNUMBER($J$1813),$B$1132=1),$J$1813,HLOOKUP(INDIRECT(ADDRESS(2,COLUMN())),OFFSET($K$2,0,0,ROW()-1,5),ROW()-1,FALSE))</f>
        <v>4.5123701169999997</v>
      </c>
      <c r="K721" t="str">
        <f>""</f>
        <v/>
      </c>
      <c r="L721">
        <f>5.569100098</f>
        <v>5.5691000979999998</v>
      </c>
      <c r="M721">
        <f>5.960680176</f>
        <v>5.9606801760000003</v>
      </c>
      <c r="N721">
        <f>5.847740234</f>
        <v>5.8477402339999998</v>
      </c>
      <c r="O721">
        <f>4.512370117</f>
        <v>4.5123701169999997</v>
      </c>
    </row>
    <row r="722" spans="1:15" x14ac:dyDescent="0.25">
      <c r="A722" t="str">
        <f>"                    Qinghai Salt Lake Industry Co"</f>
        <v xml:space="preserve">                    Qinghai Salt Lake Industry Co</v>
      </c>
      <c r="B722" t="str">
        <f>"000792 CH Equity"</f>
        <v>000792 CH Equity</v>
      </c>
      <c r="C722" t="str">
        <f t="shared" si="75"/>
        <v>F0946</v>
      </c>
      <c r="D722" t="str">
        <f t="shared" si="76"/>
        <v>TOTAL_GHG_CO2_EMISSIONS</v>
      </c>
      <c r="E722" t="str">
        <f t="shared" si="77"/>
        <v>Dynamic</v>
      </c>
      <c r="F722" t="str">
        <f ca="1">IF(AND(ISNUMBER($F$1814),$B$1132=1),$F$1814,HLOOKUP(INDIRECT(ADDRESS(2,COLUMN())),OFFSET($K$2,0,0,ROW()-1,5),ROW()-1,FALSE))</f>
        <v/>
      </c>
      <c r="G722" t="str">
        <f ca="1">IF(AND(ISNUMBER($G$1814),$B$1132=1),$G$1814,HLOOKUP(INDIRECT(ADDRESS(2,COLUMN())),OFFSET($K$2,0,0,ROW()-1,5),ROW()-1,FALSE))</f>
        <v/>
      </c>
      <c r="H722" t="str">
        <f ca="1">IF(AND(ISNUMBER($H$1814),$B$1132=1),$H$1814,HLOOKUP(INDIRECT(ADDRESS(2,COLUMN())),OFFSET($K$2,0,0,ROW()-1,5),ROW()-1,FALSE))</f>
        <v/>
      </c>
      <c r="I722" t="str">
        <f ca="1">IF(AND(ISNUMBER($I$1814),$B$1132=1),$I$1814,HLOOKUP(INDIRECT(ADDRESS(2,COLUMN())),OFFSET($K$2,0,0,ROW()-1,5),ROW()-1,FALSE))</f>
        <v/>
      </c>
      <c r="J722" t="str">
        <f ca="1">IF(AND(ISNUMBER($J$1814),$B$1132=1),$J$1814,HLOOKUP(INDIRECT(ADDRESS(2,COLUMN())),OFFSET($K$2,0,0,ROW()-1,5),ROW()-1,FALSE))</f>
        <v/>
      </c>
      <c r="K722" t="str">
        <f>""</f>
        <v/>
      </c>
      <c r="L722" t="str">
        <f>""</f>
        <v/>
      </c>
      <c r="M722" t="str">
        <f>""</f>
        <v/>
      </c>
      <c r="N722" t="str">
        <f>""</f>
        <v/>
      </c>
      <c r="O722" t="str">
        <f>""</f>
        <v/>
      </c>
    </row>
    <row r="723" spans="1:15" x14ac:dyDescent="0.25">
      <c r="A723" t="str">
        <f>"                    Rashtriya Chemicals &amp; Fertiliz"</f>
        <v xml:space="preserve">                    Rashtriya Chemicals &amp; Fertiliz</v>
      </c>
      <c r="B723" t="str">
        <f>"RCF IN Equity"</f>
        <v>RCF IN Equity</v>
      </c>
      <c r="C723" t="str">
        <f t="shared" si="75"/>
        <v>F0946</v>
      </c>
      <c r="D723" t="str">
        <f t="shared" si="76"/>
        <v>TOTAL_GHG_CO2_EMISSIONS</v>
      </c>
      <c r="E723" t="str">
        <f t="shared" si="77"/>
        <v>Dynamic</v>
      </c>
      <c r="F723" t="str">
        <f ca="1">IF(AND(ISNUMBER($F$1815),$B$1132=1),$F$1815,HLOOKUP(INDIRECT(ADDRESS(2,COLUMN())),OFFSET($K$2,0,0,ROW()-1,5),ROW()-1,FALSE))</f>
        <v/>
      </c>
      <c r="G723" t="str">
        <f ca="1">IF(AND(ISNUMBER($G$1815),$B$1132=1),$G$1815,HLOOKUP(INDIRECT(ADDRESS(2,COLUMN())),OFFSET($K$2,0,0,ROW()-1,5),ROW()-1,FALSE))</f>
        <v/>
      </c>
      <c r="H723" t="str">
        <f ca="1">IF(AND(ISNUMBER($H$1815),$B$1132=1),$H$1815,HLOOKUP(INDIRECT(ADDRESS(2,COLUMN())),OFFSET($K$2,0,0,ROW()-1,5),ROW()-1,FALSE))</f>
        <v/>
      </c>
      <c r="I723" t="str">
        <f ca="1">IF(AND(ISNUMBER($I$1815),$B$1132=1),$I$1815,HLOOKUP(INDIRECT(ADDRESS(2,COLUMN())),OFFSET($K$2,0,0,ROW()-1,5),ROW()-1,FALSE))</f>
        <v/>
      </c>
      <c r="J723" t="str">
        <f ca="1">IF(AND(ISNUMBER($J$1815),$B$1132=1),$J$1815,HLOOKUP(INDIRECT(ADDRESS(2,COLUMN())),OFFSET($K$2,0,0,ROW()-1,5),ROW()-1,FALSE))</f>
        <v/>
      </c>
      <c r="K723" t="str">
        <f>""</f>
        <v/>
      </c>
      <c r="L723" t="str">
        <f>""</f>
        <v/>
      </c>
      <c r="M723" t="str">
        <f>""</f>
        <v/>
      </c>
      <c r="N723" t="str">
        <f>""</f>
        <v/>
      </c>
      <c r="O723" t="str">
        <f>""</f>
        <v/>
      </c>
    </row>
    <row r="724" spans="1:15" x14ac:dyDescent="0.25">
      <c r="A724" t="str">
        <f>"                    SABIC Agri-Nutrients Co"</f>
        <v xml:space="preserve">                    SABIC Agri-Nutrients Co</v>
      </c>
      <c r="B724" t="str">
        <f>"SAFCO AB Equity"</f>
        <v>SAFCO AB Equity</v>
      </c>
      <c r="C724" t="str">
        <f t="shared" si="75"/>
        <v>F0946</v>
      </c>
      <c r="D724" t="str">
        <f t="shared" si="76"/>
        <v>TOTAL_GHG_CO2_EMISSIONS</v>
      </c>
      <c r="E724" t="str">
        <f t="shared" si="77"/>
        <v>Dynamic</v>
      </c>
      <c r="F724" t="str">
        <f ca="1">IF(AND(ISNUMBER($F$1816),$B$1132=1),$F$1816,HLOOKUP(INDIRECT(ADDRESS(2,COLUMN())),OFFSET($K$2,0,0,ROW()-1,5),ROW()-1,FALSE))</f>
        <v/>
      </c>
      <c r="G724" t="str">
        <f ca="1">IF(AND(ISNUMBER($G$1816),$B$1132=1),$G$1816,HLOOKUP(INDIRECT(ADDRESS(2,COLUMN())),OFFSET($K$2,0,0,ROW()-1,5),ROW()-1,FALSE))</f>
        <v/>
      </c>
      <c r="H724" t="str">
        <f ca="1">IF(AND(ISNUMBER($H$1816),$B$1132=1),$H$1816,HLOOKUP(INDIRECT(ADDRESS(2,COLUMN())),OFFSET($K$2,0,0,ROW()-1,5),ROW()-1,FALSE))</f>
        <v/>
      </c>
      <c r="I724" t="str">
        <f ca="1">IF(AND(ISNUMBER($I$1816),$B$1132=1),$I$1816,HLOOKUP(INDIRECT(ADDRESS(2,COLUMN())),OFFSET($K$2,0,0,ROW()-1,5),ROW()-1,FALSE))</f>
        <v/>
      </c>
      <c r="J724" t="str">
        <f ca="1">IF(AND(ISNUMBER($J$1816),$B$1132=1),$J$1816,HLOOKUP(INDIRECT(ADDRESS(2,COLUMN())),OFFSET($K$2,0,0,ROW()-1,5),ROW()-1,FALSE))</f>
        <v/>
      </c>
      <c r="K724" t="str">
        <f>""</f>
        <v/>
      </c>
      <c r="L724" t="str">
        <f>""</f>
        <v/>
      </c>
      <c r="M724" t="str">
        <f>""</f>
        <v/>
      </c>
      <c r="N724" t="str">
        <f>""</f>
        <v/>
      </c>
      <c r="O724" t="str">
        <f>""</f>
        <v/>
      </c>
    </row>
    <row r="725" spans="1:15" x14ac:dyDescent="0.25">
      <c r="A725" t="str">
        <f>"                    Shenzhen Noposion Agrochemical"</f>
        <v xml:space="preserve">                    Shenzhen Noposion Agrochemical</v>
      </c>
      <c r="B725" t="str">
        <f>"002215 CH Equity"</f>
        <v>002215 CH Equity</v>
      </c>
      <c r="C725" t="str">
        <f t="shared" si="75"/>
        <v>F0946</v>
      </c>
      <c r="D725" t="str">
        <f t="shared" si="76"/>
        <v>TOTAL_GHG_CO2_EMISSIONS</v>
      </c>
      <c r="E725" t="str">
        <f t="shared" si="77"/>
        <v>Dynamic</v>
      </c>
      <c r="F725" t="str">
        <f ca="1">IF(AND(ISNUMBER($F$1817),$B$1132=1),$F$1817,HLOOKUP(INDIRECT(ADDRESS(2,COLUMN())),OFFSET($K$2,0,0,ROW()-1,5),ROW()-1,FALSE))</f>
        <v/>
      </c>
      <c r="G725" t="str">
        <f ca="1">IF(AND(ISNUMBER($G$1817),$B$1132=1),$G$1817,HLOOKUP(INDIRECT(ADDRESS(2,COLUMN())),OFFSET($K$2,0,0,ROW()-1,5),ROW()-1,FALSE))</f>
        <v/>
      </c>
      <c r="H725" t="str">
        <f ca="1">IF(AND(ISNUMBER($H$1817),$B$1132=1),$H$1817,HLOOKUP(INDIRECT(ADDRESS(2,COLUMN())),OFFSET($K$2,0,0,ROW()-1,5),ROW()-1,FALSE))</f>
        <v/>
      </c>
      <c r="I725" t="str">
        <f ca="1">IF(AND(ISNUMBER($I$1817),$B$1132=1),$I$1817,HLOOKUP(INDIRECT(ADDRESS(2,COLUMN())),OFFSET($K$2,0,0,ROW()-1,5),ROW()-1,FALSE))</f>
        <v/>
      </c>
      <c r="J725" t="str">
        <f ca="1">IF(AND(ISNUMBER($J$1817),$B$1132=1),$J$1817,HLOOKUP(INDIRECT(ADDRESS(2,COLUMN())),OFFSET($K$2,0,0,ROW()-1,5),ROW()-1,FALSE))</f>
        <v/>
      </c>
      <c r="K725" t="str">
        <f>""</f>
        <v/>
      </c>
      <c r="L725" t="str">
        <f>""</f>
        <v/>
      </c>
      <c r="M725" t="str">
        <f>""</f>
        <v/>
      </c>
      <c r="N725" t="str">
        <f>""</f>
        <v/>
      </c>
      <c r="O725" t="str">
        <f>""</f>
        <v/>
      </c>
    </row>
    <row r="726" spans="1:15" x14ac:dyDescent="0.25">
      <c r="A726" t="str">
        <f>"                    Sinofert Holdings Ltd"</f>
        <v xml:space="preserve">                    Sinofert Holdings Ltd</v>
      </c>
      <c r="B726" t="str">
        <f>"297 HK Equity"</f>
        <v>297 HK Equity</v>
      </c>
      <c r="C726" t="str">
        <f t="shared" si="75"/>
        <v>F0946</v>
      </c>
      <c r="D726" t="str">
        <f t="shared" si="76"/>
        <v>TOTAL_GHG_CO2_EMISSIONS</v>
      </c>
      <c r="E726" t="str">
        <f t="shared" si="77"/>
        <v>Dynamic</v>
      </c>
      <c r="F726" t="str">
        <f ca="1">IF(AND(ISNUMBER($F$1818),$B$1132=1),$F$1818,HLOOKUP(INDIRECT(ADDRESS(2,COLUMN())),OFFSET($K$2,0,0,ROW()-1,5),ROW()-1,FALSE))</f>
        <v/>
      </c>
      <c r="G726">
        <f ca="1">IF(AND(ISNUMBER($G$1818),$B$1132=1),$G$1818,HLOOKUP(INDIRECT(ADDRESS(2,COLUMN())),OFFSET($K$2,0,0,ROW()-1,5),ROW()-1,FALSE))</f>
        <v>1.5874999999999999</v>
      </c>
      <c r="H726">
        <f ca="1">IF(AND(ISNUMBER($H$1818),$B$1132=1),$H$1818,HLOOKUP(INDIRECT(ADDRESS(2,COLUMN())),OFFSET($K$2,0,0,ROW()-1,5),ROW()-1,FALSE))</f>
        <v>1.195910034</v>
      </c>
      <c r="I726">
        <f ca="1">IF(AND(ISNUMBER($I$1818),$B$1132=1),$I$1818,HLOOKUP(INDIRECT(ADDRESS(2,COLUMN())),OFFSET($K$2,0,0,ROW()-1,5),ROW()-1,FALSE))</f>
        <v>1.922839966</v>
      </c>
      <c r="J726" t="str">
        <f ca="1">IF(AND(ISNUMBER($J$1818),$B$1132=1),$J$1818,HLOOKUP(INDIRECT(ADDRESS(2,COLUMN())),OFFSET($K$2,0,0,ROW()-1,5),ROW()-1,FALSE))</f>
        <v/>
      </c>
      <c r="K726" t="str">
        <f>""</f>
        <v/>
      </c>
      <c r="L726">
        <f>1.5875</f>
        <v>1.5874999999999999</v>
      </c>
      <c r="M726">
        <f>1.195910034</f>
        <v>1.195910034</v>
      </c>
      <c r="N726">
        <f>1.922839966</f>
        <v>1.922839966</v>
      </c>
      <c r="O726" t="str">
        <f>""</f>
        <v/>
      </c>
    </row>
    <row r="727" spans="1:15" x14ac:dyDescent="0.25">
      <c r="A727" t="str">
        <f>"                    Sociedad Quimica y Minera de C"</f>
        <v xml:space="preserve">                    Sociedad Quimica y Minera de C</v>
      </c>
      <c r="B727" t="str">
        <f>"SQM US Equity"</f>
        <v>SQM US Equity</v>
      </c>
      <c r="C727" t="str">
        <f t="shared" si="75"/>
        <v>F0946</v>
      </c>
      <c r="D727" t="str">
        <f t="shared" si="76"/>
        <v>TOTAL_GHG_CO2_EMISSIONS</v>
      </c>
      <c r="E727" t="str">
        <f t="shared" si="77"/>
        <v>Dynamic</v>
      </c>
      <c r="F727">
        <f ca="1">IF(AND(ISNUMBER($F$1819),$B$1132=1),$F$1819,HLOOKUP(INDIRECT(ADDRESS(2,COLUMN())),OFFSET($K$2,0,0,ROW()-1,5),ROW()-1,FALSE))</f>
        <v>0.74755999799999995</v>
      </c>
      <c r="G727">
        <f ca="1">IF(AND(ISNUMBER($G$1819),$B$1132=1),$G$1819,HLOOKUP(INDIRECT(ADDRESS(2,COLUMN())),OFFSET($K$2,0,0,ROW()-1,5),ROW()-1,FALSE))</f>
        <v>0.79566998300000003</v>
      </c>
      <c r="H727">
        <f ca="1">IF(AND(ISNUMBER($H$1819),$B$1132=1),$H$1819,HLOOKUP(INDIRECT(ADDRESS(2,COLUMN())),OFFSET($K$2,0,0,ROW()-1,5),ROW()-1,FALSE))</f>
        <v>0.74755999799999995</v>
      </c>
      <c r="I727">
        <f ca="1">IF(AND(ISNUMBER($I$1819),$B$1132=1),$I$1819,HLOOKUP(INDIRECT(ADDRESS(2,COLUMN())),OFFSET($K$2,0,0,ROW()-1,5),ROW()-1,FALSE))</f>
        <v>0.646731995</v>
      </c>
      <c r="J727">
        <f ca="1">IF(AND(ISNUMBER($J$1819),$B$1132=1),$J$1819,HLOOKUP(INDIRECT(ADDRESS(2,COLUMN())),OFFSET($K$2,0,0,ROW()-1,5),ROW()-1,FALSE))</f>
        <v>0.54851000999999999</v>
      </c>
      <c r="K727">
        <f>0.747559998</f>
        <v>0.74755999799999995</v>
      </c>
      <c r="L727">
        <f>0.795669983</f>
        <v>0.79566998300000003</v>
      </c>
      <c r="M727">
        <f>0.747559998</f>
        <v>0.74755999799999995</v>
      </c>
      <c r="N727">
        <f>0.646731995</f>
        <v>0.646731995</v>
      </c>
      <c r="O727">
        <f>0.54851001</f>
        <v>0.54851000999999999</v>
      </c>
    </row>
    <row r="728" spans="1:15" x14ac:dyDescent="0.25">
      <c r="A728" t="str">
        <f>"                    Taiwan Fertilizer Co Ltd"</f>
        <v xml:space="preserve">                    Taiwan Fertilizer Co Ltd</v>
      </c>
      <c r="B728" t="str">
        <f>"1722 TT Equity"</f>
        <v>1722 TT Equity</v>
      </c>
      <c r="C728" t="str">
        <f t="shared" si="75"/>
        <v>F0946</v>
      </c>
      <c r="D728" t="str">
        <f t="shared" si="76"/>
        <v>TOTAL_GHG_CO2_EMISSIONS</v>
      </c>
      <c r="E728" t="str">
        <f t="shared" si="77"/>
        <v>Dynamic</v>
      </c>
      <c r="F728" t="str">
        <f ca="1">IF(AND(ISNUMBER($F$1820),$B$1132=1),$F$1820,HLOOKUP(INDIRECT(ADDRESS(2,COLUMN())),OFFSET($K$2,0,0,ROW()-1,5),ROW()-1,FALSE))</f>
        <v/>
      </c>
      <c r="G728">
        <f ca="1">IF(AND(ISNUMBER($G$1820),$B$1132=1),$G$1820,HLOOKUP(INDIRECT(ADDRESS(2,COLUMN())),OFFSET($K$2,0,0,ROW()-1,5),ROW()-1,FALSE))</f>
        <v>0.52917498799999996</v>
      </c>
      <c r="H728">
        <f ca="1">IF(AND(ISNUMBER($H$1820),$B$1132=1),$H$1820,HLOOKUP(INDIRECT(ADDRESS(2,COLUMN())),OFFSET($K$2,0,0,ROW()-1,5),ROW()-1,FALSE))</f>
        <v>0.53290600600000004</v>
      </c>
      <c r="I728">
        <f ca="1">IF(AND(ISNUMBER($I$1820),$B$1132=1),$I$1820,HLOOKUP(INDIRECT(ADDRESS(2,COLUMN())),OFFSET($K$2,0,0,ROW()-1,5),ROW()-1,FALSE))</f>
        <v>0.48989898700000001</v>
      </c>
      <c r="J728">
        <f ca="1">IF(AND(ISNUMBER($J$1820),$B$1132=1),$J$1820,HLOOKUP(INDIRECT(ADDRESS(2,COLUMN())),OFFSET($K$2,0,0,ROW()-1,5),ROW()-1,FALSE))</f>
        <v>0.479834015</v>
      </c>
      <c r="K728" t="str">
        <f>""</f>
        <v/>
      </c>
      <c r="L728">
        <f>0.529174988</f>
        <v>0.52917498799999996</v>
      </c>
      <c r="M728">
        <f>0.532906006</f>
        <v>0.53290600600000004</v>
      </c>
      <c r="N728">
        <f>0.489898987</f>
        <v>0.48989898700000001</v>
      </c>
      <c r="O728">
        <f>0.479834015</f>
        <v>0.479834015</v>
      </c>
    </row>
    <row r="729" spans="1:15" x14ac:dyDescent="0.25">
      <c r="A729" t="str">
        <f>"                    UPL Ltd"</f>
        <v xml:space="preserve">                    UPL Ltd</v>
      </c>
      <c r="B729" t="str">
        <f>"UPLL IN Equity"</f>
        <v>UPLL IN Equity</v>
      </c>
      <c r="C729" t="str">
        <f t="shared" si="75"/>
        <v>F0946</v>
      </c>
      <c r="D729" t="str">
        <f t="shared" si="76"/>
        <v>TOTAL_GHG_CO2_EMISSIONS</v>
      </c>
      <c r="E729" t="str">
        <f t="shared" si="77"/>
        <v>Dynamic</v>
      </c>
      <c r="F729" t="str">
        <f ca="1">IF(AND(ISNUMBER($F$1821),$B$1132=1),$F$1821,HLOOKUP(INDIRECT(ADDRESS(2,COLUMN())),OFFSET($K$2,0,0,ROW()-1,5),ROW()-1,FALSE))</f>
        <v/>
      </c>
      <c r="G729">
        <f ca="1">IF(AND(ISNUMBER($G$1821),$B$1132=1),$G$1821,HLOOKUP(INDIRECT(ADDRESS(2,COLUMN())),OFFSET($K$2,0,0,ROW()-1,5),ROW()-1,FALSE))</f>
        <v>1.0186400149999999</v>
      </c>
      <c r="H729">
        <f ca="1">IF(AND(ISNUMBER($H$1821),$B$1132=1),$H$1821,HLOOKUP(INDIRECT(ADDRESS(2,COLUMN())),OFFSET($K$2,0,0,ROW()-1,5),ROW()-1,FALSE))</f>
        <v>0.93772998100000005</v>
      </c>
      <c r="I729">
        <f ca="1">IF(AND(ISNUMBER($I$1821),$B$1132=1),$I$1821,HLOOKUP(INDIRECT(ADDRESS(2,COLUMN())),OFFSET($K$2,0,0,ROW()-1,5),ROW()-1,FALSE))</f>
        <v>0.92413397200000003</v>
      </c>
      <c r="J729">
        <f ca="1">IF(AND(ISNUMBER($J$1821),$B$1132=1),$J$1821,HLOOKUP(INDIRECT(ADDRESS(2,COLUMN())),OFFSET($K$2,0,0,ROW()-1,5),ROW()-1,FALSE))</f>
        <v>0.77335400399999998</v>
      </c>
      <c r="K729" t="str">
        <f>""</f>
        <v/>
      </c>
      <c r="L729">
        <f>1.018640015</f>
        <v>1.0186400149999999</v>
      </c>
      <c r="M729">
        <f>0.937729981</f>
        <v>0.93772998100000005</v>
      </c>
      <c r="N729">
        <f>0.924133972</f>
        <v>0.92413397200000003</v>
      </c>
      <c r="O729">
        <f>0.773354004</f>
        <v>0.77335400399999998</v>
      </c>
    </row>
    <row r="730" spans="1:15" x14ac:dyDescent="0.25">
      <c r="A730" t="str">
        <f>"                    Vilmorin &amp; Cie SA"</f>
        <v xml:space="preserve">                    Vilmorin &amp; Cie SA</v>
      </c>
      <c r="B730" t="str">
        <f>"RIN FP Equity"</f>
        <v>RIN FP Equity</v>
      </c>
      <c r="C730" t="str">
        <f t="shared" si="75"/>
        <v>F0946</v>
      </c>
      <c r="D730" t="str">
        <f t="shared" si="76"/>
        <v>TOTAL_GHG_CO2_EMISSIONS</v>
      </c>
      <c r="E730" t="str">
        <f t="shared" si="77"/>
        <v>Dynamic</v>
      </c>
      <c r="F730" t="str">
        <f ca="1">IF(AND(ISNUMBER($F$1822),$B$1132=1),$F$1822,HLOOKUP(INDIRECT(ADDRESS(2,COLUMN())),OFFSET($K$2,0,0,ROW()-1,5),ROW()-1,FALSE))</f>
        <v/>
      </c>
      <c r="G730">
        <f ca="1">IF(AND(ISNUMBER($G$1822),$B$1132=1),$G$1822,HLOOKUP(INDIRECT(ADDRESS(2,COLUMN())),OFFSET($K$2,0,0,ROW()-1,5),ROW()-1,FALSE))</f>
        <v>6.0208800999999999E-2</v>
      </c>
      <c r="H730">
        <f ca="1">IF(AND(ISNUMBER($H$1822),$B$1132=1),$H$1822,HLOOKUP(INDIRECT(ADDRESS(2,COLUMN())),OFFSET($K$2,0,0,ROW()-1,5),ROW()-1,FALSE))</f>
        <v>6.0353298E-2</v>
      </c>
      <c r="I730">
        <f ca="1">IF(AND(ISNUMBER($I$1822),$B$1132=1),$I$1822,HLOOKUP(INDIRECT(ADDRESS(2,COLUMN())),OFFSET($K$2,0,0,ROW()-1,5),ROW()-1,FALSE))</f>
        <v>5.8166598999999999E-2</v>
      </c>
      <c r="J730">
        <f ca="1">IF(AND(ISNUMBER($J$1822),$B$1132=1),$J$1822,HLOOKUP(INDIRECT(ADDRESS(2,COLUMN())),OFFSET($K$2,0,0,ROW()-1,5),ROW()-1,FALSE))</f>
        <v>5.5579799999999999E-2</v>
      </c>
      <c r="K730" t="str">
        <f>""</f>
        <v/>
      </c>
      <c r="L730">
        <f>0.060208801</f>
        <v>6.0208800999999999E-2</v>
      </c>
      <c r="M730">
        <f>0.060353298</f>
        <v>6.0353298E-2</v>
      </c>
      <c r="N730">
        <f>0.058166599</f>
        <v>5.8166598999999999E-2</v>
      </c>
      <c r="O730">
        <f>0.0555798</f>
        <v>5.5579799999999999E-2</v>
      </c>
    </row>
    <row r="731" spans="1:15" x14ac:dyDescent="0.25">
      <c r="A731" t="str">
        <f>"                    Yara International ASA"</f>
        <v xml:space="preserve">                    Yara International ASA</v>
      </c>
      <c r="B731" t="str">
        <f>"YAR NO Equity"</f>
        <v>YAR NO Equity</v>
      </c>
      <c r="C731" t="str">
        <f t="shared" si="75"/>
        <v>F0946</v>
      </c>
      <c r="D731" t="str">
        <f t="shared" si="76"/>
        <v>TOTAL_GHG_CO2_EMISSIONS</v>
      </c>
      <c r="E731" t="str">
        <f t="shared" si="77"/>
        <v>Dynamic</v>
      </c>
      <c r="F731" t="str">
        <f ca="1">IF(AND(ISNUMBER($F$1823),$B$1132=1),$F$1823,HLOOKUP(INDIRECT(ADDRESS(2,COLUMN())),OFFSET($K$2,0,0,ROW()-1,5),ROW()-1,FALSE))</f>
        <v/>
      </c>
      <c r="G731">
        <f ca="1">IF(AND(ISNUMBER($G$1823),$B$1132=1),$G$1823,HLOOKUP(INDIRECT(ADDRESS(2,COLUMN())),OFFSET($K$2,0,0,ROW()-1,5),ROW()-1,FALSE))</f>
        <v>17.3</v>
      </c>
      <c r="H731">
        <f ca="1">IF(AND(ISNUMBER($H$1823),$B$1132=1),$H$1823,HLOOKUP(INDIRECT(ADDRESS(2,COLUMN())),OFFSET($K$2,0,0,ROW()-1,5),ROW()-1,FALSE))</f>
        <v>17.399999999999999</v>
      </c>
      <c r="I731">
        <f ca="1">IF(AND(ISNUMBER($I$1823),$B$1132=1),$I$1823,HLOOKUP(INDIRECT(ADDRESS(2,COLUMN())),OFFSET($K$2,0,0,ROW()-1,5),ROW()-1,FALSE))</f>
        <v>18</v>
      </c>
      <c r="J731">
        <f ca="1">IF(AND(ISNUMBER($J$1823),$B$1132=1),$J$1823,HLOOKUP(INDIRECT(ADDRESS(2,COLUMN())),OFFSET($K$2,0,0,ROW()-1,5),ROW()-1,FALSE))</f>
        <v>17.600000000000001</v>
      </c>
      <c r="K731" t="str">
        <f>""</f>
        <v/>
      </c>
      <c r="L731">
        <f>17.3</f>
        <v>17.3</v>
      </c>
      <c r="M731">
        <f>17.4</f>
        <v>17.399999999999999</v>
      </c>
      <c r="N731">
        <f>18</f>
        <v>18</v>
      </c>
      <c r="O731">
        <f>17.6</f>
        <v>17.600000000000001</v>
      </c>
    </row>
    <row r="732" spans="1:15" x14ac:dyDescent="0.25">
      <c r="A732" t="str">
        <f>"                    Yunnan Yuntianhua Co Ltd"</f>
        <v xml:space="preserve">                    Yunnan Yuntianhua Co Ltd</v>
      </c>
      <c r="B732" t="str">
        <f>"600096 CH Equity"</f>
        <v>600096 CH Equity</v>
      </c>
      <c r="C732" t="str">
        <f t="shared" si="75"/>
        <v>F0946</v>
      </c>
      <c r="D732" t="str">
        <f t="shared" si="76"/>
        <v>TOTAL_GHG_CO2_EMISSIONS</v>
      </c>
      <c r="E732" t="str">
        <f t="shared" si="77"/>
        <v>Dynamic</v>
      </c>
      <c r="F732" t="str">
        <f ca="1">IF(AND(ISNUMBER($F$1824),$B$1132=1),$F$1824,HLOOKUP(INDIRECT(ADDRESS(2,COLUMN())),OFFSET($K$2,0,0,ROW()-1,5),ROW()-1,FALSE))</f>
        <v/>
      </c>
      <c r="G732">
        <f ca="1">IF(AND(ISNUMBER($G$1824),$B$1132=1),$G$1824,HLOOKUP(INDIRECT(ADDRESS(2,COLUMN())),OFFSET($K$2,0,0,ROW()-1,5),ROW()-1,FALSE))</f>
        <v>10.15</v>
      </c>
      <c r="H732" t="str">
        <f ca="1">IF(AND(ISNUMBER($H$1824),$B$1132=1),$H$1824,HLOOKUP(INDIRECT(ADDRESS(2,COLUMN())),OFFSET($K$2,0,0,ROW()-1,5),ROW()-1,FALSE))</f>
        <v/>
      </c>
      <c r="I732" t="str">
        <f ca="1">IF(AND(ISNUMBER($I$1824),$B$1132=1),$I$1824,HLOOKUP(INDIRECT(ADDRESS(2,COLUMN())),OFFSET($K$2,0,0,ROW()-1,5),ROW()-1,FALSE))</f>
        <v/>
      </c>
      <c r="J732" t="str">
        <f ca="1">IF(AND(ISNUMBER($J$1824),$B$1132=1),$J$1824,HLOOKUP(INDIRECT(ADDRESS(2,COLUMN())),OFFSET($K$2,0,0,ROW()-1,5),ROW()-1,FALSE))</f>
        <v/>
      </c>
      <c r="K732" t="str">
        <f>""</f>
        <v/>
      </c>
      <c r="L732">
        <f>10.15</f>
        <v>10.15</v>
      </c>
      <c r="M732" t="str">
        <f>""</f>
        <v/>
      </c>
      <c r="N732" t="str">
        <f>""</f>
        <v/>
      </c>
      <c r="O732" t="str">
        <f>""</f>
        <v/>
      </c>
    </row>
    <row r="733" spans="1:15" x14ac:dyDescent="0.25">
      <c r="A733" t="str">
        <f>"                Basic &amp; Diversified Chemicals"</f>
        <v xml:space="preserve">                Basic &amp; Diversified Chemicals</v>
      </c>
      <c r="B733" t="str">
        <f>""</f>
        <v/>
      </c>
      <c r="E733" t="str">
        <f>"Sum"</f>
        <v>Sum</v>
      </c>
      <c r="F733">
        <f ca="1">IF(ISERROR(IF(SUM($F$734:$F$804) = 0, "", SUM($F$734:$F$804))), "", (IF(SUM($F$734:$F$804) = 0, "", SUM($F$734:$F$804))))</f>
        <v>159.71180969400001</v>
      </c>
      <c r="G733">
        <f ca="1">IF(ISERROR(IF(SUM($G$734:$G$804) = 0, "", SUM($G$734:$G$804))), "", (IF(SUM($G$734:$G$804) = 0, "", SUM($G$734:$G$804))))</f>
        <v>470.99138053599995</v>
      </c>
      <c r="H733">
        <f ca="1">IF(ISERROR(IF(SUM($H$734:$H$804) = 0, "", SUM($H$734:$H$804))), "", (IF(SUM($H$734:$H$804) = 0, "", SUM($H$734:$H$804))))</f>
        <v>545.26319774599995</v>
      </c>
      <c r="I733">
        <f ca="1">IF(ISERROR(IF(SUM($I$734:$I$804) = 0, "", SUM($I$734:$I$804))), "", (IF(SUM($I$734:$I$804) = 0, "", SUM($I$734:$I$804))))</f>
        <v>549.07983710499991</v>
      </c>
      <c r="J733">
        <f ca="1">IF(ISERROR(IF(SUM($J$734:$J$804) = 0, "", SUM($J$734:$J$804))), "", (IF(SUM($J$734:$J$804) = 0, "", SUM($J$734:$J$804))))</f>
        <v>501.02263225799993</v>
      </c>
      <c r="K733" t="str">
        <f>""</f>
        <v/>
      </c>
      <c r="L733">
        <f>470.9913805</f>
        <v>470.99138049999999</v>
      </c>
      <c r="M733">
        <f>545.2631978</f>
        <v>545.26319779999994</v>
      </c>
      <c r="N733">
        <f>549.0798371</f>
        <v>549.07983709999996</v>
      </c>
      <c r="O733">
        <f>501.0226323</f>
        <v>501.0226323</v>
      </c>
    </row>
    <row r="734" spans="1:15" x14ac:dyDescent="0.25">
      <c r="A734" t="str">
        <f>"                    ADEKA Corp"</f>
        <v xml:space="preserve">                    ADEKA Corp</v>
      </c>
      <c r="B734" t="str">
        <f>"4401 JP Equity"</f>
        <v>4401 JP Equity</v>
      </c>
      <c r="C734" t="str">
        <f t="shared" ref="C734:C765" si="78">"F0946"</f>
        <v>F0946</v>
      </c>
      <c r="D734" t="str">
        <f t="shared" ref="D734:D765" si="79">"TOTAL_GHG_CO2_EMISSIONS"</f>
        <v>TOTAL_GHG_CO2_EMISSIONS</v>
      </c>
      <c r="E734" t="str">
        <f t="shared" ref="E734:E765" si="80">"Dynamic"</f>
        <v>Dynamic</v>
      </c>
      <c r="F734" t="str">
        <f ca="1">IF(AND(ISNUMBER($F$1825),$B$1132=1),$F$1825,HLOOKUP(INDIRECT(ADDRESS(2,COLUMN())),OFFSET($K$2,0,0,ROW()-1,5),ROW()-1,FALSE))</f>
        <v/>
      </c>
      <c r="G734">
        <f ca="1">IF(AND(ISNUMBER($G$1825),$B$1132=1),$G$1825,HLOOKUP(INDIRECT(ADDRESS(2,COLUMN())),OFFSET($K$2,0,0,ROW()-1,5),ROW()-1,FALSE))</f>
        <v>0.25720001199999998</v>
      </c>
      <c r="H734">
        <f ca="1">IF(AND(ISNUMBER($H$1825),$B$1132=1),$H$1825,HLOOKUP(INDIRECT(ADDRESS(2,COLUMN())),OFFSET($K$2,0,0,ROW()-1,5),ROW()-1,FALSE))</f>
        <v>0.22719400000000001</v>
      </c>
      <c r="I734" t="str">
        <f ca="1">IF(AND(ISNUMBER($I$1825),$B$1132=1),$I$1825,HLOOKUP(INDIRECT(ADDRESS(2,COLUMN())),OFFSET($K$2,0,0,ROW()-1,5),ROW()-1,FALSE))</f>
        <v/>
      </c>
      <c r="J734" t="str">
        <f ca="1">IF(AND(ISNUMBER($J$1825),$B$1132=1),$J$1825,HLOOKUP(INDIRECT(ADDRESS(2,COLUMN())),OFFSET($K$2,0,0,ROW()-1,5),ROW()-1,FALSE))</f>
        <v/>
      </c>
      <c r="K734" t="str">
        <f>""</f>
        <v/>
      </c>
      <c r="L734">
        <f>0.257200012</f>
        <v>0.25720001199999998</v>
      </c>
      <c r="M734">
        <f>0.227194</f>
        <v>0.22719400000000001</v>
      </c>
      <c r="N734" t="str">
        <f>""</f>
        <v/>
      </c>
      <c r="O734" t="str">
        <f>""</f>
        <v/>
      </c>
    </row>
    <row r="735" spans="1:15" x14ac:dyDescent="0.25">
      <c r="A735" t="str">
        <f>"                    Air Water Inc"</f>
        <v xml:space="preserve">                    Air Water Inc</v>
      </c>
      <c r="B735" t="str">
        <f>"4088 JP Equity"</f>
        <v>4088 JP Equity</v>
      </c>
      <c r="C735" t="str">
        <f t="shared" si="78"/>
        <v>F0946</v>
      </c>
      <c r="D735" t="str">
        <f t="shared" si="79"/>
        <v>TOTAL_GHG_CO2_EMISSIONS</v>
      </c>
      <c r="E735" t="str">
        <f t="shared" si="80"/>
        <v>Dynamic</v>
      </c>
      <c r="F735" t="str">
        <f ca="1">IF(AND(ISNUMBER($F$1826),$B$1132=1),$F$1826,HLOOKUP(INDIRECT(ADDRESS(2,COLUMN())),OFFSET($K$2,0,0,ROW()-1,5),ROW()-1,FALSE))</f>
        <v/>
      </c>
      <c r="G735" t="str">
        <f ca="1">IF(AND(ISNUMBER($G$1826),$B$1132=1),$G$1826,HLOOKUP(INDIRECT(ADDRESS(2,COLUMN())),OFFSET($K$2,0,0,ROW()-1,5),ROW()-1,FALSE))</f>
        <v/>
      </c>
      <c r="H735">
        <f ca="1">IF(AND(ISNUMBER($H$1826),$B$1132=1),$H$1826,HLOOKUP(INDIRECT(ADDRESS(2,COLUMN())),OFFSET($K$2,0,0,ROW()-1,5),ROW()-1,FALSE))</f>
        <v>1.5309999999999999</v>
      </c>
      <c r="I735">
        <f ca="1">IF(AND(ISNUMBER($I$1826),$B$1132=1),$I$1826,HLOOKUP(INDIRECT(ADDRESS(2,COLUMN())),OFFSET($K$2,0,0,ROW()-1,5),ROW()-1,FALSE))</f>
        <v>1.5629999999999999</v>
      </c>
      <c r="J735">
        <f ca="1">IF(AND(ISNUMBER($J$1826),$B$1132=1),$J$1826,HLOOKUP(INDIRECT(ADDRESS(2,COLUMN())),OFFSET($K$2,0,0,ROW()-1,5),ROW()-1,FALSE))</f>
        <v>1.599</v>
      </c>
      <c r="K735" t="str">
        <f>""</f>
        <v/>
      </c>
      <c r="L735" t="str">
        <f>""</f>
        <v/>
      </c>
      <c r="M735">
        <f>1.531</f>
        <v>1.5309999999999999</v>
      </c>
      <c r="N735">
        <f>1.563</f>
        <v>1.5629999999999999</v>
      </c>
      <c r="O735">
        <f>1.599</f>
        <v>1.599</v>
      </c>
    </row>
    <row r="736" spans="1:15" x14ac:dyDescent="0.25">
      <c r="A736" t="str">
        <f>"                    Alpek SAB de CV"</f>
        <v xml:space="preserve">                    Alpek SAB de CV</v>
      </c>
      <c r="B736" t="str">
        <f>"ALPEKA MM Equity"</f>
        <v>ALPEKA MM Equity</v>
      </c>
      <c r="C736" t="str">
        <f t="shared" si="78"/>
        <v>F0946</v>
      </c>
      <c r="D736" t="str">
        <f t="shared" si="79"/>
        <v>TOTAL_GHG_CO2_EMISSIONS</v>
      </c>
      <c r="E736" t="str">
        <f t="shared" si="80"/>
        <v>Dynamic</v>
      </c>
      <c r="F736">
        <f ca="1">IF(AND(ISNUMBER($F$1827),$B$1132=1),$F$1827,HLOOKUP(INDIRECT(ADDRESS(2,COLUMN())),OFFSET($K$2,0,0,ROW()-1,5),ROW()-1,FALSE))</f>
        <v>2.1</v>
      </c>
      <c r="G736">
        <f ca="1">IF(AND(ISNUMBER($G$1827),$B$1132=1),$G$1827,HLOOKUP(INDIRECT(ADDRESS(2,COLUMN())),OFFSET($K$2,0,0,ROW()-1,5),ROW()-1,FALSE))</f>
        <v>1.0811800540000001</v>
      </c>
      <c r="H736">
        <f ca="1">IF(AND(ISNUMBER($H$1827),$B$1132=1),$H$1827,HLOOKUP(INDIRECT(ADDRESS(2,COLUMN())),OFFSET($K$2,0,0,ROW()-1,5),ROW()-1,FALSE))</f>
        <v>2.21</v>
      </c>
      <c r="I736">
        <f ca="1">IF(AND(ISNUMBER($I$1827),$B$1132=1),$I$1827,HLOOKUP(INDIRECT(ADDRESS(2,COLUMN())),OFFSET($K$2,0,0,ROW()-1,5),ROW()-1,FALSE))</f>
        <v>2.42</v>
      </c>
      <c r="J736">
        <f ca="1">IF(AND(ISNUMBER($J$1827),$B$1132=1),$J$1827,HLOOKUP(INDIRECT(ADDRESS(2,COLUMN())),OFFSET($K$2,0,0,ROW()-1,5),ROW()-1,FALSE))</f>
        <v>2.42</v>
      </c>
      <c r="K736">
        <f>2.1</f>
        <v>2.1</v>
      </c>
      <c r="L736">
        <f>1.081180054</f>
        <v>1.0811800540000001</v>
      </c>
      <c r="M736">
        <f>2.21</f>
        <v>2.21</v>
      </c>
      <c r="N736">
        <f>2.42</f>
        <v>2.42</v>
      </c>
      <c r="O736">
        <f>2.42</f>
        <v>2.42</v>
      </c>
    </row>
    <row r="737" spans="1:15" x14ac:dyDescent="0.25">
      <c r="A737" t="str">
        <f>"                    Arkema SA"</f>
        <v xml:space="preserve">                    Arkema SA</v>
      </c>
      <c r="B737" t="str">
        <f>"AKE FP Equity"</f>
        <v>AKE FP Equity</v>
      </c>
      <c r="C737" t="str">
        <f t="shared" si="78"/>
        <v>F0946</v>
      </c>
      <c r="D737" t="str">
        <f t="shared" si="79"/>
        <v>TOTAL_GHG_CO2_EMISSIONS</v>
      </c>
      <c r="E737" t="str">
        <f t="shared" si="80"/>
        <v>Dynamic</v>
      </c>
      <c r="F737">
        <f ca="1">IF(AND(ISNUMBER($F$1828),$B$1132=1),$F$1828,HLOOKUP(INDIRECT(ADDRESS(2,COLUMN())),OFFSET($K$2,0,0,ROW()-1,5),ROW()-1,FALSE))</f>
        <v>2.4319999999999999</v>
      </c>
      <c r="G737">
        <f ca="1">IF(AND(ISNUMBER($G$1828),$B$1132=1),$G$1828,HLOOKUP(INDIRECT(ADDRESS(2,COLUMN())),OFFSET($K$2,0,0,ROW()-1,5),ROW()-1,FALSE))</f>
        <v>2.883</v>
      </c>
      <c r="H737">
        <f ca="1">IF(AND(ISNUMBER($H$1828),$B$1132=1),$H$1828,HLOOKUP(INDIRECT(ADDRESS(2,COLUMN())),OFFSET($K$2,0,0,ROW()-1,5),ROW()-1,FALSE))</f>
        <v>3.371</v>
      </c>
      <c r="I737">
        <f ca="1">IF(AND(ISNUMBER($I$1828),$B$1132=1),$I$1828,HLOOKUP(INDIRECT(ADDRESS(2,COLUMN())),OFFSET($K$2,0,0,ROW()-1,5),ROW()-1,FALSE))</f>
        <v>3.84</v>
      </c>
      <c r="J737">
        <f ca="1">IF(AND(ISNUMBER($J$1828),$B$1132=1),$J$1828,HLOOKUP(INDIRECT(ADDRESS(2,COLUMN())),OFFSET($K$2,0,0,ROW()-1,5),ROW()-1,FALSE))</f>
        <v>3.9620000000000002</v>
      </c>
      <c r="K737">
        <f>2.432</f>
        <v>2.4319999999999999</v>
      </c>
      <c r="L737">
        <f>2.883</f>
        <v>2.883</v>
      </c>
      <c r="M737">
        <f>3.371</f>
        <v>3.371</v>
      </c>
      <c r="N737">
        <f>3.84</f>
        <v>3.84</v>
      </c>
      <c r="O737">
        <f>3.962</f>
        <v>3.9620000000000002</v>
      </c>
    </row>
    <row r="738" spans="1:15" x14ac:dyDescent="0.25">
      <c r="A738" t="str">
        <f>"                    Asahi Kasei Corp"</f>
        <v xml:space="preserve">                    Asahi Kasei Corp</v>
      </c>
      <c r="B738" t="str">
        <f>"3407 JP Equity"</f>
        <v>3407 JP Equity</v>
      </c>
      <c r="C738" t="str">
        <f t="shared" si="78"/>
        <v>F0946</v>
      </c>
      <c r="D738" t="str">
        <f t="shared" si="79"/>
        <v>TOTAL_GHG_CO2_EMISSIONS</v>
      </c>
      <c r="E738" t="str">
        <f t="shared" si="80"/>
        <v>Dynamic</v>
      </c>
      <c r="F738" t="str">
        <f ca="1">IF(AND(ISNUMBER($F$1829),$B$1132=1),$F$1829,HLOOKUP(INDIRECT(ADDRESS(2,COLUMN())),OFFSET($K$2,0,0,ROW()-1,5),ROW()-1,FALSE))</f>
        <v/>
      </c>
      <c r="G738">
        <f ca="1">IF(AND(ISNUMBER($G$1829),$B$1132=1),$G$1829,HLOOKUP(INDIRECT(ADDRESS(2,COLUMN())),OFFSET($K$2,0,0,ROW()-1,5),ROW()-1,FALSE))</f>
        <v>4.1100000000000003</v>
      </c>
      <c r="H738">
        <f ca="1">IF(AND(ISNUMBER($H$1829),$B$1132=1),$H$1829,HLOOKUP(INDIRECT(ADDRESS(2,COLUMN())),OFFSET($K$2,0,0,ROW()-1,5),ROW()-1,FALSE))</f>
        <v>3.89</v>
      </c>
      <c r="I738">
        <f ca="1">IF(AND(ISNUMBER($I$1829),$B$1132=1),$I$1829,HLOOKUP(INDIRECT(ADDRESS(2,COLUMN())),OFFSET($K$2,0,0,ROW()-1,5),ROW()-1,FALSE))</f>
        <v>3.99</v>
      </c>
      <c r="J738">
        <f ca="1">IF(AND(ISNUMBER($J$1829),$B$1132=1),$J$1829,HLOOKUP(INDIRECT(ADDRESS(2,COLUMN())),OFFSET($K$2,0,0,ROW()-1,5),ROW()-1,FALSE))</f>
        <v>4.16</v>
      </c>
      <c r="K738" t="str">
        <f>""</f>
        <v/>
      </c>
      <c r="L738">
        <f>4.11</f>
        <v>4.1100000000000003</v>
      </c>
      <c r="M738">
        <f>3.89</f>
        <v>3.89</v>
      </c>
      <c r="N738">
        <f>3.99</f>
        <v>3.99</v>
      </c>
      <c r="O738">
        <f>4.16</f>
        <v>4.16</v>
      </c>
    </row>
    <row r="739" spans="1:15" x14ac:dyDescent="0.25">
      <c r="A739" t="str">
        <f>"                    AdvanSix Inc"</f>
        <v xml:space="preserve">                    AdvanSix Inc</v>
      </c>
      <c r="B739" t="str">
        <f>"ASIX US Equity"</f>
        <v>ASIX US Equity</v>
      </c>
      <c r="C739" t="str">
        <f t="shared" si="78"/>
        <v>F0946</v>
      </c>
      <c r="D739" t="str">
        <f t="shared" si="79"/>
        <v>TOTAL_GHG_CO2_EMISSIONS</v>
      </c>
      <c r="E739" t="str">
        <f t="shared" si="80"/>
        <v>Dynamic</v>
      </c>
      <c r="F739" t="str">
        <f ca="1">IF(AND(ISNUMBER($F$1830),$B$1132=1),$F$1830,HLOOKUP(INDIRECT(ADDRESS(2,COLUMN())),OFFSET($K$2,0,0,ROW()-1,5),ROW()-1,FALSE))</f>
        <v/>
      </c>
      <c r="G739" t="str">
        <f ca="1">IF(AND(ISNUMBER($G$1830),$B$1132=1),$G$1830,HLOOKUP(INDIRECT(ADDRESS(2,COLUMN())),OFFSET($K$2,0,0,ROW()-1,5),ROW()-1,FALSE))</f>
        <v/>
      </c>
      <c r="H739" t="str">
        <f ca="1">IF(AND(ISNUMBER($H$1830),$B$1132=1),$H$1830,HLOOKUP(INDIRECT(ADDRESS(2,COLUMN())),OFFSET($K$2,0,0,ROW()-1,5),ROW()-1,FALSE))</f>
        <v/>
      </c>
      <c r="I739" t="str">
        <f ca="1">IF(AND(ISNUMBER($I$1830),$B$1132=1),$I$1830,HLOOKUP(INDIRECT(ADDRESS(2,COLUMN())),OFFSET($K$2,0,0,ROW()-1,5),ROW()-1,FALSE))</f>
        <v/>
      </c>
      <c r="J739" t="str">
        <f ca="1">IF(AND(ISNUMBER($J$1830),$B$1132=1),$J$1830,HLOOKUP(INDIRECT(ADDRESS(2,COLUMN())),OFFSET($K$2,0,0,ROW()-1,5),ROW()-1,FALSE))</f>
        <v/>
      </c>
      <c r="K739" t="str">
        <f>""</f>
        <v/>
      </c>
      <c r="L739" t="str">
        <f>""</f>
        <v/>
      </c>
      <c r="M739" t="str">
        <f>""</f>
        <v/>
      </c>
      <c r="N739" t="str">
        <f>""</f>
        <v/>
      </c>
      <c r="O739" t="str">
        <f>""</f>
        <v/>
      </c>
    </row>
    <row r="740" spans="1:15" x14ac:dyDescent="0.25">
      <c r="A740" t="str">
        <f>"                    BASF SE"</f>
        <v xml:space="preserve">                    BASF SE</v>
      </c>
      <c r="B740" t="str">
        <f>"BAS GR Equity"</f>
        <v>BAS GR Equity</v>
      </c>
      <c r="C740" t="str">
        <f t="shared" si="78"/>
        <v>F0946</v>
      </c>
      <c r="D740" t="str">
        <f t="shared" si="79"/>
        <v>TOTAL_GHG_CO2_EMISSIONS</v>
      </c>
      <c r="E740" t="str">
        <f t="shared" si="80"/>
        <v>Dynamic</v>
      </c>
      <c r="F740" t="str">
        <f ca="1">IF(AND(ISNUMBER($F$1831),$B$1132=1),$F$1831,HLOOKUP(INDIRECT(ADDRESS(2,COLUMN())),OFFSET($K$2,0,0,ROW()-1,5),ROW()-1,FALSE))</f>
        <v/>
      </c>
      <c r="G740">
        <f ca="1">IF(AND(ISNUMBER($G$1831),$B$1132=1),$G$1831,HLOOKUP(INDIRECT(ADDRESS(2,COLUMN())),OFFSET($K$2,0,0,ROW()-1,5),ROW()-1,FALSE))</f>
        <v>22.338000000000001</v>
      </c>
      <c r="H740">
        <f ca="1">IF(AND(ISNUMBER($H$1831),$B$1132=1),$H$1831,HLOOKUP(INDIRECT(ADDRESS(2,COLUMN())),OFFSET($K$2,0,0,ROW()-1,5),ROW()-1,FALSE))</f>
        <v>21.757000000000001</v>
      </c>
      <c r="I740">
        <f ca="1">IF(AND(ISNUMBER($I$1831),$B$1132=1),$I$1831,HLOOKUP(INDIRECT(ADDRESS(2,COLUMN())),OFFSET($K$2,0,0,ROW()-1,5),ROW()-1,FALSE))</f>
        <v>20.875</v>
      </c>
      <c r="J740">
        <f ca="1">IF(AND(ISNUMBER($J$1831),$B$1132=1),$J$1831,HLOOKUP(INDIRECT(ADDRESS(2,COLUMN())),OFFSET($K$2,0,0,ROW()-1,5),ROW()-1,FALSE))</f>
        <v>22.164999999999999</v>
      </c>
      <c r="K740" t="str">
        <f>""</f>
        <v/>
      </c>
      <c r="L740">
        <f>22.338</f>
        <v>22.338000000000001</v>
      </c>
      <c r="M740">
        <f>21.757</f>
        <v>21.757000000000001</v>
      </c>
      <c r="N740">
        <f>20.875</f>
        <v>20.875</v>
      </c>
      <c r="O740">
        <f>22.165</f>
        <v>22.164999999999999</v>
      </c>
    </row>
    <row r="741" spans="1:15" x14ac:dyDescent="0.25">
      <c r="A741" t="str">
        <f>"                    Braskem SA"</f>
        <v xml:space="preserve">                    Braskem SA</v>
      </c>
      <c r="B741" t="str">
        <f>"BRKM5 BZ Equity"</f>
        <v>BRKM5 BZ Equity</v>
      </c>
      <c r="C741" t="str">
        <f t="shared" si="78"/>
        <v>F0946</v>
      </c>
      <c r="D741" t="str">
        <f t="shared" si="79"/>
        <v>TOTAL_GHG_CO2_EMISSIONS</v>
      </c>
      <c r="E741" t="str">
        <f t="shared" si="80"/>
        <v>Dynamic</v>
      </c>
      <c r="F741">
        <f ca="1">IF(AND(ISNUMBER($F$1832),$B$1132=1),$F$1832,HLOOKUP(INDIRECT(ADDRESS(2,COLUMN())),OFFSET($K$2,0,0,ROW()-1,5),ROW()-1,FALSE))</f>
        <v>10.775</v>
      </c>
      <c r="G741">
        <f ca="1">IF(AND(ISNUMBER($G$1832),$B$1132=1),$G$1832,HLOOKUP(INDIRECT(ADDRESS(2,COLUMN())),OFFSET($K$2,0,0,ROW()-1,5),ROW()-1,FALSE))</f>
        <v>10.951200200000001</v>
      </c>
      <c r="H741">
        <f ca="1">IF(AND(ISNUMBER($H$1832),$B$1132=1),$H$1832,HLOOKUP(INDIRECT(ADDRESS(2,COLUMN())),OFFSET($K$2,0,0,ROW()-1,5),ROW()-1,FALSE))</f>
        <v>10.798299800000001</v>
      </c>
      <c r="I741">
        <f ca="1">IF(AND(ISNUMBER($I$1832),$B$1132=1),$I$1832,HLOOKUP(INDIRECT(ADDRESS(2,COLUMN())),OFFSET($K$2,0,0,ROW()-1,5),ROW()-1,FALSE))</f>
        <v>10.649200199999999</v>
      </c>
      <c r="J741">
        <f ca="1">IF(AND(ISNUMBER($J$1832),$B$1132=1),$J$1832,HLOOKUP(INDIRECT(ADDRESS(2,COLUMN())),OFFSET($K$2,0,0,ROW()-1,5),ROW()-1,FALSE))</f>
        <v>11.016799799999999</v>
      </c>
      <c r="K741">
        <f>10.775</f>
        <v>10.775</v>
      </c>
      <c r="L741">
        <f>10.9512002</f>
        <v>10.951200200000001</v>
      </c>
      <c r="M741">
        <f>10.7982998</f>
        <v>10.798299800000001</v>
      </c>
      <c r="N741">
        <f>10.6492002</f>
        <v>10.649200199999999</v>
      </c>
      <c r="O741">
        <f>11.0167998</f>
        <v>11.016799799999999</v>
      </c>
    </row>
    <row r="742" spans="1:15" x14ac:dyDescent="0.25">
      <c r="A742" t="str">
        <f>"                    China Petrochemical Developmen"</f>
        <v xml:space="preserve">                    China Petrochemical Developmen</v>
      </c>
      <c r="B742" t="str">
        <f>"1314 TT Equity"</f>
        <v>1314 TT Equity</v>
      </c>
      <c r="C742" t="str">
        <f t="shared" si="78"/>
        <v>F0946</v>
      </c>
      <c r="D742" t="str">
        <f t="shared" si="79"/>
        <v>TOTAL_GHG_CO2_EMISSIONS</v>
      </c>
      <c r="E742" t="str">
        <f t="shared" si="80"/>
        <v>Dynamic</v>
      </c>
      <c r="F742" t="str">
        <f ca="1">IF(AND(ISNUMBER($F$1833),$B$1132=1),$F$1833,HLOOKUP(INDIRECT(ADDRESS(2,COLUMN())),OFFSET($K$2,0,0,ROW()-1,5),ROW()-1,FALSE))</f>
        <v/>
      </c>
      <c r="G742">
        <f ca="1">IF(AND(ISNUMBER($G$1833),$B$1132=1),$G$1833,HLOOKUP(INDIRECT(ADDRESS(2,COLUMN())),OFFSET($K$2,0,0,ROW()-1,5),ROW()-1,FALSE))</f>
        <v>1.907810059</v>
      </c>
      <c r="H742">
        <f ca="1">IF(AND(ISNUMBER($H$1833),$B$1132=1),$H$1833,HLOOKUP(INDIRECT(ADDRESS(2,COLUMN())),OFFSET($K$2,0,0,ROW()-1,5),ROW()-1,FALSE))</f>
        <v>1.079439941</v>
      </c>
      <c r="I742">
        <f ca="1">IF(AND(ISNUMBER($I$1833),$B$1132=1),$I$1833,HLOOKUP(INDIRECT(ADDRESS(2,COLUMN())),OFFSET($K$2,0,0,ROW()-1,5),ROW()-1,FALSE))</f>
        <v>1.9159100339999999</v>
      </c>
      <c r="J742">
        <f ca="1">IF(AND(ISNUMBER($J$1833),$B$1132=1),$J$1833,HLOOKUP(INDIRECT(ADDRESS(2,COLUMN())),OFFSET($K$2,0,0,ROW()-1,5),ROW()-1,FALSE))</f>
        <v>2.6222900390000001</v>
      </c>
      <c r="K742" t="str">
        <f>""</f>
        <v/>
      </c>
      <c r="L742">
        <f>1.907810059</f>
        <v>1.907810059</v>
      </c>
      <c r="M742">
        <f>1.079439941</f>
        <v>1.079439941</v>
      </c>
      <c r="N742">
        <f>1.915910034</f>
        <v>1.9159100339999999</v>
      </c>
      <c r="O742">
        <f>2.622290039</f>
        <v>2.6222900390000001</v>
      </c>
    </row>
    <row r="743" spans="1:15" x14ac:dyDescent="0.25">
      <c r="A743" t="str">
        <f>"                    Celanese Corp"</f>
        <v xml:space="preserve">                    Celanese Corp</v>
      </c>
      <c r="B743" t="str">
        <f>"CE US Equity"</f>
        <v>CE US Equity</v>
      </c>
      <c r="C743" t="str">
        <f t="shared" si="78"/>
        <v>F0946</v>
      </c>
      <c r="D743" t="str">
        <f t="shared" si="79"/>
        <v>TOTAL_GHG_CO2_EMISSIONS</v>
      </c>
      <c r="E743" t="str">
        <f t="shared" si="80"/>
        <v>Dynamic</v>
      </c>
      <c r="F743" t="str">
        <f ca="1">IF(AND(ISNUMBER($F$1834),$B$1132=1),$F$1834,HLOOKUP(INDIRECT(ADDRESS(2,COLUMN())),OFFSET($K$2,0,0,ROW()-1,5),ROW()-1,FALSE))</f>
        <v/>
      </c>
      <c r="G743">
        <f ca="1">IF(AND(ISNUMBER($G$1834),$B$1132=1),$G$1834,HLOOKUP(INDIRECT(ADDRESS(2,COLUMN())),OFFSET($K$2,0,0,ROW()-1,5),ROW()-1,FALSE))</f>
        <v>3.7068300779999999</v>
      </c>
      <c r="H743">
        <f ca="1">IF(AND(ISNUMBER($H$1834),$B$1132=1),$H$1834,HLOOKUP(INDIRECT(ADDRESS(2,COLUMN())),OFFSET($K$2,0,0,ROW()-1,5),ROW()-1,FALSE))</f>
        <v>3.6469699709999999</v>
      </c>
      <c r="I743">
        <f ca="1">IF(AND(ISNUMBER($I$1834),$B$1132=1),$I$1834,HLOOKUP(INDIRECT(ADDRESS(2,COLUMN())),OFFSET($K$2,0,0,ROW()-1,5),ROW()-1,FALSE))</f>
        <v>2.9215</v>
      </c>
      <c r="J743">
        <f ca="1">IF(AND(ISNUMBER($J$1834),$B$1132=1),$J$1834,HLOOKUP(INDIRECT(ADDRESS(2,COLUMN())),OFFSET($K$2,0,0,ROW()-1,5),ROW()-1,FALSE))</f>
        <v>2.8273999019999998</v>
      </c>
      <c r="K743" t="str">
        <f>""</f>
        <v/>
      </c>
      <c r="L743">
        <f>3.706830078</f>
        <v>3.7068300779999999</v>
      </c>
      <c r="M743">
        <f>3.646969971</f>
        <v>3.6469699709999999</v>
      </c>
      <c r="N743">
        <f>2.9215</f>
        <v>2.9215</v>
      </c>
      <c r="O743">
        <f>2.827399902</f>
        <v>2.8273999019999998</v>
      </c>
    </row>
    <row r="744" spans="1:15" x14ac:dyDescent="0.25">
      <c r="A744" t="str">
        <f>"                    Covestro AG"</f>
        <v xml:space="preserve">                    Covestro AG</v>
      </c>
      <c r="B744" t="str">
        <f>"1COV GR Equity"</f>
        <v>1COV GR Equity</v>
      </c>
      <c r="C744" t="str">
        <f t="shared" si="78"/>
        <v>F0946</v>
      </c>
      <c r="D744" t="str">
        <f t="shared" si="79"/>
        <v>TOTAL_GHG_CO2_EMISSIONS</v>
      </c>
      <c r="E744" t="str">
        <f t="shared" si="80"/>
        <v>Dynamic</v>
      </c>
      <c r="F744" t="str">
        <f ca="1">IF(AND(ISNUMBER($F$1835),$B$1132=1),$F$1835,HLOOKUP(INDIRECT(ADDRESS(2,COLUMN())),OFFSET($K$2,0,0,ROW()-1,5),ROW()-1,FALSE))</f>
        <v/>
      </c>
      <c r="G744">
        <f ca="1">IF(AND(ISNUMBER($G$1835),$B$1132=1),$G$1835,HLOOKUP(INDIRECT(ADDRESS(2,COLUMN())),OFFSET($K$2,0,0,ROW()-1,5),ROW()-1,FALSE))</f>
        <v>5.38</v>
      </c>
      <c r="H744">
        <f ca="1">IF(AND(ISNUMBER($H$1835),$B$1132=1),$H$1835,HLOOKUP(INDIRECT(ADDRESS(2,COLUMN())),OFFSET($K$2,0,0,ROW()-1,5),ROW()-1,FALSE))</f>
        <v>5.6</v>
      </c>
      <c r="I744">
        <f ca="1">IF(AND(ISNUMBER($I$1835),$B$1132=1),$I$1835,HLOOKUP(INDIRECT(ADDRESS(2,COLUMN())),OFFSET($K$2,0,0,ROW()-1,5),ROW()-1,FALSE))</f>
        <v>5.95</v>
      </c>
      <c r="J744">
        <f ca="1">IF(AND(ISNUMBER($J$1835),$B$1132=1),$J$1835,HLOOKUP(INDIRECT(ADDRESS(2,COLUMN())),OFFSET($K$2,0,0,ROW()-1,5),ROW()-1,FALSE))</f>
        <v>6.53</v>
      </c>
      <c r="K744" t="str">
        <f>""</f>
        <v/>
      </c>
      <c r="L744">
        <f>5.38</f>
        <v>5.38</v>
      </c>
      <c r="M744">
        <f>5.6</f>
        <v>5.6</v>
      </c>
      <c r="N744">
        <f>5.95</f>
        <v>5.95</v>
      </c>
      <c r="O744">
        <f>6.53</f>
        <v>6.53</v>
      </c>
    </row>
    <row r="745" spans="1:15" x14ac:dyDescent="0.25">
      <c r="A745" t="str">
        <f>"                    Danhua Chemical Technology Co"</f>
        <v xml:space="preserve">                    Danhua Chemical Technology Co</v>
      </c>
      <c r="B745" t="str">
        <f>"900921 CH Equity"</f>
        <v>900921 CH Equity</v>
      </c>
      <c r="C745" t="str">
        <f t="shared" si="78"/>
        <v>F0946</v>
      </c>
      <c r="D745" t="str">
        <f t="shared" si="79"/>
        <v>TOTAL_GHG_CO2_EMISSIONS</v>
      </c>
      <c r="E745" t="str">
        <f t="shared" si="80"/>
        <v>Dynamic</v>
      </c>
      <c r="F745" t="str">
        <f ca="1">IF(AND(ISNUMBER($F$1836),$B$1132=1),$F$1836,HLOOKUP(INDIRECT(ADDRESS(2,COLUMN())),OFFSET($K$2,0,0,ROW()-1,5),ROW()-1,FALSE))</f>
        <v/>
      </c>
      <c r="G745" t="str">
        <f ca="1">IF(AND(ISNUMBER($G$1836),$B$1132=1),$G$1836,HLOOKUP(INDIRECT(ADDRESS(2,COLUMN())),OFFSET($K$2,0,0,ROW()-1,5),ROW()-1,FALSE))</f>
        <v/>
      </c>
      <c r="H745" t="str">
        <f ca="1">IF(AND(ISNUMBER($H$1836),$B$1132=1),$H$1836,HLOOKUP(INDIRECT(ADDRESS(2,COLUMN())),OFFSET($K$2,0,0,ROW()-1,5),ROW()-1,FALSE))</f>
        <v/>
      </c>
      <c r="I745" t="str">
        <f ca="1">IF(AND(ISNUMBER($I$1836),$B$1132=1),$I$1836,HLOOKUP(INDIRECT(ADDRESS(2,COLUMN())),OFFSET($K$2,0,0,ROW()-1,5),ROW()-1,FALSE))</f>
        <v/>
      </c>
      <c r="J745" t="str">
        <f ca="1">IF(AND(ISNUMBER($J$1836),$B$1132=1),$J$1836,HLOOKUP(INDIRECT(ADDRESS(2,COLUMN())),OFFSET($K$2,0,0,ROW()-1,5),ROW()-1,FALSE))</f>
        <v/>
      </c>
      <c r="K745" t="str">
        <f>""</f>
        <v/>
      </c>
      <c r="L745" t="str">
        <f>""</f>
        <v/>
      </c>
      <c r="M745" t="str">
        <f>""</f>
        <v/>
      </c>
      <c r="N745" t="str">
        <f>""</f>
        <v/>
      </c>
      <c r="O745" t="str">
        <f>""</f>
        <v/>
      </c>
    </row>
    <row r="746" spans="1:15" x14ac:dyDescent="0.25">
      <c r="A746" t="str">
        <f>"                    Deepak Fertilisers &amp; Petrochem"</f>
        <v xml:space="preserve">                    Deepak Fertilisers &amp; Petrochem</v>
      </c>
      <c r="B746" t="str">
        <f>"DFPC IN Equity"</f>
        <v>DFPC IN Equity</v>
      </c>
      <c r="C746" t="str">
        <f t="shared" si="78"/>
        <v>F0946</v>
      </c>
      <c r="D746" t="str">
        <f t="shared" si="79"/>
        <v>TOTAL_GHG_CO2_EMISSIONS</v>
      </c>
      <c r="E746" t="str">
        <f t="shared" si="80"/>
        <v>Dynamic</v>
      </c>
      <c r="F746" t="str">
        <f ca="1">IF(AND(ISNUMBER($F$1837),$B$1132=1),$F$1837,HLOOKUP(INDIRECT(ADDRESS(2,COLUMN())),OFFSET($K$2,0,0,ROW()-1,5),ROW()-1,FALSE))</f>
        <v/>
      </c>
      <c r="G746" t="str">
        <f ca="1">IF(AND(ISNUMBER($G$1837),$B$1132=1),$G$1837,HLOOKUP(INDIRECT(ADDRESS(2,COLUMN())),OFFSET($K$2,0,0,ROW()-1,5),ROW()-1,FALSE))</f>
        <v/>
      </c>
      <c r="H746" t="str">
        <f ca="1">IF(AND(ISNUMBER($H$1837),$B$1132=1),$H$1837,HLOOKUP(INDIRECT(ADDRESS(2,COLUMN())),OFFSET($K$2,0,0,ROW()-1,5),ROW()-1,FALSE))</f>
        <v/>
      </c>
      <c r="I746" t="str">
        <f ca="1">IF(AND(ISNUMBER($I$1837),$B$1132=1),$I$1837,HLOOKUP(INDIRECT(ADDRESS(2,COLUMN())),OFFSET($K$2,0,0,ROW()-1,5),ROW()-1,FALSE))</f>
        <v/>
      </c>
      <c r="J746" t="str">
        <f ca="1">IF(AND(ISNUMBER($J$1837),$B$1132=1),$J$1837,HLOOKUP(INDIRECT(ADDRESS(2,COLUMN())),OFFSET($K$2,0,0,ROW()-1,5),ROW()-1,FALSE))</f>
        <v/>
      </c>
      <c r="K746" t="str">
        <f>""</f>
        <v/>
      </c>
      <c r="L746" t="str">
        <f>""</f>
        <v/>
      </c>
      <c r="M746" t="str">
        <f>""</f>
        <v/>
      </c>
      <c r="N746" t="str">
        <f>""</f>
        <v/>
      </c>
      <c r="O746" t="str">
        <f>""</f>
        <v/>
      </c>
    </row>
    <row r="747" spans="1:15" x14ac:dyDescent="0.25">
      <c r="A747" t="str">
        <f>"                    Denka Co Ltd"</f>
        <v xml:space="preserve">                    Denka Co Ltd</v>
      </c>
      <c r="B747" t="str">
        <f>"4061 JP Equity"</f>
        <v>4061 JP Equity</v>
      </c>
      <c r="C747" t="str">
        <f t="shared" si="78"/>
        <v>F0946</v>
      </c>
      <c r="D747" t="str">
        <f t="shared" si="79"/>
        <v>TOTAL_GHG_CO2_EMISSIONS</v>
      </c>
      <c r="E747" t="str">
        <f t="shared" si="80"/>
        <v>Dynamic</v>
      </c>
      <c r="F747" t="str">
        <f ca="1">IF(AND(ISNUMBER($F$1838),$B$1132=1),$F$1838,HLOOKUP(INDIRECT(ADDRESS(2,COLUMN())),OFFSET($K$2,0,0,ROW()-1,5),ROW()-1,FALSE))</f>
        <v/>
      </c>
      <c r="G747">
        <f ca="1">IF(AND(ISNUMBER($G$1838),$B$1132=1),$G$1838,HLOOKUP(INDIRECT(ADDRESS(2,COLUMN())),OFFSET($K$2,0,0,ROW()-1,5),ROW()-1,FALSE))</f>
        <v>2.1726201170000001</v>
      </c>
      <c r="H747">
        <f ca="1">IF(AND(ISNUMBER($H$1838),$B$1132=1),$H$1838,HLOOKUP(INDIRECT(ADDRESS(2,COLUMN())),OFFSET($K$2,0,0,ROW()-1,5),ROW()-1,FALSE))</f>
        <v>1.971939941</v>
      </c>
      <c r="I747">
        <f ca="1">IF(AND(ISNUMBER($I$1838),$B$1132=1),$I$1838,HLOOKUP(INDIRECT(ADDRESS(2,COLUMN())),OFFSET($K$2,0,0,ROW()-1,5),ROW()-1,FALSE))</f>
        <v>1.95</v>
      </c>
      <c r="J747">
        <f ca="1">IF(AND(ISNUMBER($J$1838),$B$1132=1),$J$1838,HLOOKUP(INDIRECT(ADDRESS(2,COLUMN())),OFFSET($K$2,0,0,ROW()-1,5),ROW()-1,FALSE))</f>
        <v>2.0299999999999998</v>
      </c>
      <c r="K747" t="str">
        <f>""</f>
        <v/>
      </c>
      <c r="L747">
        <f>2.172620117</f>
        <v>2.1726201170000001</v>
      </c>
      <c r="M747">
        <f>1.971939941</f>
        <v>1.971939941</v>
      </c>
      <c r="N747">
        <f>1.95</f>
        <v>1.95</v>
      </c>
      <c r="O747">
        <f>2.03</f>
        <v>2.0299999999999998</v>
      </c>
    </row>
    <row r="748" spans="1:15" x14ac:dyDescent="0.25">
      <c r="A748" t="str">
        <f>"                    DuPont de Nemours Inc"</f>
        <v xml:space="preserve">                    DuPont de Nemours Inc</v>
      </c>
      <c r="B748" t="str">
        <f>"DD US Equity"</f>
        <v>DD US Equity</v>
      </c>
      <c r="C748" t="str">
        <f t="shared" si="78"/>
        <v>F0946</v>
      </c>
      <c r="D748" t="str">
        <f t="shared" si="79"/>
        <v>TOTAL_GHG_CO2_EMISSIONS</v>
      </c>
      <c r="E748" t="str">
        <f t="shared" si="80"/>
        <v>Dynamic</v>
      </c>
      <c r="F748">
        <f ca="1">IF(AND(ISNUMBER($F$1839),$B$1132=1),$F$1839,HLOOKUP(INDIRECT(ADDRESS(2,COLUMN())),OFFSET($K$2,0,0,ROW()-1,5),ROW()-1,FALSE))</f>
        <v>2.3421101069999999</v>
      </c>
      <c r="G748">
        <f ca="1">IF(AND(ISNUMBER($G$1839),$B$1132=1),$G$1839,HLOOKUP(INDIRECT(ADDRESS(2,COLUMN())),OFFSET($K$2,0,0,ROW()-1,5),ROW()-1,FALSE))</f>
        <v>3.1446799319999998</v>
      </c>
      <c r="H748">
        <f ca="1">IF(AND(ISNUMBER($H$1839),$B$1132=1),$H$1839,HLOOKUP(INDIRECT(ADDRESS(2,COLUMN())),OFFSET($K$2,0,0,ROW()-1,5),ROW()-1,FALSE))</f>
        <v>5.1479999999999997</v>
      </c>
      <c r="I748">
        <f ca="1">IF(AND(ISNUMBER($I$1839),$B$1132=1),$I$1839,HLOOKUP(INDIRECT(ADDRESS(2,COLUMN())),OFFSET($K$2,0,0,ROW()-1,5),ROW()-1,FALSE))</f>
        <v>5.38</v>
      </c>
      <c r="J748" t="str">
        <f ca="1">IF(AND(ISNUMBER($J$1839),$B$1132=1),$J$1839,HLOOKUP(INDIRECT(ADDRESS(2,COLUMN())),OFFSET($K$2,0,0,ROW()-1,5),ROW()-1,FALSE))</f>
        <v/>
      </c>
      <c r="K748">
        <f>2.342110107</f>
        <v>2.3421101069999999</v>
      </c>
      <c r="L748">
        <f>3.144679932</f>
        <v>3.1446799319999998</v>
      </c>
      <c r="M748">
        <f>5.148</f>
        <v>5.1479999999999997</v>
      </c>
      <c r="N748">
        <f>5.38</f>
        <v>5.38</v>
      </c>
      <c r="O748" t="str">
        <f>""</f>
        <v/>
      </c>
    </row>
    <row r="749" spans="1:15" x14ac:dyDescent="0.25">
      <c r="A749" t="str">
        <f>"                    Daicel Corp"</f>
        <v xml:space="preserve">                    Daicel Corp</v>
      </c>
      <c r="B749" t="str">
        <f>"4202 JP Equity"</f>
        <v>4202 JP Equity</v>
      </c>
      <c r="C749" t="str">
        <f t="shared" si="78"/>
        <v>F0946</v>
      </c>
      <c r="D749" t="str">
        <f t="shared" si="79"/>
        <v>TOTAL_GHG_CO2_EMISSIONS</v>
      </c>
      <c r="E749" t="str">
        <f t="shared" si="80"/>
        <v>Dynamic</v>
      </c>
      <c r="F749" t="str">
        <f ca="1">IF(AND(ISNUMBER($F$1840),$B$1132=1),$F$1840,HLOOKUP(INDIRECT(ADDRESS(2,COLUMN())),OFFSET($K$2,0,0,ROW()-1,5),ROW()-1,FALSE))</f>
        <v/>
      </c>
      <c r="G749">
        <f ca="1">IF(AND(ISNUMBER($G$1840),$B$1132=1),$G$1840,HLOOKUP(INDIRECT(ADDRESS(2,COLUMN())),OFFSET($K$2,0,0,ROW()-1,5),ROW()-1,FALSE))</f>
        <v>2.347</v>
      </c>
      <c r="H749">
        <f ca="1">IF(AND(ISNUMBER($H$1840),$B$1132=1),$H$1840,HLOOKUP(INDIRECT(ADDRESS(2,COLUMN())),OFFSET($K$2,0,0,ROW()-1,5),ROW()-1,FALSE))</f>
        <v>2.7549999999999999</v>
      </c>
      <c r="I749">
        <f ca="1">IF(AND(ISNUMBER($I$1840),$B$1132=1),$I$1840,HLOOKUP(INDIRECT(ADDRESS(2,COLUMN())),OFFSET($K$2,0,0,ROW()-1,5),ROW()-1,FALSE))</f>
        <v>2.3690000000000002</v>
      </c>
      <c r="J749">
        <f ca="1">IF(AND(ISNUMBER($J$1840),$B$1132=1),$J$1840,HLOOKUP(INDIRECT(ADDRESS(2,COLUMN())),OFFSET($K$2,0,0,ROW()-1,5),ROW()-1,FALSE))</f>
        <v>2.4940000000000002</v>
      </c>
      <c r="K749" t="str">
        <f>""</f>
        <v/>
      </c>
      <c r="L749">
        <f>2.347</f>
        <v>2.347</v>
      </c>
      <c r="M749">
        <f>2.755</f>
        <v>2.7549999999999999</v>
      </c>
      <c r="N749">
        <f>2.369</f>
        <v>2.3690000000000002</v>
      </c>
      <c r="O749">
        <f>2.494</f>
        <v>2.4940000000000002</v>
      </c>
    </row>
    <row r="750" spans="1:15" x14ac:dyDescent="0.25">
      <c r="A750" t="str">
        <f>"                    Dow Inc"</f>
        <v xml:space="preserve">                    Dow Inc</v>
      </c>
      <c r="B750" t="str">
        <f>"DOW US Equity"</f>
        <v>DOW US Equity</v>
      </c>
      <c r="C750" t="str">
        <f t="shared" si="78"/>
        <v>F0946</v>
      </c>
      <c r="D750" t="str">
        <f t="shared" si="79"/>
        <v>TOTAL_GHG_CO2_EMISSIONS</v>
      </c>
      <c r="E750" t="str">
        <f t="shared" si="80"/>
        <v>Dynamic</v>
      </c>
      <c r="F750" t="str">
        <f ca="1">IF(AND(ISNUMBER($F$1841),$B$1132=1),$F$1841,HLOOKUP(INDIRECT(ADDRESS(2,COLUMN())),OFFSET($K$2,0,0,ROW()-1,5),ROW()-1,FALSE))</f>
        <v/>
      </c>
      <c r="G750">
        <f ca="1">IF(AND(ISNUMBER($G$1841),$B$1132=1),$G$1841,HLOOKUP(INDIRECT(ADDRESS(2,COLUMN())),OFFSET($K$2,0,0,ROW()-1,5),ROW()-1,FALSE))</f>
        <v>32.229999999999997</v>
      </c>
      <c r="H750">
        <f ca="1">IF(AND(ISNUMBER($H$1841),$B$1132=1),$H$1841,HLOOKUP(INDIRECT(ADDRESS(2,COLUMN())),OFFSET($K$2,0,0,ROW()-1,5),ROW()-1,FALSE))</f>
        <v>34.76</v>
      </c>
      <c r="I750">
        <f ca="1">IF(AND(ISNUMBER($I$1841),$B$1132=1),$I$1841,HLOOKUP(INDIRECT(ADDRESS(2,COLUMN())),OFFSET($K$2,0,0,ROW()-1,5),ROW()-1,FALSE))</f>
        <v>33.65</v>
      </c>
      <c r="J750" t="str">
        <f ca="1">IF(AND(ISNUMBER($J$1841),$B$1132=1),$J$1841,HLOOKUP(INDIRECT(ADDRESS(2,COLUMN())),OFFSET($K$2,0,0,ROW()-1,5),ROW()-1,FALSE))</f>
        <v/>
      </c>
      <c r="K750" t="str">
        <f>""</f>
        <v/>
      </c>
      <c r="L750">
        <f>32.23</f>
        <v>32.229999999999997</v>
      </c>
      <c r="M750">
        <f>34.76</f>
        <v>34.76</v>
      </c>
      <c r="N750">
        <f>33.65</f>
        <v>33.65</v>
      </c>
      <c r="O750" t="str">
        <f>""</f>
        <v/>
      </c>
    </row>
    <row r="751" spans="1:15" x14ac:dyDescent="0.25">
      <c r="A751" t="str">
        <f>"                    Eastman Chemical Co"</f>
        <v xml:space="preserve">                    Eastman Chemical Co</v>
      </c>
      <c r="B751" t="str">
        <f>"EMN US Equity"</f>
        <v>EMN US Equity</v>
      </c>
      <c r="C751" t="str">
        <f t="shared" si="78"/>
        <v>F0946</v>
      </c>
      <c r="D751" t="str">
        <f t="shared" si="79"/>
        <v>TOTAL_GHG_CO2_EMISSIONS</v>
      </c>
      <c r="E751" t="str">
        <f t="shared" si="80"/>
        <v>Dynamic</v>
      </c>
      <c r="F751" t="str">
        <f ca="1">IF(AND(ISNUMBER($F$1842),$B$1132=1),$F$1842,HLOOKUP(INDIRECT(ADDRESS(2,COLUMN())),OFFSET($K$2,0,0,ROW()-1,5),ROW()-1,FALSE))</f>
        <v/>
      </c>
      <c r="G751">
        <f ca="1">IF(AND(ISNUMBER($G$1842),$B$1132=1),$G$1842,HLOOKUP(INDIRECT(ADDRESS(2,COLUMN())),OFFSET($K$2,0,0,ROW()-1,5),ROW()-1,FALSE))</f>
        <v>6.9427202149999996</v>
      </c>
      <c r="H751">
        <f ca="1">IF(AND(ISNUMBER($H$1842),$B$1132=1),$H$1842,HLOOKUP(INDIRECT(ADDRESS(2,COLUMN())),OFFSET($K$2,0,0,ROW()-1,5),ROW()-1,FALSE))</f>
        <v>6.3729902340000004</v>
      </c>
      <c r="I751">
        <f ca="1">IF(AND(ISNUMBER($I$1842),$B$1132=1),$I$1842,HLOOKUP(INDIRECT(ADDRESS(2,COLUMN())),OFFSET($K$2,0,0,ROW()-1,5),ROW()-1,FALSE))</f>
        <v>6.7</v>
      </c>
      <c r="J751">
        <f ca="1">IF(AND(ISNUMBER($J$1842),$B$1132=1),$J$1842,HLOOKUP(INDIRECT(ADDRESS(2,COLUMN())),OFFSET($K$2,0,0,ROW()-1,5),ROW()-1,FALSE))</f>
        <v>7.4</v>
      </c>
      <c r="K751" t="str">
        <f>""</f>
        <v/>
      </c>
      <c r="L751">
        <f>6.942720215</f>
        <v>6.9427202149999996</v>
      </c>
      <c r="M751">
        <f>6.372990234</f>
        <v>6.3729902340000004</v>
      </c>
      <c r="N751">
        <f>6.7</f>
        <v>6.7</v>
      </c>
      <c r="O751">
        <f>7.4</f>
        <v>7.4</v>
      </c>
    </row>
    <row r="752" spans="1:15" x14ac:dyDescent="0.25">
      <c r="A752" t="str">
        <f>"                    EMS-Chemie Holding AG"</f>
        <v xml:space="preserve">                    EMS-Chemie Holding AG</v>
      </c>
      <c r="B752" t="str">
        <f>"EMSN SW Equity"</f>
        <v>EMSN SW Equity</v>
      </c>
      <c r="C752" t="str">
        <f t="shared" si="78"/>
        <v>F0946</v>
      </c>
      <c r="D752" t="str">
        <f t="shared" si="79"/>
        <v>TOTAL_GHG_CO2_EMISSIONS</v>
      </c>
      <c r="E752" t="str">
        <f t="shared" si="80"/>
        <v>Dynamic</v>
      </c>
      <c r="F752" t="str">
        <f ca="1">IF(AND(ISNUMBER($F$1843),$B$1132=1),$F$1843,HLOOKUP(INDIRECT(ADDRESS(2,COLUMN())),OFFSET($K$2,0,0,ROW()-1,5),ROW()-1,FALSE))</f>
        <v/>
      </c>
      <c r="G752" t="str">
        <f ca="1">IF(AND(ISNUMBER($G$1843),$B$1132=1),$G$1843,HLOOKUP(INDIRECT(ADDRESS(2,COLUMN())),OFFSET($K$2,0,0,ROW()-1,5),ROW()-1,FALSE))</f>
        <v/>
      </c>
      <c r="H752" t="str">
        <f ca="1">IF(AND(ISNUMBER($H$1843),$B$1132=1),$H$1843,HLOOKUP(INDIRECT(ADDRESS(2,COLUMN())),OFFSET($K$2,0,0,ROW()-1,5),ROW()-1,FALSE))</f>
        <v/>
      </c>
      <c r="I752" t="str">
        <f ca="1">IF(AND(ISNUMBER($I$1843),$B$1132=1),$I$1843,HLOOKUP(INDIRECT(ADDRESS(2,COLUMN())),OFFSET($K$2,0,0,ROW()-1,5),ROW()-1,FALSE))</f>
        <v/>
      </c>
      <c r="J752" t="str">
        <f ca="1">IF(AND(ISNUMBER($J$1843),$B$1132=1),$J$1843,HLOOKUP(INDIRECT(ADDRESS(2,COLUMN())),OFFSET($K$2,0,0,ROW()-1,5),ROW()-1,FALSE))</f>
        <v/>
      </c>
      <c r="K752" t="str">
        <f>""</f>
        <v/>
      </c>
      <c r="L752" t="str">
        <f>""</f>
        <v/>
      </c>
      <c r="M752" t="str">
        <f>""</f>
        <v/>
      </c>
      <c r="N752" t="str">
        <f>""</f>
        <v/>
      </c>
      <c r="O752" t="str">
        <f>""</f>
        <v/>
      </c>
    </row>
    <row r="753" spans="1:15" x14ac:dyDescent="0.25">
      <c r="A753" t="str">
        <f>"                    Formosa Chemicals &amp; Fibre Corp"</f>
        <v xml:space="preserve">                    Formosa Chemicals &amp; Fibre Corp</v>
      </c>
      <c r="B753" t="str">
        <f>"1326 TT Equity"</f>
        <v>1326 TT Equity</v>
      </c>
      <c r="C753" t="str">
        <f t="shared" si="78"/>
        <v>F0946</v>
      </c>
      <c r="D753" t="str">
        <f t="shared" si="79"/>
        <v>TOTAL_GHG_CO2_EMISSIONS</v>
      </c>
      <c r="E753" t="str">
        <f t="shared" si="80"/>
        <v>Dynamic</v>
      </c>
      <c r="F753" t="str">
        <f ca="1">IF(AND(ISNUMBER($F$1844),$B$1132=1),$F$1844,HLOOKUP(INDIRECT(ADDRESS(2,COLUMN())),OFFSET($K$2,0,0,ROW()-1,5),ROW()-1,FALSE))</f>
        <v/>
      </c>
      <c r="G753">
        <f ca="1">IF(AND(ISNUMBER($G$1844),$B$1132=1),$G$1844,HLOOKUP(INDIRECT(ADDRESS(2,COLUMN())),OFFSET($K$2,0,0,ROW()-1,5),ROW()-1,FALSE))</f>
        <v>8.6978603519999993</v>
      </c>
      <c r="H753">
        <f ca="1">IF(AND(ISNUMBER($H$1844),$B$1132=1),$H$1844,HLOOKUP(INDIRECT(ADDRESS(2,COLUMN())),OFFSET($K$2,0,0,ROW()-1,5),ROW()-1,FALSE))</f>
        <v>8.5389902339999999</v>
      </c>
      <c r="I753">
        <f ca="1">IF(AND(ISNUMBER($I$1844),$B$1132=1),$I$1844,HLOOKUP(INDIRECT(ADDRESS(2,COLUMN())),OFFSET($K$2,0,0,ROW()-1,5),ROW()-1,FALSE))</f>
        <v>8.3576796869999992</v>
      </c>
      <c r="J753">
        <f ca="1">IF(AND(ISNUMBER($J$1844),$B$1132=1),$J$1844,HLOOKUP(INDIRECT(ADDRESS(2,COLUMN())),OFFSET($K$2,0,0,ROW()-1,5),ROW()-1,FALSE))</f>
        <v>9.0573398439999995</v>
      </c>
      <c r="K753" t="str">
        <f>""</f>
        <v/>
      </c>
      <c r="L753">
        <f>8.697860352</f>
        <v>8.6978603519999993</v>
      </c>
      <c r="M753">
        <f>8.538990234</f>
        <v>8.5389902339999999</v>
      </c>
      <c r="N753">
        <f>8.357679687</f>
        <v>8.3576796869999992</v>
      </c>
      <c r="O753">
        <f>9.057339844</f>
        <v>9.0573398439999995</v>
      </c>
    </row>
    <row r="754" spans="1:15" x14ac:dyDescent="0.25">
      <c r="A754" t="str">
        <f>"                    Formosa Plastics Corp"</f>
        <v xml:space="preserve">                    Formosa Plastics Corp</v>
      </c>
      <c r="B754" t="str">
        <f>"1301 TT Equity"</f>
        <v>1301 TT Equity</v>
      </c>
      <c r="C754" t="str">
        <f t="shared" si="78"/>
        <v>F0946</v>
      </c>
      <c r="D754" t="str">
        <f t="shared" si="79"/>
        <v>TOTAL_GHG_CO2_EMISSIONS</v>
      </c>
      <c r="E754" t="str">
        <f t="shared" si="80"/>
        <v>Dynamic</v>
      </c>
      <c r="F754" t="str">
        <f ca="1">IF(AND(ISNUMBER($F$1845),$B$1132=1),$F$1845,HLOOKUP(INDIRECT(ADDRESS(2,COLUMN())),OFFSET($K$2,0,0,ROW()-1,5),ROW()-1,FALSE))</f>
        <v/>
      </c>
      <c r="G754">
        <f ca="1">IF(AND(ISNUMBER($G$1845),$B$1132=1),$G$1845,HLOOKUP(INDIRECT(ADDRESS(2,COLUMN())),OFFSET($K$2,0,0,ROW()-1,5),ROW()-1,FALSE))</f>
        <v>8.6005996089999996</v>
      </c>
      <c r="H754" t="str">
        <f ca="1">IF(AND(ISNUMBER($H$1845),$B$1132=1),$H$1845,HLOOKUP(INDIRECT(ADDRESS(2,COLUMN())),OFFSET($K$2,0,0,ROW()-1,5),ROW()-1,FALSE))</f>
        <v/>
      </c>
      <c r="I754" t="str">
        <f ca="1">IF(AND(ISNUMBER($I$1845),$B$1132=1),$I$1845,HLOOKUP(INDIRECT(ADDRESS(2,COLUMN())),OFFSET($K$2,0,0,ROW()-1,5),ROW()-1,FALSE))</f>
        <v/>
      </c>
      <c r="J754" t="str">
        <f ca="1">IF(AND(ISNUMBER($J$1845),$B$1132=1),$J$1845,HLOOKUP(INDIRECT(ADDRESS(2,COLUMN())),OFFSET($K$2,0,0,ROW()-1,5),ROW()-1,FALSE))</f>
        <v/>
      </c>
      <c r="K754" t="str">
        <f>""</f>
        <v/>
      </c>
      <c r="L754">
        <f>8.600599609</f>
        <v>8.6005996089999996</v>
      </c>
      <c r="M754" t="str">
        <f>""</f>
        <v/>
      </c>
      <c r="N754" t="str">
        <f>""</f>
        <v/>
      </c>
      <c r="O754" t="str">
        <f>""</f>
        <v/>
      </c>
    </row>
    <row r="755" spans="1:15" x14ac:dyDescent="0.25">
      <c r="A755" t="str">
        <f>"                    Hanwha Solutions Corp"</f>
        <v xml:space="preserve">                    Hanwha Solutions Corp</v>
      </c>
      <c r="B755" t="str">
        <f>"009830 KS Equity"</f>
        <v>009830 KS Equity</v>
      </c>
      <c r="C755" t="str">
        <f t="shared" si="78"/>
        <v>F0946</v>
      </c>
      <c r="D755" t="str">
        <f t="shared" si="79"/>
        <v>TOTAL_GHG_CO2_EMISSIONS</v>
      </c>
      <c r="E755" t="str">
        <f t="shared" si="80"/>
        <v>Dynamic</v>
      </c>
      <c r="F755" t="str">
        <f ca="1">IF(AND(ISNUMBER($F$1846),$B$1132=1),$F$1846,HLOOKUP(INDIRECT(ADDRESS(2,COLUMN())),OFFSET($K$2,0,0,ROW()-1,5),ROW()-1,FALSE))</f>
        <v/>
      </c>
      <c r="G755">
        <f ca="1">IF(AND(ISNUMBER($G$1846),$B$1132=1),$G$1846,HLOOKUP(INDIRECT(ADDRESS(2,COLUMN())),OFFSET($K$2,0,0,ROW()-1,5),ROW()-1,FALSE))</f>
        <v>2.8684699710000001</v>
      </c>
      <c r="H755" t="str">
        <f ca="1">IF(AND(ISNUMBER($H$1846),$B$1132=1),$H$1846,HLOOKUP(INDIRECT(ADDRESS(2,COLUMN())),OFFSET($K$2,0,0,ROW()-1,5),ROW()-1,FALSE))</f>
        <v/>
      </c>
      <c r="I755" t="str">
        <f ca="1">IF(AND(ISNUMBER($I$1846),$B$1132=1),$I$1846,HLOOKUP(INDIRECT(ADDRESS(2,COLUMN())),OFFSET($K$2,0,0,ROW()-1,5),ROW()-1,FALSE))</f>
        <v/>
      </c>
      <c r="J755">
        <f ca="1">IF(AND(ISNUMBER($J$1846),$B$1132=1),$J$1846,HLOOKUP(INDIRECT(ADDRESS(2,COLUMN())),OFFSET($K$2,0,0,ROW()-1,5),ROW()-1,FALSE))</f>
        <v>3.196429932</v>
      </c>
      <c r="K755" t="str">
        <f>""</f>
        <v/>
      </c>
      <c r="L755">
        <f>2.868469971</f>
        <v>2.8684699710000001</v>
      </c>
      <c r="M755" t="str">
        <f>""</f>
        <v/>
      </c>
      <c r="N755" t="str">
        <f>""</f>
        <v/>
      </c>
      <c r="O755">
        <f>3.196429932</f>
        <v>3.196429932</v>
      </c>
    </row>
    <row r="756" spans="1:15" x14ac:dyDescent="0.25">
      <c r="A756" t="str">
        <f>"                    Hubei Yihua Chemical Industry"</f>
        <v xml:space="preserve">                    Hubei Yihua Chemical Industry</v>
      </c>
      <c r="B756" t="str">
        <f>"000422 CH Equity"</f>
        <v>000422 CH Equity</v>
      </c>
      <c r="C756" t="str">
        <f t="shared" si="78"/>
        <v>F0946</v>
      </c>
      <c r="D756" t="str">
        <f t="shared" si="79"/>
        <v>TOTAL_GHG_CO2_EMISSIONS</v>
      </c>
      <c r="E756" t="str">
        <f t="shared" si="80"/>
        <v>Dynamic</v>
      </c>
      <c r="F756" t="str">
        <f ca="1">IF(AND(ISNUMBER($F$1847),$B$1132=1),$F$1847,HLOOKUP(INDIRECT(ADDRESS(2,COLUMN())),OFFSET($K$2,0,0,ROW()-1,5),ROW()-1,FALSE))</f>
        <v/>
      </c>
      <c r="G756" t="str">
        <f ca="1">IF(AND(ISNUMBER($G$1847),$B$1132=1),$G$1847,HLOOKUP(INDIRECT(ADDRESS(2,COLUMN())),OFFSET($K$2,0,0,ROW()-1,5),ROW()-1,FALSE))</f>
        <v/>
      </c>
      <c r="H756" t="str">
        <f ca="1">IF(AND(ISNUMBER($H$1847),$B$1132=1),$H$1847,HLOOKUP(INDIRECT(ADDRESS(2,COLUMN())),OFFSET($K$2,0,0,ROW()-1,5),ROW()-1,FALSE))</f>
        <v/>
      </c>
      <c r="I756" t="str">
        <f ca="1">IF(AND(ISNUMBER($I$1847),$B$1132=1),$I$1847,HLOOKUP(INDIRECT(ADDRESS(2,COLUMN())),OFFSET($K$2,0,0,ROW()-1,5),ROW()-1,FALSE))</f>
        <v/>
      </c>
      <c r="J756" t="str">
        <f ca="1">IF(AND(ISNUMBER($J$1847),$B$1132=1),$J$1847,HLOOKUP(INDIRECT(ADDRESS(2,COLUMN())),OFFSET($K$2,0,0,ROW()-1,5),ROW()-1,FALSE))</f>
        <v/>
      </c>
      <c r="K756" t="str">
        <f>""</f>
        <v/>
      </c>
      <c r="L756" t="str">
        <f>""</f>
        <v/>
      </c>
      <c r="M756" t="str">
        <f>""</f>
        <v/>
      </c>
      <c r="N756" t="str">
        <f>""</f>
        <v/>
      </c>
      <c r="O756" t="str">
        <f>""</f>
        <v/>
      </c>
    </row>
    <row r="757" spans="1:15" x14ac:dyDescent="0.25">
      <c r="A757" t="str">
        <f>"                    Huntsman Corp"</f>
        <v xml:space="preserve">                    Huntsman Corp</v>
      </c>
      <c r="B757" t="str">
        <f>"HUN US Equity"</f>
        <v>HUN US Equity</v>
      </c>
      <c r="C757" t="str">
        <f t="shared" si="78"/>
        <v>F0946</v>
      </c>
      <c r="D757" t="str">
        <f t="shared" si="79"/>
        <v>TOTAL_GHG_CO2_EMISSIONS</v>
      </c>
      <c r="E757" t="str">
        <f t="shared" si="80"/>
        <v>Dynamic</v>
      </c>
      <c r="F757" t="str">
        <f ca="1">IF(AND(ISNUMBER($F$1848),$B$1132=1),$F$1848,HLOOKUP(INDIRECT(ADDRESS(2,COLUMN())),OFFSET($K$2,0,0,ROW()-1,5),ROW()-1,FALSE))</f>
        <v/>
      </c>
      <c r="G757">
        <f ca="1">IF(AND(ISNUMBER($G$1848),$B$1132=1),$G$1848,HLOOKUP(INDIRECT(ADDRESS(2,COLUMN())),OFFSET($K$2,0,0,ROW()-1,5),ROW()-1,FALSE))</f>
        <v>1.127780029</v>
      </c>
      <c r="H757">
        <f ca="1">IF(AND(ISNUMBER($H$1848),$B$1132=1),$H$1848,HLOOKUP(INDIRECT(ADDRESS(2,COLUMN())),OFFSET($K$2,0,0,ROW()-1,5),ROW()-1,FALSE))</f>
        <v>1.10052002</v>
      </c>
      <c r="I757">
        <f ca="1">IF(AND(ISNUMBER($I$1848),$B$1132=1),$I$1848,HLOOKUP(INDIRECT(ADDRESS(2,COLUMN())),OFFSET($K$2,0,0,ROW()-1,5),ROW()-1,FALSE))</f>
        <v>2.775600098</v>
      </c>
      <c r="J757">
        <f ca="1">IF(AND(ISNUMBER($J$1848),$B$1132=1),$J$1848,HLOOKUP(INDIRECT(ADDRESS(2,COLUMN())),OFFSET($K$2,0,0,ROW()-1,5),ROW()-1,FALSE))</f>
        <v>2.692860107</v>
      </c>
      <c r="K757" t="str">
        <f>""</f>
        <v/>
      </c>
      <c r="L757">
        <f>1.127780029</f>
        <v>1.127780029</v>
      </c>
      <c r="M757">
        <f>1.10052002</f>
        <v>1.10052002</v>
      </c>
      <c r="N757">
        <f>2.775600098</f>
        <v>2.775600098</v>
      </c>
      <c r="O757">
        <f>2.692860107</f>
        <v>2.692860107</v>
      </c>
    </row>
    <row r="758" spans="1:15" x14ac:dyDescent="0.25">
      <c r="A758" t="str">
        <f>"                    Indorama Ventures PCL"</f>
        <v xml:space="preserve">                    Indorama Ventures PCL</v>
      </c>
      <c r="B758" t="str">
        <f>"IVL TB Equity"</f>
        <v>IVL TB Equity</v>
      </c>
      <c r="C758" t="str">
        <f t="shared" si="78"/>
        <v>F0946</v>
      </c>
      <c r="D758" t="str">
        <f t="shared" si="79"/>
        <v>TOTAL_GHG_CO2_EMISSIONS</v>
      </c>
      <c r="E758" t="str">
        <f t="shared" si="80"/>
        <v>Dynamic</v>
      </c>
      <c r="F758" t="str">
        <f ca="1">IF(AND(ISNUMBER($F$1849),$B$1132=1),$F$1849,HLOOKUP(INDIRECT(ADDRESS(2,COLUMN())),OFFSET($K$2,0,0,ROW()-1,5),ROW()-1,FALSE))</f>
        <v/>
      </c>
      <c r="G758">
        <f ca="1">IF(AND(ISNUMBER($G$1849),$B$1132=1),$G$1849,HLOOKUP(INDIRECT(ADDRESS(2,COLUMN())),OFFSET($K$2,0,0,ROW()-1,5),ROW()-1,FALSE))</f>
        <v>9.7328798830000007</v>
      </c>
      <c r="H758">
        <f ca="1">IF(AND(ISNUMBER($H$1849),$B$1132=1),$H$1849,HLOOKUP(INDIRECT(ADDRESS(2,COLUMN())),OFFSET($K$2,0,0,ROW()-1,5),ROW()-1,FALSE))</f>
        <v>9.445049805</v>
      </c>
      <c r="I758">
        <f ca="1">IF(AND(ISNUMBER($I$1849),$B$1132=1),$I$1849,HLOOKUP(INDIRECT(ADDRESS(2,COLUMN())),OFFSET($K$2,0,0,ROW()-1,5),ROW()-1,FALSE))</f>
        <v>7.0894399410000002</v>
      </c>
      <c r="J758">
        <f ca="1">IF(AND(ISNUMBER($J$1849),$B$1132=1),$J$1849,HLOOKUP(INDIRECT(ADDRESS(2,COLUMN())),OFFSET($K$2,0,0,ROW()-1,5),ROW()-1,FALSE))</f>
        <v>5.913459961</v>
      </c>
      <c r="K758" t="str">
        <f>""</f>
        <v/>
      </c>
      <c r="L758">
        <f>9.732879883</f>
        <v>9.7328798830000007</v>
      </c>
      <c r="M758">
        <f>9.445049805</f>
        <v>9.445049805</v>
      </c>
      <c r="N758">
        <f>7.089439941</f>
        <v>7.0894399410000002</v>
      </c>
      <c r="O758">
        <f>5.913459961</f>
        <v>5.913459961</v>
      </c>
    </row>
    <row r="759" spans="1:15" x14ac:dyDescent="0.25">
      <c r="A759" t="str">
        <f>"                    Inner Mongolia Yuan Xing Energ"</f>
        <v xml:space="preserve">                    Inner Mongolia Yuan Xing Energ</v>
      </c>
      <c r="B759" t="str">
        <f>"000683 CH Equity"</f>
        <v>000683 CH Equity</v>
      </c>
      <c r="C759" t="str">
        <f t="shared" si="78"/>
        <v>F0946</v>
      </c>
      <c r="D759" t="str">
        <f t="shared" si="79"/>
        <v>TOTAL_GHG_CO2_EMISSIONS</v>
      </c>
      <c r="E759" t="str">
        <f t="shared" si="80"/>
        <v>Dynamic</v>
      </c>
      <c r="F759" t="str">
        <f ca="1">IF(AND(ISNUMBER($F$1850),$B$1132=1),$F$1850,HLOOKUP(INDIRECT(ADDRESS(2,COLUMN())),OFFSET($K$2,0,0,ROW()-1,5),ROW()-1,FALSE))</f>
        <v/>
      </c>
      <c r="G759" t="str">
        <f ca="1">IF(AND(ISNUMBER($G$1850),$B$1132=1),$G$1850,HLOOKUP(INDIRECT(ADDRESS(2,COLUMN())),OFFSET($K$2,0,0,ROW()-1,5),ROW()-1,FALSE))</f>
        <v/>
      </c>
      <c r="H759" t="str">
        <f ca="1">IF(AND(ISNUMBER($H$1850),$B$1132=1),$H$1850,HLOOKUP(INDIRECT(ADDRESS(2,COLUMN())),OFFSET($K$2,0,0,ROW()-1,5),ROW()-1,FALSE))</f>
        <v/>
      </c>
      <c r="I759" t="str">
        <f ca="1">IF(AND(ISNUMBER($I$1850),$B$1132=1),$I$1850,HLOOKUP(INDIRECT(ADDRESS(2,COLUMN())),OFFSET($K$2,0,0,ROW()-1,5),ROW()-1,FALSE))</f>
        <v/>
      </c>
      <c r="J759" t="str">
        <f ca="1">IF(AND(ISNUMBER($J$1850),$B$1132=1),$J$1850,HLOOKUP(INDIRECT(ADDRESS(2,COLUMN())),OFFSET($K$2,0,0,ROW()-1,5),ROW()-1,FALSE))</f>
        <v/>
      </c>
      <c r="K759" t="str">
        <f>""</f>
        <v/>
      </c>
      <c r="L759" t="str">
        <f>""</f>
        <v/>
      </c>
      <c r="M759" t="str">
        <f>""</f>
        <v/>
      </c>
      <c r="N759" t="str">
        <f>""</f>
        <v/>
      </c>
      <c r="O759" t="str">
        <f>""</f>
        <v/>
      </c>
    </row>
    <row r="760" spans="1:15" x14ac:dyDescent="0.25">
      <c r="A760" t="str">
        <f>"                    Organichesky Sintez PJSC"</f>
        <v xml:space="preserve">                    Organichesky Sintez PJSC</v>
      </c>
      <c r="B760" t="str">
        <f>"KZOS RM Equity"</f>
        <v>KZOS RM Equity</v>
      </c>
      <c r="C760" t="str">
        <f t="shared" si="78"/>
        <v>F0946</v>
      </c>
      <c r="D760" t="str">
        <f t="shared" si="79"/>
        <v>TOTAL_GHG_CO2_EMISSIONS</v>
      </c>
      <c r="E760" t="str">
        <f t="shared" si="80"/>
        <v>Dynamic</v>
      </c>
      <c r="F760" t="str">
        <f ca="1">IF(AND(ISNUMBER($F$1851),$B$1132=1),$F$1851,HLOOKUP(INDIRECT(ADDRESS(2,COLUMN())),OFFSET($K$2,0,0,ROW()-1,5),ROW()-1,FALSE))</f>
        <v/>
      </c>
      <c r="G760" t="str">
        <f ca="1">IF(AND(ISNUMBER($G$1851),$B$1132=1),$G$1851,HLOOKUP(INDIRECT(ADDRESS(2,COLUMN())),OFFSET($K$2,0,0,ROW()-1,5),ROW()-1,FALSE))</f>
        <v/>
      </c>
      <c r="H760" t="str">
        <f ca="1">IF(AND(ISNUMBER($H$1851),$B$1132=1),$H$1851,HLOOKUP(INDIRECT(ADDRESS(2,COLUMN())),OFFSET($K$2,0,0,ROW()-1,5),ROW()-1,FALSE))</f>
        <v/>
      </c>
      <c r="I760" t="str">
        <f ca="1">IF(AND(ISNUMBER($I$1851),$B$1132=1),$I$1851,HLOOKUP(INDIRECT(ADDRESS(2,COLUMN())),OFFSET($K$2,0,0,ROW()-1,5),ROW()-1,FALSE))</f>
        <v/>
      </c>
      <c r="J760" t="str">
        <f ca="1">IF(AND(ISNUMBER($J$1851),$B$1132=1),$J$1851,HLOOKUP(INDIRECT(ADDRESS(2,COLUMN())),OFFSET($K$2,0,0,ROW()-1,5),ROW()-1,FALSE))</f>
        <v/>
      </c>
      <c r="K760" t="str">
        <f>""</f>
        <v/>
      </c>
      <c r="L760" t="str">
        <f>""</f>
        <v/>
      </c>
      <c r="M760" t="str">
        <f>""</f>
        <v/>
      </c>
      <c r="N760" t="str">
        <f>""</f>
        <v/>
      </c>
      <c r="O760" t="str">
        <f>""</f>
        <v/>
      </c>
    </row>
    <row r="761" spans="1:15" x14ac:dyDescent="0.25">
      <c r="A761" t="str">
        <f>"                    Kolon Industries Inc"</f>
        <v xml:space="preserve">                    Kolon Industries Inc</v>
      </c>
      <c r="B761" t="str">
        <f>"120110 KS Equity"</f>
        <v>120110 KS Equity</v>
      </c>
      <c r="C761" t="str">
        <f t="shared" si="78"/>
        <v>F0946</v>
      </c>
      <c r="D761" t="str">
        <f t="shared" si="79"/>
        <v>TOTAL_GHG_CO2_EMISSIONS</v>
      </c>
      <c r="E761" t="str">
        <f t="shared" si="80"/>
        <v>Dynamic</v>
      </c>
      <c r="F761" t="str">
        <f ca="1">IF(AND(ISNUMBER($F$1852),$B$1132=1),$F$1852,HLOOKUP(INDIRECT(ADDRESS(2,COLUMN())),OFFSET($K$2,0,0,ROW()-1,5),ROW()-1,FALSE))</f>
        <v/>
      </c>
      <c r="G761" t="str">
        <f ca="1">IF(AND(ISNUMBER($G$1852),$B$1132=1),$G$1852,HLOOKUP(INDIRECT(ADDRESS(2,COLUMN())),OFFSET($K$2,0,0,ROW()-1,5),ROW()-1,FALSE))</f>
        <v/>
      </c>
      <c r="H761" t="str">
        <f ca="1">IF(AND(ISNUMBER($H$1852),$B$1132=1),$H$1852,HLOOKUP(INDIRECT(ADDRESS(2,COLUMN())),OFFSET($K$2,0,0,ROW()-1,5),ROW()-1,FALSE))</f>
        <v/>
      </c>
      <c r="I761" t="str">
        <f ca="1">IF(AND(ISNUMBER($I$1852),$B$1132=1),$I$1852,HLOOKUP(INDIRECT(ADDRESS(2,COLUMN())),OFFSET($K$2,0,0,ROW()-1,5),ROW()-1,FALSE))</f>
        <v/>
      </c>
      <c r="J761" t="str">
        <f ca="1">IF(AND(ISNUMBER($J$1852),$B$1132=1),$J$1852,HLOOKUP(INDIRECT(ADDRESS(2,COLUMN())),OFFSET($K$2,0,0,ROW()-1,5),ROW()-1,FALSE))</f>
        <v/>
      </c>
      <c r="K761" t="str">
        <f>""</f>
        <v/>
      </c>
      <c r="L761" t="str">
        <f>""</f>
        <v/>
      </c>
      <c r="M761" t="str">
        <f>""</f>
        <v/>
      </c>
      <c r="N761" t="str">
        <f>""</f>
        <v/>
      </c>
      <c r="O761" t="str">
        <f>""</f>
        <v/>
      </c>
    </row>
    <row r="762" spans="1:15" x14ac:dyDescent="0.25">
      <c r="A762" t="str">
        <f>"                    Koppers Holdings Inc"</f>
        <v xml:space="preserve">                    Koppers Holdings Inc</v>
      </c>
      <c r="B762" t="str">
        <f>"KOP US Equity"</f>
        <v>KOP US Equity</v>
      </c>
      <c r="C762" t="str">
        <f t="shared" si="78"/>
        <v>F0946</v>
      </c>
      <c r="D762" t="str">
        <f t="shared" si="79"/>
        <v>TOTAL_GHG_CO2_EMISSIONS</v>
      </c>
      <c r="E762" t="str">
        <f t="shared" si="80"/>
        <v>Dynamic</v>
      </c>
      <c r="F762" t="str">
        <f ca="1">IF(AND(ISNUMBER($F$1853),$B$1132=1),$F$1853,HLOOKUP(INDIRECT(ADDRESS(2,COLUMN())),OFFSET($K$2,0,0,ROW()-1,5),ROW()-1,FALSE))</f>
        <v/>
      </c>
      <c r="G762">
        <f ca="1">IF(AND(ISNUMBER($G$1853),$B$1132=1),$G$1853,HLOOKUP(INDIRECT(ADDRESS(2,COLUMN())),OFFSET($K$2,0,0,ROW()-1,5),ROW()-1,FALSE))</f>
        <v>0.42806899999999998</v>
      </c>
      <c r="H762">
        <f ca="1">IF(AND(ISNUMBER($H$1853),$B$1132=1),$H$1853,HLOOKUP(INDIRECT(ADDRESS(2,COLUMN())),OFFSET($K$2,0,0,ROW()-1,5),ROW()-1,FALSE))</f>
        <v>0.48525698900000003</v>
      </c>
      <c r="I762">
        <f ca="1">IF(AND(ISNUMBER($I$1853),$B$1132=1),$I$1853,HLOOKUP(INDIRECT(ADDRESS(2,COLUMN())),OFFSET($K$2,0,0,ROW()-1,5),ROW()-1,FALSE))</f>
        <v>0.52351800500000001</v>
      </c>
      <c r="J762">
        <f ca="1">IF(AND(ISNUMBER($J$1853),$B$1132=1),$J$1853,HLOOKUP(INDIRECT(ADDRESS(2,COLUMN())),OFFSET($K$2,0,0,ROW()-1,5),ROW()-1,FALSE))</f>
        <v>0.48699499499999999</v>
      </c>
      <c r="K762" t="str">
        <f>""</f>
        <v/>
      </c>
      <c r="L762">
        <f>0.428069</f>
        <v>0.42806899999999998</v>
      </c>
      <c r="M762">
        <f>0.485256989</f>
        <v>0.48525698900000003</v>
      </c>
      <c r="N762">
        <f>0.523518005</f>
        <v>0.52351800500000001</v>
      </c>
      <c r="O762">
        <f>0.486994995</f>
        <v>0.48699499499999999</v>
      </c>
    </row>
    <row r="763" spans="1:15" x14ac:dyDescent="0.25">
      <c r="A763" t="str">
        <f>"                    Kumho Petrochemical Co Ltd"</f>
        <v xml:space="preserve">                    Kumho Petrochemical Co Ltd</v>
      </c>
      <c r="B763" t="str">
        <f>"011780 KS Equity"</f>
        <v>011780 KS Equity</v>
      </c>
      <c r="C763" t="str">
        <f t="shared" si="78"/>
        <v>F0946</v>
      </c>
      <c r="D763" t="str">
        <f t="shared" si="79"/>
        <v>TOTAL_GHG_CO2_EMISSIONS</v>
      </c>
      <c r="E763" t="str">
        <f t="shared" si="80"/>
        <v>Dynamic</v>
      </c>
      <c r="F763" t="str">
        <f ca="1">IF(AND(ISNUMBER($F$1854),$B$1132=1),$F$1854,HLOOKUP(INDIRECT(ADDRESS(2,COLUMN())),OFFSET($K$2,0,0,ROW()-1,5),ROW()-1,FALSE))</f>
        <v/>
      </c>
      <c r="G763" t="str">
        <f ca="1">IF(AND(ISNUMBER($G$1854),$B$1132=1),$G$1854,HLOOKUP(INDIRECT(ADDRESS(2,COLUMN())),OFFSET($K$2,0,0,ROW()-1,5),ROW()-1,FALSE))</f>
        <v/>
      </c>
      <c r="H763">
        <f ca="1">IF(AND(ISNUMBER($H$1854),$B$1132=1),$H$1854,HLOOKUP(INDIRECT(ADDRESS(2,COLUMN())),OFFSET($K$2,0,0,ROW()-1,5),ROW()-1,FALSE))</f>
        <v>3.494330078</v>
      </c>
      <c r="I763">
        <f ca="1">IF(AND(ISNUMBER($I$1854),$B$1132=1),$I$1854,HLOOKUP(INDIRECT(ADDRESS(2,COLUMN())),OFFSET($K$2,0,0,ROW()-1,5),ROW()-1,FALSE))</f>
        <v>3.5103601069999999</v>
      </c>
      <c r="J763" t="str">
        <f ca="1">IF(AND(ISNUMBER($J$1854),$B$1132=1),$J$1854,HLOOKUP(INDIRECT(ADDRESS(2,COLUMN())),OFFSET($K$2,0,0,ROW()-1,5),ROW()-1,FALSE))</f>
        <v/>
      </c>
      <c r="K763" t="str">
        <f>""</f>
        <v/>
      </c>
      <c r="L763" t="str">
        <f>""</f>
        <v/>
      </c>
      <c r="M763">
        <f>3.494330078</f>
        <v>3.494330078</v>
      </c>
      <c r="N763">
        <f>3.510360107</f>
        <v>3.5103601069999999</v>
      </c>
      <c r="O763" t="str">
        <f>""</f>
        <v/>
      </c>
    </row>
    <row r="764" spans="1:15" x14ac:dyDescent="0.25">
      <c r="A764" t="str">
        <f>"                    Kaneka Corp"</f>
        <v xml:space="preserve">                    Kaneka Corp</v>
      </c>
      <c r="B764" t="str">
        <f>"4118 JP Equity"</f>
        <v>4118 JP Equity</v>
      </c>
      <c r="C764" t="str">
        <f t="shared" si="78"/>
        <v>F0946</v>
      </c>
      <c r="D764" t="str">
        <f t="shared" si="79"/>
        <v>TOTAL_GHG_CO2_EMISSIONS</v>
      </c>
      <c r="E764" t="str">
        <f t="shared" si="80"/>
        <v>Dynamic</v>
      </c>
      <c r="F764" t="str">
        <f ca="1">IF(AND(ISNUMBER($F$1855),$B$1132=1),$F$1855,HLOOKUP(INDIRECT(ADDRESS(2,COLUMN())),OFFSET($K$2,0,0,ROW()-1,5),ROW()-1,FALSE))</f>
        <v/>
      </c>
      <c r="G764">
        <f ca="1">IF(AND(ISNUMBER($G$1855),$B$1132=1),$G$1855,HLOOKUP(INDIRECT(ADDRESS(2,COLUMN())),OFFSET($K$2,0,0,ROW()-1,5),ROW()-1,FALSE))</f>
        <v>1.548</v>
      </c>
      <c r="H764">
        <f ca="1">IF(AND(ISNUMBER($H$1855),$B$1132=1),$H$1855,HLOOKUP(INDIRECT(ADDRESS(2,COLUMN())),OFFSET($K$2,0,0,ROW()-1,5),ROW()-1,FALSE))</f>
        <v>1.461400024</v>
      </c>
      <c r="I764">
        <f ca="1">IF(AND(ISNUMBER($I$1855),$B$1132=1),$I$1855,HLOOKUP(INDIRECT(ADDRESS(2,COLUMN())),OFFSET($K$2,0,0,ROW()-1,5),ROW()-1,FALSE))</f>
        <v>1.46</v>
      </c>
      <c r="J764">
        <f ca="1">IF(AND(ISNUMBER($J$1855),$B$1132=1),$J$1855,HLOOKUP(INDIRECT(ADDRESS(2,COLUMN())),OFFSET($K$2,0,0,ROW()-1,5),ROW()-1,FALSE))</f>
        <v>1.569</v>
      </c>
      <c r="K764" t="str">
        <f>""</f>
        <v/>
      </c>
      <c r="L764">
        <f>1.548</f>
        <v>1.548</v>
      </c>
      <c r="M764">
        <f>1.461400024</f>
        <v>1.461400024</v>
      </c>
      <c r="N764">
        <f>1.46</f>
        <v>1.46</v>
      </c>
      <c r="O764">
        <f>1.569</f>
        <v>1.569</v>
      </c>
    </row>
    <row r="765" spans="1:15" x14ac:dyDescent="0.25">
      <c r="A765" t="str">
        <f>"                    Kuraray Co Ltd"</f>
        <v xml:space="preserve">                    Kuraray Co Ltd</v>
      </c>
      <c r="B765" t="str">
        <f>"3405 JP Equity"</f>
        <v>3405 JP Equity</v>
      </c>
      <c r="C765" t="str">
        <f t="shared" si="78"/>
        <v>F0946</v>
      </c>
      <c r="D765" t="str">
        <f t="shared" si="79"/>
        <v>TOTAL_GHG_CO2_EMISSIONS</v>
      </c>
      <c r="E765" t="str">
        <f t="shared" si="80"/>
        <v>Dynamic</v>
      </c>
      <c r="F765">
        <f ca="1">IF(AND(ISNUMBER($F$1856),$B$1132=1),$F$1856,HLOOKUP(INDIRECT(ADDRESS(2,COLUMN())),OFFSET($K$2,0,0,ROW()-1,5),ROW()-1,FALSE))</f>
        <v>2.8969999999999998</v>
      </c>
      <c r="G765">
        <f ca="1">IF(AND(ISNUMBER($G$1856),$B$1132=1),$G$1856,HLOOKUP(INDIRECT(ADDRESS(2,COLUMN())),OFFSET($K$2,0,0,ROW()-1,5),ROW()-1,FALSE))</f>
        <v>2.96</v>
      </c>
      <c r="H765">
        <f ca="1">IF(AND(ISNUMBER($H$1856),$B$1132=1),$H$1856,HLOOKUP(INDIRECT(ADDRESS(2,COLUMN())),OFFSET($K$2,0,0,ROW()-1,5),ROW()-1,FALSE))</f>
        <v>3.0449999999999999</v>
      </c>
      <c r="I765">
        <f ca="1">IF(AND(ISNUMBER($I$1856),$B$1132=1),$I$1856,HLOOKUP(INDIRECT(ADDRESS(2,COLUMN())),OFFSET($K$2,0,0,ROW()-1,5),ROW()-1,FALSE))</f>
        <v>3.23</v>
      </c>
      <c r="J765">
        <f ca="1">IF(AND(ISNUMBER($J$1856),$B$1132=1),$J$1856,HLOOKUP(INDIRECT(ADDRESS(2,COLUMN())),OFFSET($K$2,0,0,ROW()-1,5),ROW()-1,FALSE))</f>
        <v>3.1880000000000002</v>
      </c>
      <c r="K765">
        <f>2.897</f>
        <v>2.8969999999999998</v>
      </c>
      <c r="L765">
        <f>2.96</f>
        <v>2.96</v>
      </c>
      <c r="M765">
        <f>3.045</f>
        <v>3.0449999999999999</v>
      </c>
      <c r="N765">
        <f>3.23</f>
        <v>3.23</v>
      </c>
      <c r="O765">
        <f>3.188</f>
        <v>3.1880000000000002</v>
      </c>
    </row>
    <row r="766" spans="1:15" x14ac:dyDescent="0.25">
      <c r="A766" t="str">
        <f>"                    LANXESS AG"</f>
        <v xml:space="preserve">                    LANXESS AG</v>
      </c>
      <c r="B766" t="str">
        <f>"LXS GR Equity"</f>
        <v>LXS GR Equity</v>
      </c>
      <c r="C766" t="str">
        <f t="shared" ref="C766:C797" si="81">"F0946"</f>
        <v>F0946</v>
      </c>
      <c r="D766" t="str">
        <f t="shared" ref="D766:D797" si="82">"TOTAL_GHG_CO2_EMISSIONS"</f>
        <v>TOTAL_GHG_CO2_EMISSIONS</v>
      </c>
      <c r="E766" t="str">
        <f t="shared" ref="E766:E797" si="83">"Dynamic"</f>
        <v>Dynamic</v>
      </c>
      <c r="F766" t="str">
        <f ca="1">IF(AND(ISNUMBER($F$1857),$B$1132=1),$F$1857,HLOOKUP(INDIRECT(ADDRESS(2,COLUMN())),OFFSET($K$2,0,0,ROW()-1,5),ROW()-1,FALSE))</f>
        <v/>
      </c>
      <c r="G766">
        <f ca="1">IF(AND(ISNUMBER($G$1857),$B$1132=1),$G$1857,HLOOKUP(INDIRECT(ADDRESS(2,COLUMN())),OFFSET($K$2,0,0,ROW()-1,5),ROW()-1,FALSE))</f>
        <v>2.8460000000000001</v>
      </c>
      <c r="H766">
        <f ca="1">IF(AND(ISNUMBER($H$1857),$B$1132=1),$H$1857,HLOOKUP(INDIRECT(ADDRESS(2,COLUMN())),OFFSET($K$2,0,0,ROW()-1,5),ROW()-1,FALSE))</f>
        <v>2.9079999999999999</v>
      </c>
      <c r="I766">
        <f ca="1">IF(AND(ISNUMBER($I$1857),$B$1132=1),$I$1857,HLOOKUP(INDIRECT(ADDRESS(2,COLUMN())),OFFSET($K$2,0,0,ROW()-1,5),ROW()-1,FALSE))</f>
        <v>3.4929999999999999</v>
      </c>
      <c r="J766">
        <f ca="1">IF(AND(ISNUMBER($J$1857),$B$1132=1),$J$1857,HLOOKUP(INDIRECT(ADDRESS(2,COLUMN())),OFFSET($K$2,0,0,ROW()-1,5),ROW()-1,FALSE))</f>
        <v>5.7960000000000003</v>
      </c>
      <c r="K766" t="str">
        <f>""</f>
        <v/>
      </c>
      <c r="L766">
        <f>2.846</f>
        <v>2.8460000000000001</v>
      </c>
      <c r="M766">
        <f>2.908</f>
        <v>2.9079999999999999</v>
      </c>
      <c r="N766">
        <f>3.493</f>
        <v>3.4929999999999999</v>
      </c>
      <c r="O766">
        <f>5.796</f>
        <v>5.7960000000000003</v>
      </c>
    </row>
    <row r="767" spans="1:15" x14ac:dyDescent="0.25">
      <c r="A767" t="str">
        <f>"                    LG Chem Ltd"</f>
        <v xml:space="preserve">                    LG Chem Ltd</v>
      </c>
      <c r="B767" t="str">
        <f>"051910 KS Equity"</f>
        <v>051910 KS Equity</v>
      </c>
      <c r="C767" t="str">
        <f t="shared" si="81"/>
        <v>F0946</v>
      </c>
      <c r="D767" t="str">
        <f t="shared" si="82"/>
        <v>TOTAL_GHG_CO2_EMISSIONS</v>
      </c>
      <c r="E767" t="str">
        <f t="shared" si="83"/>
        <v>Dynamic</v>
      </c>
      <c r="F767" t="str">
        <f ca="1">IF(AND(ISNUMBER($F$1858),$B$1132=1),$F$1858,HLOOKUP(INDIRECT(ADDRESS(2,COLUMN())),OFFSET($K$2,0,0,ROW()-1,5),ROW()-1,FALSE))</f>
        <v/>
      </c>
      <c r="G767">
        <f ca="1">IF(AND(ISNUMBER($G$1858),$B$1132=1),$G$1858,HLOOKUP(INDIRECT(ADDRESS(2,COLUMN())),OFFSET($K$2,0,0,ROW()-1,5),ROW()-1,FALSE))</f>
        <v>10.339700199999999</v>
      </c>
      <c r="H767">
        <f ca="1">IF(AND(ISNUMBER($H$1858),$B$1132=1),$H$1858,HLOOKUP(INDIRECT(ADDRESS(2,COLUMN())),OFFSET($K$2,0,0,ROW()-1,5),ROW()-1,FALSE))</f>
        <v>9.5197802730000003</v>
      </c>
      <c r="I767">
        <f ca="1">IF(AND(ISNUMBER($I$1858),$B$1132=1),$I$1858,HLOOKUP(INDIRECT(ADDRESS(2,COLUMN())),OFFSET($K$2,0,0,ROW()-1,5),ROW()-1,FALSE))</f>
        <v>10.5832002</v>
      </c>
      <c r="J767">
        <f ca="1">IF(AND(ISNUMBER($J$1858),$B$1132=1),$J$1858,HLOOKUP(INDIRECT(ADDRESS(2,COLUMN())),OFFSET($K$2,0,0,ROW()-1,5),ROW()-1,FALSE))</f>
        <v>9.9878701169999999</v>
      </c>
      <c r="K767" t="str">
        <f>""</f>
        <v/>
      </c>
      <c r="L767">
        <f>10.3397002</f>
        <v>10.339700199999999</v>
      </c>
      <c r="M767">
        <f>9.519780273</f>
        <v>9.5197802730000003</v>
      </c>
      <c r="N767">
        <f>10.5832002</f>
        <v>10.5832002</v>
      </c>
      <c r="O767">
        <f>9.987870117</f>
        <v>9.9878701169999999</v>
      </c>
    </row>
    <row r="768" spans="1:15" x14ac:dyDescent="0.25">
      <c r="A768" t="str">
        <f>"                    Lotte Chemical Corp"</f>
        <v xml:space="preserve">                    Lotte Chemical Corp</v>
      </c>
      <c r="B768" t="str">
        <f>"011170 KS Equity"</f>
        <v>011170 KS Equity</v>
      </c>
      <c r="C768" t="str">
        <f t="shared" si="81"/>
        <v>F0946</v>
      </c>
      <c r="D768" t="str">
        <f t="shared" si="82"/>
        <v>TOTAL_GHG_CO2_EMISSIONS</v>
      </c>
      <c r="E768" t="str">
        <f t="shared" si="83"/>
        <v>Dynamic</v>
      </c>
      <c r="F768" t="str">
        <f ca="1">IF(AND(ISNUMBER($F$1859),$B$1132=1),$F$1859,HLOOKUP(INDIRECT(ADDRESS(2,COLUMN())),OFFSET($K$2,0,0,ROW()-1,5),ROW()-1,FALSE))</f>
        <v/>
      </c>
      <c r="G768">
        <f ca="1">IF(AND(ISNUMBER($G$1859),$B$1132=1),$G$1859,HLOOKUP(INDIRECT(ADDRESS(2,COLUMN())),OFFSET($K$2,0,0,ROW()-1,5),ROW()-1,FALSE))</f>
        <v>6.5421098630000003</v>
      </c>
      <c r="H768">
        <f ca="1">IF(AND(ISNUMBER($H$1859),$B$1132=1),$H$1859,HLOOKUP(INDIRECT(ADDRESS(2,COLUMN())),OFFSET($K$2,0,0,ROW()-1,5),ROW()-1,FALSE))</f>
        <v>5.5742700200000002</v>
      </c>
      <c r="I768">
        <f ca="1">IF(AND(ISNUMBER($I$1859),$B$1132=1),$I$1859,HLOOKUP(INDIRECT(ADDRESS(2,COLUMN())),OFFSET($K$2,0,0,ROW()-1,5),ROW()-1,FALSE))</f>
        <v>6.372649902</v>
      </c>
      <c r="J768">
        <f ca="1">IF(AND(ISNUMBER($J$1859),$B$1132=1),$J$1859,HLOOKUP(INDIRECT(ADDRESS(2,COLUMN())),OFFSET($K$2,0,0,ROW()-1,5),ROW()-1,FALSE))</f>
        <v>5.8812700199999997</v>
      </c>
      <c r="K768" t="str">
        <f>""</f>
        <v/>
      </c>
      <c r="L768">
        <f>6.542109863</f>
        <v>6.5421098630000003</v>
      </c>
      <c r="M768">
        <f>5.57427002</f>
        <v>5.5742700200000002</v>
      </c>
      <c r="N768">
        <f>6.372649902</f>
        <v>6.372649902</v>
      </c>
      <c r="O768">
        <f>5.88127002</f>
        <v>5.8812700199999997</v>
      </c>
    </row>
    <row r="769" spans="1:15" x14ac:dyDescent="0.25">
      <c r="A769" t="str">
        <f>"                    LyondellBasell Industries NV"</f>
        <v xml:space="preserve">                    LyondellBasell Industries NV</v>
      </c>
      <c r="B769" t="str">
        <f>"LYB US Equity"</f>
        <v>LYB US Equity</v>
      </c>
      <c r="C769" t="str">
        <f t="shared" si="81"/>
        <v>F0946</v>
      </c>
      <c r="D769" t="str">
        <f t="shared" si="82"/>
        <v>TOTAL_GHG_CO2_EMISSIONS</v>
      </c>
      <c r="E769" t="str">
        <f t="shared" si="83"/>
        <v>Dynamic</v>
      </c>
      <c r="F769">
        <f ca="1">IF(AND(ISNUMBER($F$1860),$B$1132=1),$F$1860,HLOOKUP(INDIRECT(ADDRESS(2,COLUMN())),OFFSET($K$2,0,0,ROW()-1,5),ROW()-1,FALSE))</f>
        <v>21.7</v>
      </c>
      <c r="G769">
        <f ca="1">IF(AND(ISNUMBER($G$1860),$B$1132=1),$G$1860,HLOOKUP(INDIRECT(ADDRESS(2,COLUMN())),OFFSET($K$2,0,0,ROW()-1,5),ROW()-1,FALSE))</f>
        <v>23.301099610000001</v>
      </c>
      <c r="H769">
        <f ca="1">IF(AND(ISNUMBER($H$1860),$B$1132=1),$H$1860,HLOOKUP(INDIRECT(ADDRESS(2,COLUMN())),OFFSET($K$2,0,0,ROW()-1,5),ROW()-1,FALSE))</f>
        <v>24.28380078</v>
      </c>
      <c r="I769">
        <f ca="1">IF(AND(ISNUMBER($I$1860),$B$1132=1),$I$1860,HLOOKUP(INDIRECT(ADDRESS(2,COLUMN())),OFFSET($K$2,0,0,ROW()-1,5),ROW()-1,FALSE))</f>
        <v>23.170999999999999</v>
      </c>
      <c r="J769">
        <f ca="1">IF(AND(ISNUMBER($J$1860),$B$1132=1),$J$1860,HLOOKUP(INDIRECT(ADDRESS(2,COLUMN())),OFFSET($K$2,0,0,ROW()-1,5),ROW()-1,FALSE))</f>
        <v>23.379000000000001</v>
      </c>
      <c r="K769">
        <f>21.7</f>
        <v>21.7</v>
      </c>
      <c r="L769">
        <f>23.30109961</f>
        <v>23.301099610000001</v>
      </c>
      <c r="M769">
        <f>24.28380078</f>
        <v>24.28380078</v>
      </c>
      <c r="N769">
        <f>23.171</f>
        <v>23.170999999999999</v>
      </c>
      <c r="O769">
        <f>23.379</f>
        <v>23.379000000000001</v>
      </c>
    </row>
    <row r="770" spans="1:15" x14ac:dyDescent="0.25">
      <c r="A770" t="str">
        <f>"                    Luxi Chemical Group Co Ltd"</f>
        <v xml:space="preserve">                    Luxi Chemical Group Co Ltd</v>
      </c>
      <c r="B770" t="str">
        <f>"000830 CH Equity"</f>
        <v>000830 CH Equity</v>
      </c>
      <c r="C770" t="str">
        <f t="shared" si="81"/>
        <v>F0946</v>
      </c>
      <c r="D770" t="str">
        <f t="shared" si="82"/>
        <v>TOTAL_GHG_CO2_EMISSIONS</v>
      </c>
      <c r="E770" t="str">
        <f t="shared" si="83"/>
        <v>Dynamic</v>
      </c>
      <c r="F770" t="str">
        <f ca="1">IF(AND(ISNUMBER($F$1861),$B$1132=1),$F$1861,HLOOKUP(INDIRECT(ADDRESS(2,COLUMN())),OFFSET($K$2,0,0,ROW()-1,5),ROW()-1,FALSE))</f>
        <v/>
      </c>
      <c r="G770" t="str">
        <f ca="1">IF(AND(ISNUMBER($G$1861),$B$1132=1),$G$1861,HLOOKUP(INDIRECT(ADDRESS(2,COLUMN())),OFFSET($K$2,0,0,ROW()-1,5),ROW()-1,FALSE))</f>
        <v/>
      </c>
      <c r="H770" t="str">
        <f ca="1">IF(AND(ISNUMBER($H$1861),$B$1132=1),$H$1861,HLOOKUP(INDIRECT(ADDRESS(2,COLUMN())),OFFSET($K$2,0,0,ROW()-1,5),ROW()-1,FALSE))</f>
        <v/>
      </c>
      <c r="I770" t="str">
        <f ca="1">IF(AND(ISNUMBER($I$1861),$B$1132=1),$I$1861,HLOOKUP(INDIRECT(ADDRESS(2,COLUMN())),OFFSET($K$2,0,0,ROW()-1,5),ROW()-1,FALSE))</f>
        <v/>
      </c>
      <c r="J770" t="str">
        <f ca="1">IF(AND(ISNUMBER($J$1861),$B$1132=1),$J$1861,HLOOKUP(INDIRECT(ADDRESS(2,COLUMN())),OFFSET($K$2,0,0,ROW()-1,5),ROW()-1,FALSE))</f>
        <v/>
      </c>
      <c r="K770" t="str">
        <f>""</f>
        <v/>
      </c>
      <c r="L770" t="str">
        <f>""</f>
        <v/>
      </c>
      <c r="M770" t="str">
        <f>""</f>
        <v/>
      </c>
      <c r="N770" t="str">
        <f>""</f>
        <v/>
      </c>
      <c r="O770" t="str">
        <f>""</f>
        <v/>
      </c>
    </row>
    <row r="771" spans="1:15" x14ac:dyDescent="0.25">
      <c r="A771" t="str">
        <f>"                    Mitsui Chemicals Inc"</f>
        <v xml:space="preserve">                    Mitsui Chemicals Inc</v>
      </c>
      <c r="B771" t="str">
        <f>"4183 JP Equity"</f>
        <v>4183 JP Equity</v>
      </c>
      <c r="C771" t="str">
        <f t="shared" si="81"/>
        <v>F0946</v>
      </c>
      <c r="D771" t="str">
        <f t="shared" si="82"/>
        <v>TOTAL_GHG_CO2_EMISSIONS</v>
      </c>
      <c r="E771" t="str">
        <f t="shared" si="83"/>
        <v>Dynamic</v>
      </c>
      <c r="F771" t="str">
        <f ca="1">IF(AND(ISNUMBER($F$1862),$B$1132=1),$F$1862,HLOOKUP(INDIRECT(ADDRESS(2,COLUMN())),OFFSET($K$2,0,0,ROW()-1,5),ROW()-1,FALSE))</f>
        <v/>
      </c>
      <c r="G771">
        <f ca="1">IF(AND(ISNUMBER($G$1862),$B$1132=1),$G$1862,HLOOKUP(INDIRECT(ADDRESS(2,COLUMN())),OFFSET($K$2,0,0,ROW()-1,5),ROW()-1,FALSE))</f>
        <v>4.8730000000000002</v>
      </c>
      <c r="H771">
        <f ca="1">IF(AND(ISNUMBER($H$1862),$B$1132=1),$H$1862,HLOOKUP(INDIRECT(ADDRESS(2,COLUMN())),OFFSET($K$2,0,0,ROW()-1,5),ROW()-1,FALSE))</f>
        <v>4.9329999999999998</v>
      </c>
      <c r="I771">
        <f ca="1">IF(AND(ISNUMBER($I$1862),$B$1132=1),$I$1862,HLOOKUP(INDIRECT(ADDRESS(2,COLUMN())),OFFSET($K$2,0,0,ROW()-1,5),ROW()-1,FALSE))</f>
        <v>5.07</v>
      </c>
      <c r="J771">
        <f ca="1">IF(AND(ISNUMBER($J$1862),$B$1132=1),$J$1862,HLOOKUP(INDIRECT(ADDRESS(2,COLUMN())),OFFSET($K$2,0,0,ROW()-1,5),ROW()-1,FALSE))</f>
        <v>5.22</v>
      </c>
      <c r="K771" t="str">
        <f>""</f>
        <v/>
      </c>
      <c r="L771">
        <f>4.873</f>
        <v>4.8730000000000002</v>
      </c>
      <c r="M771">
        <f>4.933</f>
        <v>4.9329999999999998</v>
      </c>
      <c r="N771">
        <f>5.07</f>
        <v>5.07</v>
      </c>
      <c r="O771">
        <f>5.22</f>
        <v>5.22</v>
      </c>
    </row>
    <row r="772" spans="1:15" x14ac:dyDescent="0.25">
      <c r="A772" t="str">
        <f>"                    Methanex Corp"</f>
        <v xml:space="preserve">                    Methanex Corp</v>
      </c>
      <c r="B772" t="str">
        <f>"MX CN Equity"</f>
        <v>MX CN Equity</v>
      </c>
      <c r="C772" t="str">
        <f t="shared" si="81"/>
        <v>F0946</v>
      </c>
      <c r="D772" t="str">
        <f t="shared" si="82"/>
        <v>TOTAL_GHG_CO2_EMISSIONS</v>
      </c>
      <c r="E772" t="str">
        <f t="shared" si="83"/>
        <v>Dynamic</v>
      </c>
      <c r="F772">
        <f ca="1">IF(AND(ISNUMBER($F$1863),$B$1132=1),$F$1863,HLOOKUP(INDIRECT(ADDRESS(2,COLUMN())),OFFSET($K$2,0,0,ROW()-1,5),ROW()-1,FALSE))</f>
        <v>3.9940000000000002</v>
      </c>
      <c r="G772">
        <f ca="1">IF(AND(ISNUMBER($G$1863),$B$1132=1),$G$1863,HLOOKUP(INDIRECT(ADDRESS(2,COLUMN())),OFFSET($K$2,0,0,ROW()-1,5),ROW()-1,FALSE))</f>
        <v>4.0640000000000001</v>
      </c>
      <c r="H772">
        <f ca="1">IF(AND(ISNUMBER($H$1863),$B$1132=1),$H$1863,HLOOKUP(INDIRECT(ADDRESS(2,COLUMN())),OFFSET($K$2,0,0,ROW()-1,5),ROW()-1,FALSE))</f>
        <v>3.9546000979999998</v>
      </c>
      <c r="I772">
        <f ca="1">IF(AND(ISNUMBER($I$1863),$B$1132=1),$I$1863,HLOOKUP(INDIRECT(ADDRESS(2,COLUMN())),OFFSET($K$2,0,0,ROW()-1,5),ROW()-1,FALSE))</f>
        <v>5.3918798829999997</v>
      </c>
      <c r="J772">
        <f ca="1">IF(AND(ISNUMBER($J$1863),$B$1132=1),$J$1863,HLOOKUP(INDIRECT(ADDRESS(2,COLUMN())),OFFSET($K$2,0,0,ROW()-1,5),ROW()-1,FALSE))</f>
        <v>4.9224799800000003</v>
      </c>
      <c r="K772">
        <f>3.994</f>
        <v>3.9940000000000002</v>
      </c>
      <c r="L772">
        <f>4.064</f>
        <v>4.0640000000000001</v>
      </c>
      <c r="M772">
        <f>3.954600098</f>
        <v>3.9546000979999998</v>
      </c>
      <c r="N772">
        <f>5.391879883</f>
        <v>5.3918798829999997</v>
      </c>
      <c r="O772">
        <f>4.92247998</f>
        <v>4.9224799800000003</v>
      </c>
    </row>
    <row r="773" spans="1:15" x14ac:dyDescent="0.25">
      <c r="A773" t="str">
        <f>"                    Mitsubishi Chemical Group Corp"</f>
        <v xml:space="preserve">                    Mitsubishi Chemical Group Corp</v>
      </c>
      <c r="B773" t="str">
        <f>"4188 JP Equity"</f>
        <v>4188 JP Equity</v>
      </c>
      <c r="C773" t="str">
        <f t="shared" si="81"/>
        <v>F0946</v>
      </c>
      <c r="D773" t="str">
        <f t="shared" si="82"/>
        <v>TOTAL_GHG_CO2_EMISSIONS</v>
      </c>
      <c r="E773" t="str">
        <f t="shared" si="83"/>
        <v>Dynamic</v>
      </c>
      <c r="F773" t="str">
        <f ca="1">IF(AND(ISNUMBER($F$1864),$B$1132=1),$F$1864,HLOOKUP(INDIRECT(ADDRESS(2,COLUMN())),OFFSET($K$2,0,0,ROW()-1,5),ROW()-1,FALSE))</f>
        <v/>
      </c>
      <c r="G773">
        <f ca="1">IF(AND(ISNUMBER($G$1864),$B$1132=1),$G$1864,HLOOKUP(INDIRECT(ADDRESS(2,COLUMN())),OFFSET($K$2,0,0,ROW()-1,5),ROW()-1,FALSE))</f>
        <v>16.079000000000001</v>
      </c>
      <c r="H773">
        <f ca="1">IF(AND(ISNUMBER($H$1864),$B$1132=1),$H$1864,HLOOKUP(INDIRECT(ADDRESS(2,COLUMN())),OFFSET($K$2,0,0,ROW()-1,5),ROW()-1,FALSE))</f>
        <v>15.326000000000001</v>
      </c>
      <c r="I773">
        <f ca="1">IF(AND(ISNUMBER($I$1864),$B$1132=1),$I$1864,HLOOKUP(INDIRECT(ADDRESS(2,COLUMN())),OFFSET($K$2,0,0,ROW()-1,5),ROW()-1,FALSE))</f>
        <v>16.629000000000001</v>
      </c>
      <c r="J773">
        <f ca="1">IF(AND(ISNUMBER($J$1864),$B$1132=1),$J$1864,HLOOKUP(INDIRECT(ADDRESS(2,COLUMN())),OFFSET($K$2,0,0,ROW()-1,5),ROW()-1,FALSE))</f>
        <v>14.186999999999999</v>
      </c>
      <c r="K773" t="str">
        <f>""</f>
        <v/>
      </c>
      <c r="L773">
        <f>16.079</f>
        <v>16.079000000000001</v>
      </c>
      <c r="M773">
        <f>15.326</f>
        <v>15.326000000000001</v>
      </c>
      <c r="N773">
        <f>16.629</f>
        <v>16.629000000000001</v>
      </c>
      <c r="O773">
        <f>14.187</f>
        <v>14.186999999999999</v>
      </c>
    </row>
    <row r="774" spans="1:15" x14ac:dyDescent="0.25">
      <c r="A774" t="str">
        <f>"                    Mitsubishi Gas Chemical Co Inc"</f>
        <v xml:space="preserve">                    Mitsubishi Gas Chemical Co Inc</v>
      </c>
      <c r="B774" t="str">
        <f>"4182 JP Equity"</f>
        <v>4182 JP Equity</v>
      </c>
      <c r="C774" t="str">
        <f t="shared" si="81"/>
        <v>F0946</v>
      </c>
      <c r="D774" t="str">
        <f t="shared" si="82"/>
        <v>TOTAL_GHG_CO2_EMISSIONS</v>
      </c>
      <c r="E774" t="str">
        <f t="shared" si="83"/>
        <v>Dynamic</v>
      </c>
      <c r="F774" t="str">
        <f ca="1">IF(AND(ISNUMBER($F$1865),$B$1132=1),$F$1865,HLOOKUP(INDIRECT(ADDRESS(2,COLUMN())),OFFSET($K$2,0,0,ROW()-1,5),ROW()-1,FALSE))</f>
        <v/>
      </c>
      <c r="G774">
        <f ca="1">IF(AND(ISNUMBER($G$1865),$B$1132=1),$G$1865,HLOOKUP(INDIRECT(ADDRESS(2,COLUMN())),OFFSET($K$2,0,0,ROW()-1,5),ROW()-1,FALSE))</f>
        <v>1.5078299559999999</v>
      </c>
      <c r="H774">
        <f ca="1">IF(AND(ISNUMBER($H$1865),$B$1132=1),$H$1865,HLOOKUP(INDIRECT(ADDRESS(2,COLUMN())),OFFSET($K$2,0,0,ROW()-1,5),ROW()-1,FALSE))</f>
        <v>1.363890015</v>
      </c>
      <c r="I774" t="str">
        <f ca="1">IF(AND(ISNUMBER($I$1865),$B$1132=1),$I$1865,HLOOKUP(INDIRECT(ADDRESS(2,COLUMN())),OFFSET($K$2,0,0,ROW()-1,5),ROW()-1,FALSE))</f>
        <v/>
      </c>
      <c r="J774" t="str">
        <f ca="1">IF(AND(ISNUMBER($J$1865),$B$1132=1),$J$1865,HLOOKUP(INDIRECT(ADDRESS(2,COLUMN())),OFFSET($K$2,0,0,ROW()-1,5),ROW()-1,FALSE))</f>
        <v/>
      </c>
      <c r="K774" t="str">
        <f>""</f>
        <v/>
      </c>
      <c r="L774">
        <f>1.507829956</f>
        <v>1.5078299559999999</v>
      </c>
      <c r="M774">
        <f>1.363890015</f>
        <v>1.363890015</v>
      </c>
      <c r="N774" t="str">
        <f>""</f>
        <v/>
      </c>
      <c r="O774" t="str">
        <f>""</f>
        <v/>
      </c>
    </row>
    <row r="775" spans="1:15" x14ac:dyDescent="0.25">
      <c r="A775" t="str">
        <f>"                    Nan Ya Plastics Corp"</f>
        <v xml:space="preserve">                    Nan Ya Plastics Corp</v>
      </c>
      <c r="B775" t="str">
        <f>"1303 TT Equity"</f>
        <v>1303 TT Equity</v>
      </c>
      <c r="C775" t="str">
        <f t="shared" si="81"/>
        <v>F0946</v>
      </c>
      <c r="D775" t="str">
        <f t="shared" si="82"/>
        <v>TOTAL_GHG_CO2_EMISSIONS</v>
      </c>
      <c r="E775" t="str">
        <f t="shared" si="83"/>
        <v>Dynamic</v>
      </c>
      <c r="F775" t="str">
        <f ca="1">IF(AND(ISNUMBER($F$1866),$B$1132=1),$F$1866,HLOOKUP(INDIRECT(ADDRESS(2,COLUMN())),OFFSET($K$2,0,0,ROW()-1,5),ROW()-1,FALSE))</f>
        <v/>
      </c>
      <c r="G775" t="str">
        <f ca="1">IF(AND(ISNUMBER($G$1866),$B$1132=1),$G$1866,HLOOKUP(INDIRECT(ADDRESS(2,COLUMN())),OFFSET($K$2,0,0,ROW()-1,5),ROW()-1,FALSE))</f>
        <v/>
      </c>
      <c r="H775">
        <f ca="1">IF(AND(ISNUMBER($H$1866),$B$1132=1),$H$1866,HLOOKUP(INDIRECT(ADDRESS(2,COLUMN())),OFFSET($K$2,0,0,ROW()-1,5),ROW()-1,FALSE))</f>
        <v>6.846850098</v>
      </c>
      <c r="I775" t="str">
        <f ca="1">IF(AND(ISNUMBER($I$1866),$B$1132=1),$I$1866,HLOOKUP(INDIRECT(ADDRESS(2,COLUMN())),OFFSET($K$2,0,0,ROW()-1,5),ROW()-1,FALSE))</f>
        <v/>
      </c>
      <c r="J775" t="str">
        <f ca="1">IF(AND(ISNUMBER($J$1866),$B$1132=1),$J$1866,HLOOKUP(INDIRECT(ADDRESS(2,COLUMN())),OFFSET($K$2,0,0,ROW()-1,5),ROW()-1,FALSE))</f>
        <v/>
      </c>
      <c r="K775" t="str">
        <f>""</f>
        <v/>
      </c>
      <c r="L775" t="str">
        <f>""</f>
        <v/>
      </c>
      <c r="M775">
        <f>6.846850098</f>
        <v>6.846850098</v>
      </c>
      <c r="N775" t="str">
        <f>""</f>
        <v/>
      </c>
      <c r="O775" t="str">
        <f>""</f>
        <v/>
      </c>
    </row>
    <row r="776" spans="1:15" x14ac:dyDescent="0.25">
      <c r="A776" t="str">
        <f>"                    Nippon Sanso Holdings Corp"</f>
        <v xml:space="preserve">                    Nippon Sanso Holdings Corp</v>
      </c>
      <c r="B776" t="str">
        <f>"4091 JP Equity"</f>
        <v>4091 JP Equity</v>
      </c>
      <c r="C776" t="str">
        <f t="shared" si="81"/>
        <v>F0946</v>
      </c>
      <c r="D776" t="str">
        <f t="shared" si="82"/>
        <v>TOTAL_GHG_CO2_EMISSIONS</v>
      </c>
      <c r="E776" t="str">
        <f t="shared" si="83"/>
        <v>Dynamic</v>
      </c>
      <c r="F776" t="str">
        <f ca="1">IF(AND(ISNUMBER($F$1867),$B$1132=1),$F$1867,HLOOKUP(INDIRECT(ADDRESS(2,COLUMN())),OFFSET($K$2,0,0,ROW()-1,5),ROW()-1,FALSE))</f>
        <v/>
      </c>
      <c r="G776">
        <f ca="1">IF(AND(ISNUMBER($G$1867),$B$1132=1),$G$1867,HLOOKUP(INDIRECT(ADDRESS(2,COLUMN())),OFFSET($K$2,0,0,ROW()-1,5),ROW()-1,FALSE))</f>
        <v>5.9210000000000003</v>
      </c>
      <c r="H776">
        <f ca="1">IF(AND(ISNUMBER($H$1867),$B$1132=1),$H$1867,HLOOKUP(INDIRECT(ADDRESS(2,COLUMN())),OFFSET($K$2,0,0,ROW()-1,5),ROW()-1,FALSE))</f>
        <v>5.6509999999999998</v>
      </c>
      <c r="I776">
        <f ca="1">IF(AND(ISNUMBER($I$1867),$B$1132=1),$I$1867,HLOOKUP(INDIRECT(ADDRESS(2,COLUMN())),OFFSET($K$2,0,0,ROW()-1,5),ROW()-1,FALSE))</f>
        <v>5.8079999999999998</v>
      </c>
      <c r="J776">
        <f ca="1">IF(AND(ISNUMBER($J$1867),$B$1132=1),$J$1867,HLOOKUP(INDIRECT(ADDRESS(2,COLUMN())),OFFSET($K$2,0,0,ROW()-1,5),ROW()-1,FALSE))</f>
        <v>4.07</v>
      </c>
      <c r="K776" t="str">
        <f>""</f>
        <v/>
      </c>
      <c r="L776">
        <f>5.921</f>
        <v>5.9210000000000003</v>
      </c>
      <c r="M776">
        <f>5.651</f>
        <v>5.6509999999999998</v>
      </c>
      <c r="N776">
        <f>5.808</f>
        <v>5.8079999999999998</v>
      </c>
      <c r="O776">
        <f>4.07</f>
        <v>4.07</v>
      </c>
    </row>
    <row r="777" spans="1:15" x14ac:dyDescent="0.25">
      <c r="A777" t="str">
        <f>"                    Nippon Shokubai Co Ltd"</f>
        <v xml:space="preserve">                    Nippon Shokubai Co Ltd</v>
      </c>
      <c r="B777" t="str">
        <f>"4114 JP Equity"</f>
        <v>4114 JP Equity</v>
      </c>
      <c r="C777" t="str">
        <f t="shared" si="81"/>
        <v>F0946</v>
      </c>
      <c r="D777" t="str">
        <f t="shared" si="82"/>
        <v>TOTAL_GHG_CO2_EMISSIONS</v>
      </c>
      <c r="E777" t="str">
        <f t="shared" si="83"/>
        <v>Dynamic</v>
      </c>
      <c r="F777" t="str">
        <f ca="1">IF(AND(ISNUMBER($F$1868),$B$1132=1),$F$1868,HLOOKUP(INDIRECT(ADDRESS(2,COLUMN())),OFFSET($K$2,0,0,ROW()-1,5),ROW()-1,FALSE))</f>
        <v/>
      </c>
      <c r="G777">
        <f ca="1">IF(AND(ISNUMBER($G$1868),$B$1132=1),$G$1868,HLOOKUP(INDIRECT(ADDRESS(2,COLUMN())),OFFSET($K$2,0,0,ROW()-1,5),ROW()-1,FALSE))</f>
        <v>1.147</v>
      </c>
      <c r="H777">
        <f ca="1">IF(AND(ISNUMBER($H$1868),$B$1132=1),$H$1868,HLOOKUP(INDIRECT(ADDRESS(2,COLUMN())),OFFSET($K$2,0,0,ROW()-1,5),ROW()-1,FALSE))</f>
        <v>1.1240000000000001</v>
      </c>
      <c r="I777">
        <f ca="1">IF(AND(ISNUMBER($I$1868),$B$1132=1),$I$1868,HLOOKUP(INDIRECT(ADDRESS(2,COLUMN())),OFFSET($K$2,0,0,ROW()-1,5),ROW()-1,FALSE))</f>
        <v>1.1319999999999999</v>
      </c>
      <c r="J777">
        <f ca="1">IF(AND(ISNUMBER($J$1868),$B$1132=1),$J$1868,HLOOKUP(INDIRECT(ADDRESS(2,COLUMN())),OFFSET($K$2,0,0,ROW()-1,5),ROW()-1,FALSE))</f>
        <v>1.157</v>
      </c>
      <c r="K777" t="str">
        <f>""</f>
        <v/>
      </c>
      <c r="L777">
        <f>1.147</f>
        <v>1.147</v>
      </c>
      <c r="M777">
        <f>1.124</f>
        <v>1.1240000000000001</v>
      </c>
      <c r="N777">
        <f>1.132</f>
        <v>1.1319999999999999</v>
      </c>
      <c r="O777">
        <f>1.157</f>
        <v>1.157</v>
      </c>
    </row>
    <row r="778" spans="1:15" x14ac:dyDescent="0.25">
      <c r="A778" t="str">
        <f>"                    Orbia Advance Corp SAB de CV"</f>
        <v xml:space="preserve">                    Orbia Advance Corp SAB de CV</v>
      </c>
      <c r="B778" t="str">
        <f>"ORBIA* MM Equity"</f>
        <v>ORBIA* MM Equity</v>
      </c>
      <c r="C778" t="str">
        <f t="shared" si="81"/>
        <v>F0946</v>
      </c>
      <c r="D778" t="str">
        <f t="shared" si="82"/>
        <v>TOTAL_GHG_CO2_EMISSIONS</v>
      </c>
      <c r="E778" t="str">
        <f t="shared" si="83"/>
        <v>Dynamic</v>
      </c>
      <c r="F778">
        <f ca="1">IF(AND(ISNUMBER($F$1869),$B$1132=1),$F$1869,HLOOKUP(INDIRECT(ADDRESS(2,COLUMN())),OFFSET($K$2,0,0,ROW()-1,5),ROW()-1,FALSE))</f>
        <v>1.611099976</v>
      </c>
      <c r="G778">
        <f ca="1">IF(AND(ISNUMBER($G$1869),$B$1132=1),$G$1869,HLOOKUP(INDIRECT(ADDRESS(2,COLUMN())),OFFSET($K$2,0,0,ROW()-1,5),ROW()-1,FALSE))</f>
        <v>1.963949951</v>
      </c>
      <c r="H778">
        <f ca="1">IF(AND(ISNUMBER($H$1869),$B$1132=1),$H$1869,HLOOKUP(INDIRECT(ADDRESS(2,COLUMN())),OFFSET($K$2,0,0,ROW()-1,5),ROW()-1,FALSE))</f>
        <v>1.9898299559999999</v>
      </c>
      <c r="I778">
        <f ca="1">IF(AND(ISNUMBER($I$1869),$B$1132=1),$I$1869,HLOOKUP(INDIRECT(ADDRESS(2,COLUMN())),OFFSET($K$2,0,0,ROW()-1,5),ROW()-1,FALSE))</f>
        <v>1.7070799560000001</v>
      </c>
      <c r="J778">
        <f ca="1">IF(AND(ISNUMBER($J$1869),$B$1132=1),$J$1869,HLOOKUP(INDIRECT(ADDRESS(2,COLUMN())),OFFSET($K$2,0,0,ROW()-1,5),ROW()-1,FALSE))</f>
        <v>1.7902399899999999</v>
      </c>
      <c r="K778">
        <f>1.611099976</f>
        <v>1.611099976</v>
      </c>
      <c r="L778">
        <f>1.963949951</f>
        <v>1.963949951</v>
      </c>
      <c r="M778">
        <f>1.989829956</f>
        <v>1.9898299559999999</v>
      </c>
      <c r="N778">
        <f>1.707079956</f>
        <v>1.7070799560000001</v>
      </c>
      <c r="O778">
        <f>1.79023999</f>
        <v>1.7902399899999999</v>
      </c>
    </row>
    <row r="779" spans="1:15" x14ac:dyDescent="0.25">
      <c r="A779" t="str">
        <f>"                    Olin Corp"</f>
        <v xml:space="preserve">                    Olin Corp</v>
      </c>
      <c r="B779" t="str">
        <f>"OLN US Equity"</f>
        <v>OLN US Equity</v>
      </c>
      <c r="C779" t="str">
        <f t="shared" si="81"/>
        <v>F0946</v>
      </c>
      <c r="D779" t="str">
        <f t="shared" si="82"/>
        <v>TOTAL_GHG_CO2_EMISSIONS</v>
      </c>
      <c r="E779" t="str">
        <f t="shared" si="83"/>
        <v>Dynamic</v>
      </c>
      <c r="F779">
        <f ca="1">IF(AND(ISNUMBER($F$1870),$B$1132=1),$F$1870,HLOOKUP(INDIRECT(ADDRESS(2,COLUMN())),OFFSET($K$2,0,0,ROW()-1,5),ROW()-1,FALSE))</f>
        <v>5.5</v>
      </c>
      <c r="G779">
        <f ca="1">IF(AND(ISNUMBER($G$1870),$B$1132=1),$G$1870,HLOOKUP(INDIRECT(ADDRESS(2,COLUMN())),OFFSET($K$2,0,0,ROW()-1,5),ROW()-1,FALSE))</f>
        <v>5.7</v>
      </c>
      <c r="H779" t="str">
        <f ca="1">IF(AND(ISNUMBER($H$1870),$B$1132=1),$H$1870,HLOOKUP(INDIRECT(ADDRESS(2,COLUMN())),OFFSET($K$2,0,0,ROW()-1,5),ROW()-1,FALSE))</f>
        <v/>
      </c>
      <c r="I779">
        <f ca="1">IF(AND(ISNUMBER($I$1870),$B$1132=1),$I$1870,HLOOKUP(INDIRECT(ADDRESS(2,COLUMN())),OFFSET($K$2,0,0,ROW()-1,5),ROW()-1,FALSE))</f>
        <v>6.7020498049999997</v>
      </c>
      <c r="J779" t="str">
        <f ca="1">IF(AND(ISNUMBER($J$1870),$B$1132=1),$J$1870,HLOOKUP(INDIRECT(ADDRESS(2,COLUMN())),OFFSET($K$2,0,0,ROW()-1,5),ROW()-1,FALSE))</f>
        <v/>
      </c>
      <c r="K779">
        <f>5.5</f>
        <v>5.5</v>
      </c>
      <c r="L779">
        <f>5.7</f>
        <v>5.7</v>
      </c>
      <c r="M779" t="str">
        <f>""</f>
        <v/>
      </c>
      <c r="N779">
        <f>6.702049805</f>
        <v>6.7020498049999997</v>
      </c>
      <c r="O779" t="str">
        <f>""</f>
        <v/>
      </c>
    </row>
    <row r="780" spans="1:15" x14ac:dyDescent="0.25">
      <c r="A780" t="str">
        <f>"                    Petronas Chemicals Group Bhd"</f>
        <v xml:space="preserve">                    Petronas Chemicals Group Bhd</v>
      </c>
      <c r="B780" t="str">
        <f>"PCHEM MK Equity"</f>
        <v>PCHEM MK Equity</v>
      </c>
      <c r="C780" t="str">
        <f t="shared" si="81"/>
        <v>F0946</v>
      </c>
      <c r="D780" t="str">
        <f t="shared" si="82"/>
        <v>TOTAL_GHG_CO2_EMISSIONS</v>
      </c>
      <c r="E780" t="str">
        <f t="shared" si="83"/>
        <v>Dynamic</v>
      </c>
      <c r="F780" t="str">
        <f ca="1">IF(AND(ISNUMBER($F$1871),$B$1132=1),$F$1871,HLOOKUP(INDIRECT(ADDRESS(2,COLUMN())),OFFSET($K$2,0,0,ROW()-1,5),ROW()-1,FALSE))</f>
        <v/>
      </c>
      <c r="G780">
        <f ca="1">IF(AND(ISNUMBER($G$1871),$B$1132=1),$G$1871,HLOOKUP(INDIRECT(ADDRESS(2,COLUMN())),OFFSET($K$2,0,0,ROW()-1,5),ROW()-1,FALSE))</f>
        <v>7</v>
      </c>
      <c r="H780">
        <f ca="1">IF(AND(ISNUMBER($H$1871),$B$1132=1),$H$1871,HLOOKUP(INDIRECT(ADDRESS(2,COLUMN())),OFFSET($K$2,0,0,ROW()-1,5),ROW()-1,FALSE))</f>
        <v>7.1</v>
      </c>
      <c r="I780">
        <f ca="1">IF(AND(ISNUMBER($I$1871),$B$1132=1),$I$1871,HLOOKUP(INDIRECT(ADDRESS(2,COLUMN())),OFFSET($K$2,0,0,ROW()-1,5),ROW()-1,FALSE))</f>
        <v>7.02</v>
      </c>
      <c r="J780">
        <f ca="1">IF(AND(ISNUMBER($J$1871),$B$1132=1),$J$1871,HLOOKUP(INDIRECT(ADDRESS(2,COLUMN())),OFFSET($K$2,0,0,ROW()-1,5),ROW()-1,FALSE))</f>
        <v>7.08</v>
      </c>
      <c r="K780" t="str">
        <f>""</f>
        <v/>
      </c>
      <c r="L780">
        <f>7</f>
        <v>7</v>
      </c>
      <c r="M780">
        <f>7.1</f>
        <v>7.1</v>
      </c>
      <c r="N780">
        <f>7.02</f>
        <v>7.02</v>
      </c>
      <c r="O780">
        <f>7.08</f>
        <v>7.08</v>
      </c>
    </row>
    <row r="781" spans="1:15" x14ac:dyDescent="0.25">
      <c r="A781" t="str">
        <f>"                    PTT Global Chemical PCL"</f>
        <v xml:space="preserve">                    PTT Global Chemical PCL</v>
      </c>
      <c r="B781" t="str">
        <f>"PTTGC TB Equity"</f>
        <v>PTTGC TB Equity</v>
      </c>
      <c r="C781" t="str">
        <f t="shared" si="81"/>
        <v>F0946</v>
      </c>
      <c r="D781" t="str">
        <f t="shared" si="82"/>
        <v>TOTAL_GHG_CO2_EMISSIONS</v>
      </c>
      <c r="E781" t="str">
        <f t="shared" si="83"/>
        <v>Dynamic</v>
      </c>
      <c r="F781">
        <f ca="1">IF(AND(ISNUMBER($F$1872),$B$1132=1),$F$1872,HLOOKUP(INDIRECT(ADDRESS(2,COLUMN())),OFFSET($K$2,0,0,ROW()-1,5),ROW()-1,FALSE))</f>
        <v>6.476</v>
      </c>
      <c r="G781">
        <f ca="1">IF(AND(ISNUMBER($G$1872),$B$1132=1),$G$1872,HLOOKUP(INDIRECT(ADDRESS(2,COLUMN())),OFFSET($K$2,0,0,ROW()-1,5),ROW()-1,FALSE))</f>
        <v>6.7535498049999996</v>
      </c>
      <c r="H781">
        <f ca="1">IF(AND(ISNUMBER($H$1872),$B$1132=1),$H$1872,HLOOKUP(INDIRECT(ADDRESS(2,COLUMN())),OFFSET($K$2,0,0,ROW()-1,5),ROW()-1,FALSE))</f>
        <v>5.9</v>
      </c>
      <c r="I781">
        <f ca="1">IF(AND(ISNUMBER($I$1872),$B$1132=1),$I$1872,HLOOKUP(INDIRECT(ADDRESS(2,COLUMN())),OFFSET($K$2,0,0,ROW()-1,5),ROW()-1,FALSE))</f>
        <v>5.83</v>
      </c>
      <c r="J781">
        <f ca="1">IF(AND(ISNUMBER($J$1872),$B$1132=1),$J$1872,HLOOKUP(INDIRECT(ADDRESS(2,COLUMN())),OFFSET($K$2,0,0,ROW()-1,5),ROW()-1,FALSE))</f>
        <v>5.9263500980000003</v>
      </c>
      <c r="K781">
        <f>6.476</f>
        <v>6.476</v>
      </c>
      <c r="L781">
        <f>6.753549805</f>
        <v>6.7535498049999996</v>
      </c>
      <c r="M781">
        <f>5.9</f>
        <v>5.9</v>
      </c>
      <c r="N781">
        <f>5.83</f>
        <v>5.83</v>
      </c>
      <c r="O781">
        <f>5.926350098</f>
        <v>5.9263500980000003</v>
      </c>
    </row>
    <row r="782" spans="1:15" x14ac:dyDescent="0.25">
      <c r="A782" t="str">
        <f>"                    Petkim Petrokimya Holding AS"</f>
        <v xml:space="preserve">                    Petkim Petrokimya Holding AS</v>
      </c>
      <c r="B782" t="str">
        <f>"PETKMTRY EO Equity"</f>
        <v>PETKMTRY EO Equity</v>
      </c>
      <c r="C782" t="str">
        <f t="shared" si="81"/>
        <v>F0946</v>
      </c>
      <c r="D782" t="str">
        <f t="shared" si="82"/>
        <v>TOTAL_GHG_CO2_EMISSIONS</v>
      </c>
      <c r="E782" t="str">
        <f t="shared" si="83"/>
        <v>Dynamic</v>
      </c>
      <c r="F782" t="str">
        <f ca="1">IF(AND(ISNUMBER($F$1873),$B$1132=1),$F$1873,HLOOKUP(INDIRECT(ADDRESS(2,COLUMN())),OFFSET($K$2,0,0,ROW()-1,5),ROW()-1,FALSE))</f>
        <v/>
      </c>
      <c r="G782" t="str">
        <f ca="1">IF(AND(ISNUMBER($G$1873),$B$1132=1),$G$1873,HLOOKUP(INDIRECT(ADDRESS(2,COLUMN())),OFFSET($K$2,0,0,ROW()-1,5),ROW()-1,FALSE))</f>
        <v/>
      </c>
      <c r="H782" t="str">
        <f ca="1">IF(AND(ISNUMBER($H$1873),$B$1132=1),$H$1873,HLOOKUP(INDIRECT(ADDRESS(2,COLUMN())),OFFSET($K$2,0,0,ROW()-1,5),ROW()-1,FALSE))</f>
        <v/>
      </c>
      <c r="I782" t="str">
        <f ca="1">IF(AND(ISNUMBER($I$1873),$B$1132=1),$I$1873,HLOOKUP(INDIRECT(ADDRESS(2,COLUMN())),OFFSET($K$2,0,0,ROW()-1,5),ROW()-1,FALSE))</f>
        <v/>
      </c>
      <c r="J782" t="str">
        <f ca="1">IF(AND(ISNUMBER($J$1873),$B$1132=1),$J$1873,HLOOKUP(INDIRECT(ADDRESS(2,COLUMN())),OFFSET($K$2,0,0,ROW()-1,5),ROW()-1,FALSE))</f>
        <v/>
      </c>
      <c r="K782" t="str">
        <f>""</f>
        <v/>
      </c>
      <c r="L782" t="str">
        <f>""</f>
        <v/>
      </c>
      <c r="M782" t="str">
        <f>""</f>
        <v/>
      </c>
      <c r="N782" t="str">
        <f>""</f>
        <v/>
      </c>
      <c r="O782" t="str">
        <f>""</f>
        <v/>
      </c>
    </row>
    <row r="783" spans="1:15" x14ac:dyDescent="0.25">
      <c r="A783" t="str">
        <f>"                    Rongsheng Petrochemical Co Ltd"</f>
        <v xml:space="preserve">                    Rongsheng Petrochemical Co Ltd</v>
      </c>
      <c r="B783" t="str">
        <f>"002493 CH Equity"</f>
        <v>002493 CH Equity</v>
      </c>
      <c r="C783" t="str">
        <f t="shared" si="81"/>
        <v>F0946</v>
      </c>
      <c r="D783" t="str">
        <f t="shared" si="82"/>
        <v>TOTAL_GHG_CO2_EMISSIONS</v>
      </c>
      <c r="E783" t="str">
        <f t="shared" si="83"/>
        <v>Dynamic</v>
      </c>
      <c r="F783">
        <f ca="1">IF(AND(ISNUMBER($F$1874),$B$1132=1),$F$1874,HLOOKUP(INDIRECT(ADDRESS(2,COLUMN())),OFFSET($K$2,0,0,ROW()-1,5),ROW()-1,FALSE))</f>
        <v>33.616800779999998</v>
      </c>
      <c r="G783">
        <f ca="1">IF(AND(ISNUMBER($G$1874),$B$1132=1),$G$1874,HLOOKUP(INDIRECT(ADDRESS(2,COLUMN())),OFFSET($K$2,0,0,ROW()-1,5),ROW()-1,FALSE))</f>
        <v>107.86199999999999</v>
      </c>
      <c r="H783" t="str">
        <f ca="1">IF(AND(ISNUMBER($H$1874),$B$1132=1),$H$1874,HLOOKUP(INDIRECT(ADDRESS(2,COLUMN())),OFFSET($K$2,0,0,ROW()-1,5),ROW()-1,FALSE))</f>
        <v/>
      </c>
      <c r="I783" t="str">
        <f ca="1">IF(AND(ISNUMBER($I$1874),$B$1132=1),$I$1874,HLOOKUP(INDIRECT(ADDRESS(2,COLUMN())),OFFSET($K$2,0,0,ROW()-1,5),ROW()-1,FALSE))</f>
        <v/>
      </c>
      <c r="J783" t="str">
        <f ca="1">IF(AND(ISNUMBER($J$1874),$B$1132=1),$J$1874,HLOOKUP(INDIRECT(ADDRESS(2,COLUMN())),OFFSET($K$2,0,0,ROW()-1,5),ROW()-1,FALSE))</f>
        <v/>
      </c>
      <c r="K783">
        <f>33.61680078</f>
        <v>33.616800779999998</v>
      </c>
      <c r="L783">
        <f>107.862</f>
        <v>107.86199999999999</v>
      </c>
      <c r="M783" t="str">
        <f>""</f>
        <v/>
      </c>
      <c r="N783" t="str">
        <f>""</f>
        <v/>
      </c>
      <c r="O783" t="str">
        <f>""</f>
        <v/>
      </c>
    </row>
    <row r="784" spans="1:15" x14ac:dyDescent="0.25">
      <c r="A784" t="str">
        <f>"                    Saudi Basic Industries Corp"</f>
        <v xml:space="preserve">                    Saudi Basic Industries Corp</v>
      </c>
      <c r="B784" t="str">
        <f>"SABIC AB Equity"</f>
        <v>SABIC AB Equity</v>
      </c>
      <c r="C784" t="str">
        <f t="shared" si="81"/>
        <v>F0946</v>
      </c>
      <c r="D784" t="str">
        <f t="shared" si="82"/>
        <v>TOTAL_GHG_CO2_EMISSIONS</v>
      </c>
      <c r="E784" t="str">
        <f t="shared" si="83"/>
        <v>Dynamic</v>
      </c>
      <c r="F784">
        <f ca="1">IF(AND(ISNUMBER($F$1875),$B$1132=1),$F$1875,HLOOKUP(INDIRECT(ADDRESS(2,COLUMN())),OFFSET($K$2,0,0,ROW()-1,5),ROW()-1,FALSE))</f>
        <v>52.413398440000002</v>
      </c>
      <c r="G784">
        <f ca="1">IF(AND(ISNUMBER($G$1875),$B$1132=1),$G$1875,HLOOKUP(INDIRECT(ADDRESS(2,COLUMN())),OFFSET($K$2,0,0,ROW()-1,5),ROW()-1,FALSE))</f>
        <v>51.119</v>
      </c>
      <c r="H784">
        <f ca="1">IF(AND(ISNUMBER($H$1875),$B$1132=1),$H$1875,HLOOKUP(INDIRECT(ADDRESS(2,COLUMN())),OFFSET($K$2,0,0,ROW()-1,5),ROW()-1,FALSE))</f>
        <v>54.261800780000002</v>
      </c>
      <c r="I784">
        <f ca="1">IF(AND(ISNUMBER($I$1875),$B$1132=1),$I$1875,HLOOKUP(INDIRECT(ADDRESS(2,COLUMN())),OFFSET($K$2,0,0,ROW()-1,5),ROW()-1,FALSE))</f>
        <v>55</v>
      </c>
      <c r="J784">
        <f ca="1">IF(AND(ISNUMBER($J$1875),$B$1132=1),$J$1875,HLOOKUP(INDIRECT(ADDRESS(2,COLUMN())),OFFSET($K$2,0,0,ROW()-1,5),ROW()-1,FALSE))</f>
        <v>57</v>
      </c>
      <c r="K784">
        <f>52.41339844</f>
        <v>52.413398440000002</v>
      </c>
      <c r="L784">
        <f>51.119</f>
        <v>51.119</v>
      </c>
      <c r="M784">
        <f>54.26180078</f>
        <v>54.261800780000002</v>
      </c>
      <c r="N784">
        <f>55</f>
        <v>55</v>
      </c>
      <c r="O784">
        <f>57</f>
        <v>57</v>
      </c>
    </row>
    <row r="785" spans="1:15" x14ac:dyDescent="0.25">
      <c r="A785" t="str">
        <f>"                    Saudi Kayan Petrochemical Co"</f>
        <v xml:space="preserve">                    Saudi Kayan Petrochemical Co</v>
      </c>
      <c r="B785" t="str">
        <f>"KAYAN AB Equity"</f>
        <v>KAYAN AB Equity</v>
      </c>
      <c r="C785" t="str">
        <f t="shared" si="81"/>
        <v>F0946</v>
      </c>
      <c r="D785" t="str">
        <f t="shared" si="82"/>
        <v>TOTAL_GHG_CO2_EMISSIONS</v>
      </c>
      <c r="E785" t="str">
        <f t="shared" si="83"/>
        <v>Dynamic</v>
      </c>
      <c r="F785">
        <f ca="1">IF(AND(ISNUMBER($F$1876),$B$1132=1),$F$1876,HLOOKUP(INDIRECT(ADDRESS(2,COLUMN())),OFFSET($K$2,0,0,ROW()-1,5),ROW()-1,FALSE))</f>
        <v>5.5</v>
      </c>
      <c r="G785" t="str">
        <f ca="1">IF(AND(ISNUMBER($G$1876),$B$1132=1),$G$1876,HLOOKUP(INDIRECT(ADDRESS(2,COLUMN())),OFFSET($K$2,0,0,ROW()-1,5),ROW()-1,FALSE))</f>
        <v/>
      </c>
      <c r="H785" t="str">
        <f ca="1">IF(AND(ISNUMBER($H$1876),$B$1132=1),$H$1876,HLOOKUP(INDIRECT(ADDRESS(2,COLUMN())),OFFSET($K$2,0,0,ROW()-1,5),ROW()-1,FALSE))</f>
        <v/>
      </c>
      <c r="I785" t="str">
        <f ca="1">IF(AND(ISNUMBER($I$1876),$B$1132=1),$I$1876,HLOOKUP(INDIRECT(ADDRESS(2,COLUMN())),OFFSET($K$2,0,0,ROW()-1,5),ROW()-1,FALSE))</f>
        <v/>
      </c>
      <c r="J785" t="str">
        <f ca="1">IF(AND(ISNUMBER($J$1876),$B$1132=1),$J$1876,HLOOKUP(INDIRECT(ADDRESS(2,COLUMN())),OFFSET($K$2,0,0,ROW()-1,5),ROW()-1,FALSE))</f>
        <v/>
      </c>
      <c r="K785">
        <f>5.5</f>
        <v>5.5</v>
      </c>
      <c r="L785" t="str">
        <f>""</f>
        <v/>
      </c>
      <c r="M785" t="str">
        <f>""</f>
        <v/>
      </c>
      <c r="N785" t="str">
        <f>""</f>
        <v/>
      </c>
      <c r="O785" t="str">
        <f>""</f>
        <v/>
      </c>
    </row>
    <row r="786" spans="1:15" x14ac:dyDescent="0.25">
      <c r="A786" t="str">
        <f>"                    Shandong Hualu Hengsheng Chemi"</f>
        <v xml:space="preserve">                    Shandong Hualu Hengsheng Chemi</v>
      </c>
      <c r="B786" t="str">
        <f>"600426 CH Equity"</f>
        <v>600426 CH Equity</v>
      </c>
      <c r="C786" t="str">
        <f t="shared" si="81"/>
        <v>F0946</v>
      </c>
      <c r="D786" t="str">
        <f t="shared" si="82"/>
        <v>TOTAL_GHG_CO2_EMISSIONS</v>
      </c>
      <c r="E786" t="str">
        <f t="shared" si="83"/>
        <v>Dynamic</v>
      </c>
      <c r="F786" t="str">
        <f ca="1">IF(AND(ISNUMBER($F$1877),$B$1132=1),$F$1877,HLOOKUP(INDIRECT(ADDRESS(2,COLUMN())),OFFSET($K$2,0,0,ROW()-1,5),ROW()-1,FALSE))</f>
        <v/>
      </c>
      <c r="G786" t="str">
        <f ca="1">IF(AND(ISNUMBER($G$1877),$B$1132=1),$G$1877,HLOOKUP(INDIRECT(ADDRESS(2,COLUMN())),OFFSET($K$2,0,0,ROW()-1,5),ROW()-1,FALSE))</f>
        <v/>
      </c>
      <c r="H786" t="str">
        <f ca="1">IF(AND(ISNUMBER($H$1877),$B$1132=1),$H$1877,HLOOKUP(INDIRECT(ADDRESS(2,COLUMN())),OFFSET($K$2,0,0,ROW()-1,5),ROW()-1,FALSE))</f>
        <v/>
      </c>
      <c r="I786" t="str">
        <f ca="1">IF(AND(ISNUMBER($I$1877),$B$1132=1),$I$1877,HLOOKUP(INDIRECT(ADDRESS(2,COLUMN())),OFFSET($K$2,0,0,ROW()-1,5),ROW()-1,FALSE))</f>
        <v/>
      </c>
      <c r="J786" t="str">
        <f ca="1">IF(AND(ISNUMBER($J$1877),$B$1132=1),$J$1877,HLOOKUP(INDIRECT(ADDRESS(2,COLUMN())),OFFSET($K$2,0,0,ROW()-1,5),ROW()-1,FALSE))</f>
        <v/>
      </c>
      <c r="K786" t="str">
        <f>""</f>
        <v/>
      </c>
      <c r="L786" t="str">
        <f>""</f>
        <v/>
      </c>
      <c r="M786" t="str">
        <f>""</f>
        <v/>
      </c>
      <c r="N786" t="str">
        <f>""</f>
        <v/>
      </c>
      <c r="O786" t="str">
        <f>""</f>
        <v/>
      </c>
    </row>
    <row r="787" spans="1:15" x14ac:dyDescent="0.25">
      <c r="A787" t="str">
        <f>"                    Sinopec Shanghai Petrochemical"</f>
        <v xml:space="preserve">                    Sinopec Shanghai Petrochemical</v>
      </c>
      <c r="B787" t="str">
        <f>"338 HK Equity"</f>
        <v>338 HK Equity</v>
      </c>
      <c r="C787" t="str">
        <f t="shared" si="81"/>
        <v>F0946</v>
      </c>
      <c r="D787" t="str">
        <f t="shared" si="82"/>
        <v>TOTAL_GHG_CO2_EMISSIONS</v>
      </c>
      <c r="E787" t="str">
        <f t="shared" si="83"/>
        <v>Dynamic</v>
      </c>
      <c r="F787">
        <f ca="1">IF(AND(ISNUMBER($F$1878),$B$1132=1),$F$1878,HLOOKUP(INDIRECT(ADDRESS(2,COLUMN())),OFFSET($K$2,0,0,ROW()-1,5),ROW()-1,FALSE))</f>
        <v>8.3544003910000004</v>
      </c>
      <c r="G787">
        <f ca="1">IF(AND(ISNUMBER($G$1878),$B$1132=1),$G$1878,HLOOKUP(INDIRECT(ADDRESS(2,COLUMN())),OFFSET($K$2,0,0,ROW()-1,5),ROW()-1,FALSE))</f>
        <v>9.4674999999999994</v>
      </c>
      <c r="H787">
        <f ca="1">IF(AND(ISNUMBER($H$1878),$B$1132=1),$H$1878,HLOOKUP(INDIRECT(ADDRESS(2,COLUMN())),OFFSET($K$2,0,0,ROW()-1,5),ROW()-1,FALSE))</f>
        <v>170.94</v>
      </c>
      <c r="I787">
        <f ca="1">IF(AND(ISNUMBER($I$1878),$B$1132=1),$I$1878,HLOOKUP(INDIRECT(ADDRESS(2,COLUMN())),OFFSET($K$2,0,0,ROW()-1,5),ROW()-1,FALSE))</f>
        <v>170.69</v>
      </c>
      <c r="J787">
        <f ca="1">IF(AND(ISNUMBER($J$1878),$B$1132=1),$J$1878,HLOOKUP(INDIRECT(ADDRESS(2,COLUMN())),OFFSET($K$2,0,0,ROW()-1,5),ROW()-1,FALSE))</f>
        <v>171.52</v>
      </c>
      <c r="K787">
        <f>8.354400391</f>
        <v>8.3544003910000004</v>
      </c>
      <c r="L787">
        <f>9.4675</f>
        <v>9.4674999999999994</v>
      </c>
      <c r="M787">
        <f>170.94</f>
        <v>170.94</v>
      </c>
      <c r="N787">
        <f>170.69</f>
        <v>170.69</v>
      </c>
      <c r="O787">
        <f>171.52</f>
        <v>171.52</v>
      </c>
    </row>
    <row r="788" spans="1:15" x14ac:dyDescent="0.25">
      <c r="A788" t="str">
        <f>"                    SKC Co Ltd"</f>
        <v xml:space="preserve">                    SKC Co Ltd</v>
      </c>
      <c r="B788" t="str">
        <f>"011790 KS Equity"</f>
        <v>011790 KS Equity</v>
      </c>
      <c r="C788" t="str">
        <f t="shared" si="81"/>
        <v>F0946</v>
      </c>
      <c r="D788" t="str">
        <f t="shared" si="82"/>
        <v>TOTAL_GHG_CO2_EMISSIONS</v>
      </c>
      <c r="E788" t="str">
        <f t="shared" si="83"/>
        <v>Dynamic</v>
      </c>
      <c r="F788" t="str">
        <f ca="1">IF(AND(ISNUMBER($F$1879),$B$1132=1),$F$1879,HLOOKUP(INDIRECT(ADDRESS(2,COLUMN())),OFFSET($K$2,0,0,ROW()-1,5),ROW()-1,FALSE))</f>
        <v/>
      </c>
      <c r="G788">
        <f ca="1">IF(AND(ISNUMBER($G$1879),$B$1132=1),$G$1879,HLOOKUP(INDIRECT(ADDRESS(2,COLUMN())),OFFSET($K$2,0,0,ROW()-1,5),ROW()-1,FALSE))</f>
        <v>1.0763499759999999</v>
      </c>
      <c r="H788">
        <f ca="1">IF(AND(ISNUMBER($H$1879),$B$1132=1),$H$1879,HLOOKUP(INDIRECT(ADDRESS(2,COLUMN())),OFFSET($K$2,0,0,ROW()-1,5),ROW()-1,FALSE))</f>
        <v>1.704819946</v>
      </c>
      <c r="I788" t="str">
        <f ca="1">IF(AND(ISNUMBER($I$1879),$B$1132=1),$I$1879,HLOOKUP(INDIRECT(ADDRESS(2,COLUMN())),OFFSET($K$2,0,0,ROW()-1,5),ROW()-1,FALSE))</f>
        <v/>
      </c>
      <c r="J788" t="str">
        <f ca="1">IF(AND(ISNUMBER($J$1879),$B$1132=1),$J$1879,HLOOKUP(INDIRECT(ADDRESS(2,COLUMN())),OFFSET($K$2,0,0,ROW()-1,5),ROW()-1,FALSE))</f>
        <v/>
      </c>
      <c r="K788" t="str">
        <f>""</f>
        <v/>
      </c>
      <c r="L788">
        <f>1.076349976</f>
        <v>1.0763499759999999</v>
      </c>
      <c r="M788">
        <f>1.704819946</f>
        <v>1.704819946</v>
      </c>
      <c r="N788" t="str">
        <f>""</f>
        <v/>
      </c>
      <c r="O788" t="str">
        <f>""</f>
        <v/>
      </c>
    </row>
    <row r="789" spans="1:15" x14ac:dyDescent="0.25">
      <c r="A789" t="str">
        <f>"                    Sahara International Petrochem"</f>
        <v xml:space="preserve">                    Sahara International Petrochem</v>
      </c>
      <c r="B789" t="str">
        <f>"SIPCHEM AB Equity"</f>
        <v>SIPCHEM AB Equity</v>
      </c>
      <c r="C789" t="str">
        <f t="shared" si="81"/>
        <v>F0946</v>
      </c>
      <c r="D789" t="str">
        <f t="shared" si="82"/>
        <v>TOTAL_GHG_CO2_EMISSIONS</v>
      </c>
      <c r="E789" t="str">
        <f t="shared" si="83"/>
        <v>Dynamic</v>
      </c>
      <c r="F789" t="str">
        <f ca="1">IF(AND(ISNUMBER($F$1880),$B$1132=1),$F$1880,HLOOKUP(INDIRECT(ADDRESS(2,COLUMN())),OFFSET($K$2,0,0,ROW()-1,5),ROW()-1,FALSE))</f>
        <v/>
      </c>
      <c r="G789" t="str">
        <f ca="1">IF(AND(ISNUMBER($G$1880),$B$1132=1),$G$1880,HLOOKUP(INDIRECT(ADDRESS(2,COLUMN())),OFFSET($K$2,0,0,ROW()-1,5),ROW()-1,FALSE))</f>
        <v/>
      </c>
      <c r="H789" t="str">
        <f ca="1">IF(AND(ISNUMBER($H$1880),$B$1132=1),$H$1880,HLOOKUP(INDIRECT(ADDRESS(2,COLUMN())),OFFSET($K$2,0,0,ROW()-1,5),ROW()-1,FALSE))</f>
        <v/>
      </c>
      <c r="I789">
        <f ca="1">IF(AND(ISNUMBER($I$1880),$B$1132=1),$I$1880,HLOOKUP(INDIRECT(ADDRESS(2,COLUMN())),OFFSET($K$2,0,0,ROW()-1,5),ROW()-1,FALSE))</f>
        <v>3.4708400880000001</v>
      </c>
      <c r="J789" t="str">
        <f ca="1">IF(AND(ISNUMBER($J$1880),$B$1132=1),$J$1880,HLOOKUP(INDIRECT(ADDRESS(2,COLUMN())),OFFSET($K$2,0,0,ROW()-1,5),ROW()-1,FALSE))</f>
        <v/>
      </c>
      <c r="K789" t="str">
        <f>""</f>
        <v/>
      </c>
      <c r="L789" t="str">
        <f>""</f>
        <v/>
      </c>
      <c r="M789" t="str">
        <f>""</f>
        <v/>
      </c>
      <c r="N789">
        <f>3.470840088</f>
        <v>3.4708400880000001</v>
      </c>
      <c r="O789" t="str">
        <f>""</f>
        <v/>
      </c>
    </row>
    <row r="790" spans="1:15" x14ac:dyDescent="0.25">
      <c r="A790" t="str">
        <f>"                    Resonac Holdings Corp"</f>
        <v xml:space="preserve">                    Resonac Holdings Corp</v>
      </c>
      <c r="B790" t="str">
        <f>"4004 JP Equity"</f>
        <v>4004 JP Equity</v>
      </c>
      <c r="C790" t="str">
        <f t="shared" si="81"/>
        <v>F0946</v>
      </c>
      <c r="D790" t="str">
        <f t="shared" si="82"/>
        <v>TOTAL_GHG_CO2_EMISSIONS</v>
      </c>
      <c r="E790" t="str">
        <f t="shared" si="83"/>
        <v>Dynamic</v>
      </c>
      <c r="F790" t="str">
        <f ca="1">IF(AND(ISNUMBER($F$1881),$B$1132=1),$F$1881,HLOOKUP(INDIRECT(ADDRESS(2,COLUMN())),OFFSET($K$2,0,0,ROW()-1,5),ROW()-1,FALSE))</f>
        <v/>
      </c>
      <c r="G790">
        <f ca="1">IF(AND(ISNUMBER($G$1881),$B$1132=1),$G$1881,HLOOKUP(INDIRECT(ADDRESS(2,COLUMN())),OFFSET($K$2,0,0,ROW()-1,5),ROW()-1,FALSE))</f>
        <v>3.2890000000000001</v>
      </c>
      <c r="H790">
        <f ca="1">IF(AND(ISNUMBER($H$1881),$B$1132=1),$H$1881,HLOOKUP(INDIRECT(ADDRESS(2,COLUMN())),OFFSET($K$2,0,0,ROW()-1,5),ROW()-1,FALSE))</f>
        <v>3.306</v>
      </c>
      <c r="I790">
        <f ca="1">IF(AND(ISNUMBER($I$1881),$B$1132=1),$I$1881,HLOOKUP(INDIRECT(ADDRESS(2,COLUMN())),OFFSET($K$2,0,0,ROW()-1,5),ROW()-1,FALSE))</f>
        <v>3.419</v>
      </c>
      <c r="J790">
        <f ca="1">IF(AND(ISNUMBER($J$1881),$B$1132=1),$J$1881,HLOOKUP(INDIRECT(ADDRESS(2,COLUMN())),OFFSET($K$2,0,0,ROW()-1,5),ROW()-1,FALSE))</f>
        <v>3.4180000000000001</v>
      </c>
      <c r="K790" t="str">
        <f>""</f>
        <v/>
      </c>
      <c r="L790">
        <f>3.289</f>
        <v>3.2890000000000001</v>
      </c>
      <c r="M790">
        <f>3.306</f>
        <v>3.306</v>
      </c>
      <c r="N790">
        <f>3.419</f>
        <v>3.419</v>
      </c>
      <c r="O790">
        <f>3.418</f>
        <v>3.4180000000000001</v>
      </c>
    </row>
    <row r="791" spans="1:15" x14ac:dyDescent="0.25">
      <c r="A791" t="str">
        <f>"                    Solvay SA"</f>
        <v xml:space="preserve">                    Solvay SA</v>
      </c>
      <c r="B791" t="str">
        <f>"SOLB BB Equity"</f>
        <v>SOLB BB Equity</v>
      </c>
      <c r="C791" t="str">
        <f t="shared" si="81"/>
        <v>F0946</v>
      </c>
      <c r="D791" t="str">
        <f t="shared" si="82"/>
        <v>TOTAL_GHG_CO2_EMISSIONS</v>
      </c>
      <c r="E791" t="str">
        <f t="shared" si="83"/>
        <v>Dynamic</v>
      </c>
      <c r="F791" t="str">
        <f ca="1">IF(AND(ISNUMBER($F$1882),$B$1132=1),$F$1882,HLOOKUP(INDIRECT(ADDRESS(2,COLUMN())),OFFSET($K$2,0,0,ROW()-1,5),ROW()-1,FALSE))</f>
        <v/>
      </c>
      <c r="G791">
        <f ca="1">IF(AND(ISNUMBER($G$1882),$B$1132=1),$G$1882,HLOOKUP(INDIRECT(ADDRESS(2,COLUMN())),OFFSET($K$2,0,0,ROW()-1,5),ROW()-1,FALSE))</f>
        <v>11.224</v>
      </c>
      <c r="H791">
        <f ca="1">IF(AND(ISNUMBER($H$1882),$B$1132=1),$H$1882,HLOOKUP(INDIRECT(ADDRESS(2,COLUMN())),OFFSET($K$2,0,0,ROW()-1,5),ROW()-1,FALSE))</f>
        <v>10.3</v>
      </c>
      <c r="I791">
        <f ca="1">IF(AND(ISNUMBER($I$1882),$B$1132=1),$I$1882,HLOOKUP(INDIRECT(ADDRESS(2,COLUMN())),OFFSET($K$2,0,0,ROW()-1,5),ROW()-1,FALSE))</f>
        <v>12.09</v>
      </c>
      <c r="J791">
        <f ca="1">IF(AND(ISNUMBER($J$1882),$B$1132=1),$J$1882,HLOOKUP(INDIRECT(ADDRESS(2,COLUMN())),OFFSET($K$2,0,0,ROW()-1,5),ROW()-1,FALSE))</f>
        <v>12.35</v>
      </c>
      <c r="K791" t="str">
        <f>""</f>
        <v/>
      </c>
      <c r="L791">
        <f>11.224</f>
        <v>11.224</v>
      </c>
      <c r="M791">
        <f>10.3</f>
        <v>10.3</v>
      </c>
      <c r="N791">
        <f>12.09</f>
        <v>12.09</v>
      </c>
      <c r="O791">
        <f>12.35</f>
        <v>12.35</v>
      </c>
    </row>
    <row r="792" spans="1:15" x14ac:dyDescent="0.25">
      <c r="A792" t="str">
        <f>"                    Sumitomo Chemical Co Ltd"</f>
        <v xml:space="preserve">                    Sumitomo Chemical Co Ltd</v>
      </c>
      <c r="B792" t="str">
        <f>"4005 JP Equity"</f>
        <v>4005 JP Equity</v>
      </c>
      <c r="C792" t="str">
        <f t="shared" si="81"/>
        <v>F0946</v>
      </c>
      <c r="D792" t="str">
        <f t="shared" si="82"/>
        <v>TOTAL_GHG_CO2_EMISSIONS</v>
      </c>
      <c r="E792" t="str">
        <f t="shared" si="83"/>
        <v>Dynamic</v>
      </c>
      <c r="F792" t="str">
        <f ca="1">IF(AND(ISNUMBER($F$1883),$B$1132=1),$F$1883,HLOOKUP(INDIRECT(ADDRESS(2,COLUMN())),OFFSET($K$2,0,0,ROW()-1,5),ROW()-1,FALSE))</f>
        <v/>
      </c>
      <c r="G792">
        <f ca="1">IF(AND(ISNUMBER($G$1883),$B$1132=1),$G$1883,HLOOKUP(INDIRECT(ADDRESS(2,COLUMN())),OFFSET($K$2,0,0,ROW()-1,5),ROW()-1,FALSE))</f>
        <v>7.6479999999999997</v>
      </c>
      <c r="H792">
        <f ca="1">IF(AND(ISNUMBER($H$1883),$B$1132=1),$H$1883,HLOOKUP(INDIRECT(ADDRESS(2,COLUMN())),OFFSET($K$2,0,0,ROW()-1,5),ROW()-1,FALSE))</f>
        <v>7.5083701170000001</v>
      </c>
      <c r="I792">
        <f ca="1">IF(AND(ISNUMBER($I$1883),$B$1132=1),$I$1883,HLOOKUP(INDIRECT(ADDRESS(2,COLUMN())),OFFSET($K$2,0,0,ROW()-1,5),ROW()-1,FALSE))</f>
        <v>7.2169999999999996</v>
      </c>
      <c r="J792">
        <f ca="1">IF(AND(ISNUMBER($J$1883),$B$1132=1),$J$1883,HLOOKUP(INDIRECT(ADDRESS(2,COLUMN())),OFFSET($K$2,0,0,ROW()-1,5),ROW()-1,FALSE))</f>
        <v>7.258</v>
      </c>
      <c r="K792" t="str">
        <f>""</f>
        <v/>
      </c>
      <c r="L792">
        <f>7.648</f>
        <v>7.6479999999999997</v>
      </c>
      <c r="M792">
        <f>7.508370117</f>
        <v>7.5083701170000001</v>
      </c>
      <c r="N792">
        <f>7.217</f>
        <v>7.2169999999999996</v>
      </c>
      <c r="O792">
        <f>7.258</f>
        <v>7.258</v>
      </c>
    </row>
    <row r="793" spans="1:15" x14ac:dyDescent="0.25">
      <c r="A793" t="str">
        <f>"                    Tangshan Sanyou Chemical Indus"</f>
        <v xml:space="preserve">                    Tangshan Sanyou Chemical Indus</v>
      </c>
      <c r="B793" t="str">
        <f>"600409 CH Equity"</f>
        <v>600409 CH Equity</v>
      </c>
      <c r="C793" t="str">
        <f t="shared" si="81"/>
        <v>F0946</v>
      </c>
      <c r="D793" t="str">
        <f t="shared" si="82"/>
        <v>TOTAL_GHG_CO2_EMISSIONS</v>
      </c>
      <c r="E793" t="str">
        <f t="shared" si="83"/>
        <v>Dynamic</v>
      </c>
      <c r="F793" t="str">
        <f ca="1">IF(AND(ISNUMBER($F$1884),$B$1132=1),$F$1884,HLOOKUP(INDIRECT(ADDRESS(2,COLUMN())),OFFSET($K$2,0,0,ROW()-1,5),ROW()-1,FALSE))</f>
        <v/>
      </c>
      <c r="G793" t="str">
        <f ca="1">IF(AND(ISNUMBER($G$1884),$B$1132=1),$G$1884,HLOOKUP(INDIRECT(ADDRESS(2,COLUMN())),OFFSET($K$2,0,0,ROW()-1,5),ROW()-1,FALSE))</f>
        <v/>
      </c>
      <c r="H793" t="str">
        <f ca="1">IF(AND(ISNUMBER($H$1884),$B$1132=1),$H$1884,HLOOKUP(INDIRECT(ADDRESS(2,COLUMN())),OFFSET($K$2,0,0,ROW()-1,5),ROW()-1,FALSE))</f>
        <v/>
      </c>
      <c r="I793" t="str">
        <f ca="1">IF(AND(ISNUMBER($I$1884),$B$1132=1),$I$1884,HLOOKUP(INDIRECT(ADDRESS(2,COLUMN())),OFFSET($K$2,0,0,ROW()-1,5),ROW()-1,FALSE))</f>
        <v/>
      </c>
      <c r="J793" t="str">
        <f ca="1">IF(AND(ISNUMBER($J$1884),$B$1132=1),$J$1884,HLOOKUP(INDIRECT(ADDRESS(2,COLUMN())),OFFSET($K$2,0,0,ROW()-1,5),ROW()-1,FALSE))</f>
        <v/>
      </c>
      <c r="K793" t="str">
        <f>""</f>
        <v/>
      </c>
      <c r="L793" t="str">
        <f>""</f>
        <v/>
      </c>
      <c r="M793" t="str">
        <f>""</f>
        <v/>
      </c>
      <c r="N793" t="str">
        <f>""</f>
        <v/>
      </c>
      <c r="O793" t="str">
        <f>""</f>
        <v/>
      </c>
    </row>
    <row r="794" spans="1:15" x14ac:dyDescent="0.25">
      <c r="A794" t="str">
        <f>"                    Tata Chemicals Ltd"</f>
        <v xml:space="preserve">                    Tata Chemicals Ltd</v>
      </c>
      <c r="B794" t="str">
        <f>"TTCH IN Equity"</f>
        <v>TTCH IN Equity</v>
      </c>
      <c r="C794" t="str">
        <f t="shared" si="81"/>
        <v>F0946</v>
      </c>
      <c r="D794" t="str">
        <f t="shared" si="82"/>
        <v>TOTAL_GHG_CO2_EMISSIONS</v>
      </c>
      <c r="E794" t="str">
        <f t="shared" si="83"/>
        <v>Dynamic</v>
      </c>
      <c r="F794" t="str">
        <f ca="1">IF(AND(ISNUMBER($F$1885),$B$1132=1),$F$1885,HLOOKUP(INDIRECT(ADDRESS(2,COLUMN())),OFFSET($K$2,0,0,ROW()-1,5),ROW()-1,FALSE))</f>
        <v/>
      </c>
      <c r="G794">
        <f ca="1">IF(AND(ISNUMBER($G$1885),$B$1132=1),$G$1885,HLOOKUP(INDIRECT(ADDRESS(2,COLUMN())),OFFSET($K$2,0,0,ROW()-1,5),ROW()-1,FALSE))</f>
        <v>2.3684199220000002</v>
      </c>
      <c r="H794">
        <f ca="1">IF(AND(ISNUMBER($H$1885),$B$1132=1),$H$1885,HLOOKUP(INDIRECT(ADDRESS(2,COLUMN())),OFFSET($K$2,0,0,ROW()-1,5),ROW()-1,FALSE))</f>
        <v>6.284649902</v>
      </c>
      <c r="I794">
        <f ca="1">IF(AND(ISNUMBER($I$1885),$B$1132=1),$I$1885,HLOOKUP(INDIRECT(ADDRESS(2,COLUMN())),OFFSET($K$2,0,0,ROW()-1,5),ROW()-1,FALSE))</f>
        <v>4.4887001949999998</v>
      </c>
      <c r="J794">
        <f ca="1">IF(AND(ISNUMBER($J$1885),$B$1132=1),$J$1885,HLOOKUP(INDIRECT(ADDRESS(2,COLUMN())),OFFSET($K$2,0,0,ROW()-1,5),ROW()-1,FALSE))</f>
        <v>4.3603598630000002</v>
      </c>
      <c r="K794" t="str">
        <f>""</f>
        <v/>
      </c>
      <c r="L794">
        <f>2.368419922</f>
        <v>2.3684199220000002</v>
      </c>
      <c r="M794">
        <f>6.284649902</f>
        <v>6.284649902</v>
      </c>
      <c r="N794">
        <f>4.488700195</f>
        <v>4.4887001949999998</v>
      </c>
      <c r="O794">
        <f>4.360359863</f>
        <v>4.3603598630000002</v>
      </c>
    </row>
    <row r="795" spans="1:15" x14ac:dyDescent="0.25">
      <c r="A795" t="str">
        <f>"                    TSRC Corp"</f>
        <v xml:space="preserve">                    TSRC Corp</v>
      </c>
      <c r="B795" t="str">
        <f>"2103 TT Equity"</f>
        <v>2103 TT Equity</v>
      </c>
      <c r="C795" t="str">
        <f t="shared" si="81"/>
        <v>F0946</v>
      </c>
      <c r="D795" t="str">
        <f t="shared" si="82"/>
        <v>TOTAL_GHG_CO2_EMISSIONS</v>
      </c>
      <c r="E795" t="str">
        <f t="shared" si="83"/>
        <v>Dynamic</v>
      </c>
      <c r="F795" t="str">
        <f ca="1">IF(AND(ISNUMBER($F$1886),$B$1132=1),$F$1886,HLOOKUP(INDIRECT(ADDRESS(2,COLUMN())),OFFSET($K$2,0,0,ROW()-1,5),ROW()-1,FALSE))</f>
        <v/>
      </c>
      <c r="G795">
        <f ca="1">IF(AND(ISNUMBER($G$1886),$B$1132=1),$G$1886,HLOOKUP(INDIRECT(ADDRESS(2,COLUMN())),OFFSET($K$2,0,0,ROW()-1,5),ROW()-1,FALSE))</f>
        <v>0.571197022</v>
      </c>
      <c r="H795">
        <f ca="1">IF(AND(ISNUMBER($H$1886),$B$1132=1),$H$1886,HLOOKUP(INDIRECT(ADDRESS(2,COLUMN())),OFFSET($K$2,0,0,ROW()-1,5),ROW()-1,FALSE))</f>
        <v>0.61506500200000003</v>
      </c>
      <c r="I795">
        <f ca="1">IF(AND(ISNUMBER($I$1886),$B$1132=1),$I$1886,HLOOKUP(INDIRECT(ADDRESS(2,COLUMN())),OFFSET($K$2,0,0,ROW()-1,5),ROW()-1,FALSE))</f>
        <v>0.59791998300000004</v>
      </c>
      <c r="J795">
        <f ca="1">IF(AND(ISNUMBER($J$1886),$B$1132=1),$J$1886,HLOOKUP(INDIRECT(ADDRESS(2,COLUMN())),OFFSET($K$2,0,0,ROW()-1,5),ROW()-1,FALSE))</f>
        <v>0.58100897200000001</v>
      </c>
      <c r="K795" t="str">
        <f>""</f>
        <v/>
      </c>
      <c r="L795">
        <f>0.571197022</f>
        <v>0.571197022</v>
      </c>
      <c r="M795">
        <f>0.615065002</f>
        <v>0.61506500200000003</v>
      </c>
      <c r="N795">
        <f>0.597919983</f>
        <v>0.59791998300000004</v>
      </c>
      <c r="O795">
        <f>0.581008972</f>
        <v>0.58100897200000001</v>
      </c>
    </row>
    <row r="796" spans="1:15" x14ac:dyDescent="0.25">
      <c r="A796" t="str">
        <f>"                    Tokai Carbon Co Ltd"</f>
        <v xml:space="preserve">                    Tokai Carbon Co Ltd</v>
      </c>
      <c r="B796" t="str">
        <f>"5301 JP Equity"</f>
        <v>5301 JP Equity</v>
      </c>
      <c r="C796" t="str">
        <f t="shared" si="81"/>
        <v>F0946</v>
      </c>
      <c r="D796" t="str">
        <f t="shared" si="82"/>
        <v>TOTAL_GHG_CO2_EMISSIONS</v>
      </c>
      <c r="E796" t="str">
        <f t="shared" si="83"/>
        <v>Dynamic</v>
      </c>
      <c r="F796" t="str">
        <f ca="1">IF(AND(ISNUMBER($F$1887),$B$1132=1),$F$1887,HLOOKUP(INDIRECT(ADDRESS(2,COLUMN())),OFFSET($K$2,0,0,ROW()-1,5),ROW()-1,FALSE))</f>
        <v/>
      </c>
      <c r="G796">
        <f ca="1">IF(AND(ISNUMBER($G$1887),$B$1132=1),$G$1887,HLOOKUP(INDIRECT(ADDRESS(2,COLUMN())),OFFSET($K$2,0,0,ROW()-1,5),ROW()-1,FALSE))</f>
        <v>2.4089999999999998</v>
      </c>
      <c r="H796">
        <f ca="1">IF(AND(ISNUMBER($H$1887),$B$1132=1),$H$1887,HLOOKUP(INDIRECT(ADDRESS(2,COLUMN())),OFFSET($K$2,0,0,ROW()-1,5),ROW()-1,FALSE))</f>
        <v>2.2309999999999999</v>
      </c>
      <c r="I796">
        <f ca="1">IF(AND(ISNUMBER($I$1887),$B$1132=1),$I$1887,HLOOKUP(INDIRECT(ADDRESS(2,COLUMN())),OFFSET($K$2,0,0,ROW()-1,5),ROW()-1,FALSE))</f>
        <v>2.6869999999999998</v>
      </c>
      <c r="J796">
        <f ca="1">IF(AND(ISNUMBER($J$1887),$B$1132=1),$J$1887,HLOOKUP(INDIRECT(ADDRESS(2,COLUMN())),OFFSET($K$2,0,0,ROW()-1,5),ROW()-1,FALSE))</f>
        <v>3.056</v>
      </c>
      <c r="K796" t="str">
        <f>""</f>
        <v/>
      </c>
      <c r="L796">
        <f>2.409</f>
        <v>2.4089999999999998</v>
      </c>
      <c r="M796">
        <f>2.231</f>
        <v>2.2309999999999999</v>
      </c>
      <c r="N796">
        <f>2.687</f>
        <v>2.6869999999999998</v>
      </c>
      <c r="O796">
        <f>3.056</f>
        <v>3.056</v>
      </c>
    </row>
    <row r="797" spans="1:15" x14ac:dyDescent="0.25">
      <c r="A797" t="str">
        <f>"                    Tokuyama Corp"</f>
        <v xml:space="preserve">                    Tokuyama Corp</v>
      </c>
      <c r="B797" t="str">
        <f>"4043 JP Equity"</f>
        <v>4043 JP Equity</v>
      </c>
      <c r="C797" t="str">
        <f t="shared" si="81"/>
        <v>F0946</v>
      </c>
      <c r="D797" t="str">
        <f t="shared" si="82"/>
        <v>TOTAL_GHG_CO2_EMISSIONS</v>
      </c>
      <c r="E797" t="str">
        <f t="shared" si="83"/>
        <v>Dynamic</v>
      </c>
      <c r="F797" t="str">
        <f ca="1">IF(AND(ISNUMBER($F$1888),$B$1132=1),$F$1888,HLOOKUP(INDIRECT(ADDRESS(2,COLUMN())),OFFSET($K$2,0,0,ROW()-1,5),ROW()-1,FALSE))</f>
        <v/>
      </c>
      <c r="G797">
        <f ca="1">IF(AND(ISNUMBER($G$1888),$B$1132=1),$G$1888,HLOOKUP(INDIRECT(ADDRESS(2,COLUMN())),OFFSET($K$2,0,0,ROW()-1,5),ROW()-1,FALSE))</f>
        <v>6.53</v>
      </c>
      <c r="H797">
        <f ca="1">IF(AND(ISNUMBER($H$1888),$B$1132=1),$H$1888,HLOOKUP(INDIRECT(ADDRESS(2,COLUMN())),OFFSET($K$2,0,0,ROW()-1,5),ROW()-1,FALSE))</f>
        <v>6.49</v>
      </c>
      <c r="I797">
        <f ca="1">IF(AND(ISNUMBER($I$1888),$B$1132=1),$I$1888,HLOOKUP(INDIRECT(ADDRESS(2,COLUMN())),OFFSET($K$2,0,0,ROW()-1,5),ROW()-1,FALSE))</f>
        <v>6.76</v>
      </c>
      <c r="J797">
        <f ca="1">IF(AND(ISNUMBER($J$1888),$B$1132=1),$J$1888,HLOOKUP(INDIRECT(ADDRESS(2,COLUMN())),OFFSET($K$2,0,0,ROW()-1,5),ROW()-1,FALSE))</f>
        <v>6.7</v>
      </c>
      <c r="K797" t="str">
        <f>""</f>
        <v/>
      </c>
      <c r="L797">
        <f>6.53</f>
        <v>6.53</v>
      </c>
      <c r="M797">
        <f>6.49</f>
        <v>6.49</v>
      </c>
      <c r="N797">
        <f>6.76</f>
        <v>6.76</v>
      </c>
      <c r="O797">
        <f>6.7</f>
        <v>6.7</v>
      </c>
    </row>
    <row r="798" spans="1:15" x14ac:dyDescent="0.25">
      <c r="A798" t="str">
        <f>"                    Tosoh Corp"</f>
        <v xml:space="preserve">                    Tosoh Corp</v>
      </c>
      <c r="B798" t="str">
        <f>"4042 JP Equity"</f>
        <v>4042 JP Equity</v>
      </c>
      <c r="C798" t="str">
        <f t="shared" ref="C798:C804" si="84">"F0946"</f>
        <v>F0946</v>
      </c>
      <c r="D798" t="str">
        <f t="shared" ref="D798:D804" si="85">"TOTAL_GHG_CO2_EMISSIONS"</f>
        <v>TOTAL_GHG_CO2_EMISSIONS</v>
      </c>
      <c r="E798" t="str">
        <f t="shared" ref="E798:E804" si="86">"Dynamic"</f>
        <v>Dynamic</v>
      </c>
      <c r="F798" t="str">
        <f ca="1">IF(AND(ISNUMBER($F$1889),$B$1132=1),$F$1889,HLOOKUP(INDIRECT(ADDRESS(2,COLUMN())),OFFSET($K$2,0,0,ROW()-1,5),ROW()-1,FALSE))</f>
        <v/>
      </c>
      <c r="G798">
        <f ca="1">IF(AND(ISNUMBER($G$1889),$B$1132=1),$G$1889,HLOOKUP(INDIRECT(ADDRESS(2,COLUMN())),OFFSET($K$2,0,0,ROW()-1,5),ROW()-1,FALSE))</f>
        <v>8.3052597660000007</v>
      </c>
      <c r="H798">
        <f ca="1">IF(AND(ISNUMBER($H$1889),$B$1132=1),$H$1889,HLOOKUP(INDIRECT(ADDRESS(2,COLUMN())),OFFSET($K$2,0,0,ROW()-1,5),ROW()-1,FALSE))</f>
        <v>8.0299999999999994</v>
      </c>
      <c r="I798">
        <f ca="1">IF(AND(ISNUMBER($I$1889),$B$1132=1),$I$1889,HLOOKUP(INDIRECT(ADDRESS(2,COLUMN())),OFFSET($K$2,0,0,ROW()-1,5),ROW()-1,FALSE))</f>
        <v>8.1940000000000008</v>
      </c>
      <c r="J798">
        <f ca="1">IF(AND(ISNUMBER($J$1889),$B$1132=1),$J$1889,HLOOKUP(INDIRECT(ADDRESS(2,COLUMN())),OFFSET($K$2,0,0,ROW()-1,5),ROW()-1,FALSE))</f>
        <v>8.2360000000000007</v>
      </c>
      <c r="K798" t="str">
        <f>""</f>
        <v/>
      </c>
      <c r="L798">
        <f>8.305259766</f>
        <v>8.3052597660000007</v>
      </c>
      <c r="M798">
        <f>8.03</f>
        <v>8.0299999999999994</v>
      </c>
      <c r="N798">
        <f>8.194</f>
        <v>8.1940000000000008</v>
      </c>
      <c r="O798">
        <f>8.236</f>
        <v>8.2360000000000007</v>
      </c>
    </row>
    <row r="799" spans="1:15" x14ac:dyDescent="0.25">
      <c r="A799" t="str">
        <f>"                    UBE Corp"</f>
        <v xml:space="preserve">                    UBE Corp</v>
      </c>
      <c r="B799" t="str">
        <f>"4208 JP Equity"</f>
        <v>4208 JP Equity</v>
      </c>
      <c r="C799" t="str">
        <f t="shared" si="84"/>
        <v>F0946</v>
      </c>
      <c r="D799" t="str">
        <f t="shared" si="85"/>
        <v>TOTAL_GHG_CO2_EMISSIONS</v>
      </c>
      <c r="E799" t="str">
        <f t="shared" si="86"/>
        <v>Dynamic</v>
      </c>
      <c r="F799" t="str">
        <f ca="1">IF(AND(ISNUMBER($F$1890),$B$1132=1),$F$1890,HLOOKUP(INDIRECT(ADDRESS(2,COLUMN())),OFFSET($K$2,0,0,ROW()-1,5),ROW()-1,FALSE))</f>
        <v/>
      </c>
      <c r="G799">
        <f ca="1">IF(AND(ISNUMBER($G$1890),$B$1132=1),$G$1890,HLOOKUP(INDIRECT(ADDRESS(2,COLUMN())),OFFSET($K$2,0,0,ROW()-1,5),ROW()-1,FALSE))</f>
        <v>11.769</v>
      </c>
      <c r="H799">
        <f ca="1">IF(AND(ISNUMBER($H$1890),$B$1132=1),$H$1890,HLOOKUP(INDIRECT(ADDRESS(2,COLUMN())),OFFSET($K$2,0,0,ROW()-1,5),ROW()-1,FALSE))</f>
        <v>11.28</v>
      </c>
      <c r="I799">
        <f ca="1">IF(AND(ISNUMBER($I$1890),$B$1132=1),$I$1890,HLOOKUP(INDIRECT(ADDRESS(2,COLUMN())),OFFSET($K$2,0,0,ROW()-1,5),ROW()-1,FALSE))</f>
        <v>12.1</v>
      </c>
      <c r="J799">
        <f ca="1">IF(AND(ISNUMBER($J$1890),$B$1132=1),$J$1890,HLOOKUP(INDIRECT(ADDRESS(2,COLUMN())),OFFSET($K$2,0,0,ROW()-1,5),ROW()-1,FALSE))</f>
        <v>12</v>
      </c>
      <c r="K799" t="str">
        <f>""</f>
        <v/>
      </c>
      <c r="L799">
        <f>11.769</f>
        <v>11.769</v>
      </c>
      <c r="M799">
        <f>11.28</f>
        <v>11.28</v>
      </c>
      <c r="N799">
        <f>12.1</f>
        <v>12.1</v>
      </c>
      <c r="O799">
        <f>12</f>
        <v>12</v>
      </c>
    </row>
    <row r="800" spans="1:15" x14ac:dyDescent="0.25">
      <c r="A800" t="str">
        <f>"                    Wacker Chemie AG"</f>
        <v xml:space="preserve">                    Wacker Chemie AG</v>
      </c>
      <c r="B800" t="str">
        <f>"WCH GR Equity"</f>
        <v>WCH GR Equity</v>
      </c>
      <c r="C800" t="str">
        <f t="shared" si="84"/>
        <v>F0946</v>
      </c>
      <c r="D800" t="str">
        <f t="shared" si="85"/>
        <v>TOTAL_GHG_CO2_EMISSIONS</v>
      </c>
      <c r="E800" t="str">
        <f t="shared" si="86"/>
        <v>Dynamic</v>
      </c>
      <c r="F800" t="str">
        <f ca="1">IF(AND(ISNUMBER($F$1891),$B$1132=1),$F$1891,HLOOKUP(INDIRECT(ADDRESS(2,COLUMN())),OFFSET($K$2,0,0,ROW()-1,5),ROW()-1,FALSE))</f>
        <v/>
      </c>
      <c r="G800">
        <f ca="1">IF(AND(ISNUMBER($G$1891),$B$1132=1),$G$1891,HLOOKUP(INDIRECT(ADDRESS(2,COLUMN())),OFFSET($K$2,0,0,ROW()-1,5),ROW()-1,FALSE))</f>
        <v>2.692459961</v>
      </c>
      <c r="H800">
        <f ca="1">IF(AND(ISNUMBER($H$1891),$B$1132=1),$H$1891,HLOOKUP(INDIRECT(ADDRESS(2,COLUMN())),OFFSET($K$2,0,0,ROW()-1,5),ROW()-1,FALSE))</f>
        <v>2.8639999999999999</v>
      </c>
      <c r="I800">
        <f ca="1">IF(AND(ISNUMBER($I$1891),$B$1132=1),$I$1891,HLOOKUP(INDIRECT(ADDRESS(2,COLUMN())),OFFSET($K$2,0,0,ROW()-1,5),ROW()-1,FALSE))</f>
        <v>2.92</v>
      </c>
      <c r="J800">
        <f ca="1">IF(AND(ISNUMBER($J$1891),$B$1132=1),$J$1891,HLOOKUP(INDIRECT(ADDRESS(2,COLUMN())),OFFSET($K$2,0,0,ROW()-1,5),ROW()-1,FALSE))</f>
        <v>2.7919999999999998</v>
      </c>
      <c r="K800" t="str">
        <f>""</f>
        <v/>
      </c>
      <c r="L800">
        <f>2.692459961</f>
        <v>2.692459961</v>
      </c>
      <c r="M800">
        <f>2.864</f>
        <v>2.8639999999999999</v>
      </c>
      <c r="N800">
        <f>2.92</f>
        <v>2.92</v>
      </c>
      <c r="O800">
        <f>2.792</f>
        <v>2.7919999999999998</v>
      </c>
    </row>
    <row r="801" spans="1:15" x14ac:dyDescent="0.25">
      <c r="A801" t="str">
        <f>"                    Wanhua Chemical Group Co Ltd"</f>
        <v xml:space="preserve">                    Wanhua Chemical Group Co Ltd</v>
      </c>
      <c r="B801" t="str">
        <f>"600309 CH Equity"</f>
        <v>600309 CH Equity</v>
      </c>
      <c r="C801" t="str">
        <f t="shared" si="84"/>
        <v>F0946</v>
      </c>
      <c r="D801" t="str">
        <f t="shared" si="85"/>
        <v>TOTAL_GHG_CO2_EMISSIONS</v>
      </c>
      <c r="E801" t="str">
        <f t="shared" si="86"/>
        <v>Dynamic</v>
      </c>
      <c r="F801" t="str">
        <f ca="1">IF(AND(ISNUMBER($F$1892),$B$1132=1),$F$1892,HLOOKUP(INDIRECT(ADDRESS(2,COLUMN())),OFFSET($K$2,0,0,ROW()-1,5),ROW()-1,FALSE))</f>
        <v/>
      </c>
      <c r="G801" t="str">
        <f ca="1">IF(AND(ISNUMBER($G$1892),$B$1132=1),$G$1892,HLOOKUP(INDIRECT(ADDRESS(2,COLUMN())),OFFSET($K$2,0,0,ROW()-1,5),ROW()-1,FALSE))</f>
        <v/>
      </c>
      <c r="H801">
        <f ca="1">IF(AND(ISNUMBER($H$1892),$B$1132=1),$H$1892,HLOOKUP(INDIRECT(ADDRESS(2,COLUMN())),OFFSET($K$2,0,0,ROW()-1,5),ROW()-1,FALSE))</f>
        <v>19.899999999999999</v>
      </c>
      <c r="I801">
        <f ca="1">IF(AND(ISNUMBER($I$1892),$B$1132=1),$I$1892,HLOOKUP(INDIRECT(ADDRESS(2,COLUMN())),OFFSET($K$2,0,0,ROW()-1,5),ROW()-1,FALSE))</f>
        <v>18.149999999999999</v>
      </c>
      <c r="J801">
        <f ca="1">IF(AND(ISNUMBER($J$1892),$B$1132=1),$J$1892,HLOOKUP(INDIRECT(ADDRESS(2,COLUMN())),OFFSET($K$2,0,0,ROW()-1,5),ROW()-1,FALSE))</f>
        <v>15.5</v>
      </c>
      <c r="K801" t="str">
        <f>""</f>
        <v/>
      </c>
      <c r="L801" t="str">
        <f>""</f>
        <v/>
      </c>
      <c r="M801">
        <f>19.9</f>
        <v>19.899999999999999</v>
      </c>
      <c r="N801">
        <f>18.15</f>
        <v>18.149999999999999</v>
      </c>
      <c r="O801">
        <f>15.5</f>
        <v>15.5</v>
      </c>
    </row>
    <row r="802" spans="1:15" x14ac:dyDescent="0.25">
      <c r="A802" t="str">
        <f>"                    Westlake Corp"</f>
        <v xml:space="preserve">                    Westlake Corp</v>
      </c>
      <c r="B802" t="str">
        <f>"WLK US Equity"</f>
        <v>WLK US Equity</v>
      </c>
      <c r="C802" t="str">
        <f t="shared" si="84"/>
        <v>F0946</v>
      </c>
      <c r="D802" t="str">
        <f t="shared" si="85"/>
        <v>TOTAL_GHG_CO2_EMISSIONS</v>
      </c>
      <c r="E802" t="str">
        <f t="shared" si="86"/>
        <v>Dynamic</v>
      </c>
      <c r="F802" t="str">
        <f ca="1">IF(AND(ISNUMBER($F$1893),$B$1132=1),$F$1893,HLOOKUP(INDIRECT(ADDRESS(2,COLUMN())),OFFSET($K$2,0,0,ROW()-1,5),ROW()-1,FALSE))</f>
        <v/>
      </c>
      <c r="G802">
        <f ca="1">IF(AND(ISNUMBER($G$1893),$B$1132=1),$G$1893,HLOOKUP(INDIRECT(ADDRESS(2,COLUMN())),OFFSET($K$2,0,0,ROW()-1,5),ROW()-1,FALSE))</f>
        <v>10.43</v>
      </c>
      <c r="H802">
        <f ca="1">IF(AND(ISNUMBER($H$1893),$B$1132=1),$H$1893,HLOOKUP(INDIRECT(ADDRESS(2,COLUMN())),OFFSET($K$2,0,0,ROW()-1,5),ROW()-1,FALSE))</f>
        <v>9.6157197270000001</v>
      </c>
      <c r="I802">
        <f ca="1">IF(AND(ISNUMBER($I$1893),$B$1132=1),$I$1893,HLOOKUP(INDIRECT(ADDRESS(2,COLUMN())),OFFSET($K$2,0,0,ROW()-1,5),ROW()-1,FALSE))</f>
        <v>10.491</v>
      </c>
      <c r="J802">
        <f ca="1">IF(AND(ISNUMBER($J$1893),$B$1132=1),$J$1893,HLOOKUP(INDIRECT(ADDRESS(2,COLUMN())),OFFSET($K$2,0,0,ROW()-1,5),ROW()-1,FALSE))</f>
        <v>10.71709961</v>
      </c>
      <c r="K802" t="str">
        <f>""</f>
        <v/>
      </c>
      <c r="L802">
        <f>10.43</f>
        <v>10.43</v>
      </c>
      <c r="M802">
        <f>9.615719727</f>
        <v>9.6157197270000001</v>
      </c>
      <c r="N802">
        <f>10.491</f>
        <v>10.491</v>
      </c>
      <c r="O802">
        <f>10.71709961</f>
        <v>10.71709961</v>
      </c>
    </row>
    <row r="803" spans="1:15" x14ac:dyDescent="0.25">
      <c r="A803" t="str">
        <f>"                    Yanbu National Petrochemical C"</f>
        <v xml:space="preserve">                    Yanbu National Petrochemical C</v>
      </c>
      <c r="B803" t="str">
        <f>"YANSAB AB Equity"</f>
        <v>YANSAB AB Equity</v>
      </c>
      <c r="C803" t="str">
        <f t="shared" si="84"/>
        <v>F0946</v>
      </c>
      <c r="D803" t="str">
        <f t="shared" si="85"/>
        <v>TOTAL_GHG_CO2_EMISSIONS</v>
      </c>
      <c r="E803" t="str">
        <f t="shared" si="86"/>
        <v>Dynamic</v>
      </c>
      <c r="F803" t="str">
        <f ca="1">IF(AND(ISNUMBER($F$1894),$B$1132=1),$F$1894,HLOOKUP(INDIRECT(ADDRESS(2,COLUMN())),OFFSET($K$2,0,0,ROW()-1,5),ROW()-1,FALSE))</f>
        <v/>
      </c>
      <c r="G803" t="str">
        <f ca="1">IF(AND(ISNUMBER($G$1894),$B$1132=1),$G$1894,HLOOKUP(INDIRECT(ADDRESS(2,COLUMN())),OFFSET($K$2,0,0,ROW()-1,5),ROW()-1,FALSE))</f>
        <v/>
      </c>
      <c r="H803" t="str">
        <f ca="1">IF(AND(ISNUMBER($H$1894),$B$1132=1),$H$1894,HLOOKUP(INDIRECT(ADDRESS(2,COLUMN())),OFFSET($K$2,0,0,ROW()-1,5),ROW()-1,FALSE))</f>
        <v/>
      </c>
      <c r="I803" t="str">
        <f ca="1">IF(AND(ISNUMBER($I$1894),$B$1132=1),$I$1894,HLOOKUP(INDIRECT(ADDRESS(2,COLUMN())),OFFSET($K$2,0,0,ROW()-1,5),ROW()-1,FALSE))</f>
        <v/>
      </c>
      <c r="J803" t="str">
        <f ca="1">IF(AND(ISNUMBER($J$1894),$B$1132=1),$J$1894,HLOOKUP(INDIRECT(ADDRESS(2,COLUMN())),OFFSET($K$2,0,0,ROW()-1,5),ROW()-1,FALSE))</f>
        <v/>
      </c>
      <c r="K803" t="str">
        <f>""</f>
        <v/>
      </c>
      <c r="L803" t="str">
        <f>""</f>
        <v/>
      </c>
      <c r="M803" t="str">
        <f>""</f>
        <v/>
      </c>
      <c r="N803" t="str">
        <f>""</f>
        <v/>
      </c>
      <c r="O803" t="str">
        <f>""</f>
        <v/>
      </c>
    </row>
    <row r="804" spans="1:15" x14ac:dyDescent="0.25">
      <c r="A804" t="str">
        <f>"                    Zeon Corp"</f>
        <v xml:space="preserve">                    Zeon Corp</v>
      </c>
      <c r="B804" t="str">
        <f>"4205 JP Equity"</f>
        <v>4205 JP Equity</v>
      </c>
      <c r="C804" t="str">
        <f t="shared" si="84"/>
        <v>F0946</v>
      </c>
      <c r="D804" t="str">
        <f t="shared" si="85"/>
        <v>TOTAL_GHG_CO2_EMISSIONS</v>
      </c>
      <c r="E804" t="str">
        <f t="shared" si="86"/>
        <v>Dynamic</v>
      </c>
      <c r="F804" t="str">
        <f ca="1">IF(AND(ISNUMBER($F$1895),$B$1132=1),$F$1895,HLOOKUP(INDIRECT(ADDRESS(2,COLUMN())),OFFSET($K$2,0,0,ROW()-1,5),ROW()-1,FALSE))</f>
        <v/>
      </c>
      <c r="G804">
        <f ca="1">IF(AND(ISNUMBER($G$1895),$B$1132=1),$G$1895,HLOOKUP(INDIRECT(ADDRESS(2,COLUMN())),OFFSET($K$2,0,0,ROW()-1,5),ROW()-1,FALSE))</f>
        <v>0.77605499300000003</v>
      </c>
      <c r="H804">
        <f ca="1">IF(AND(ISNUMBER($H$1895),$B$1132=1),$H$1895,HLOOKUP(INDIRECT(ADDRESS(2,COLUMN())),OFFSET($K$2,0,0,ROW()-1,5),ROW()-1,FALSE))</f>
        <v>0.76736999500000003</v>
      </c>
      <c r="I804">
        <f ca="1">IF(AND(ISNUMBER($I$1895),$B$1132=1),$I$1895,HLOOKUP(INDIRECT(ADDRESS(2,COLUMN())),OFFSET($K$2,0,0,ROW()-1,5),ROW()-1,FALSE))</f>
        <v>0.77430902099999999</v>
      </c>
      <c r="J804">
        <f ca="1">IF(AND(ISNUMBER($J$1895),$B$1132=1),$J$1895,HLOOKUP(INDIRECT(ADDRESS(2,COLUMN())),OFFSET($K$2,0,0,ROW()-1,5),ROW()-1,FALSE))</f>
        <v>0.80637902800000005</v>
      </c>
      <c r="K804" t="str">
        <f>""</f>
        <v/>
      </c>
      <c r="L804">
        <f>0.776054993</f>
        <v>0.77605499300000003</v>
      </c>
      <c r="M804">
        <f>0.767369995</f>
        <v>0.76736999500000003</v>
      </c>
      <c r="N804">
        <f>0.774309021</f>
        <v>0.77430902099999999</v>
      </c>
      <c r="O804">
        <f>0.806379028</f>
        <v>0.80637902800000005</v>
      </c>
    </row>
    <row r="805" spans="1:15" x14ac:dyDescent="0.25">
      <c r="A805" t="str">
        <f>"                Industrial Gases"</f>
        <v xml:space="preserve">                Industrial Gases</v>
      </c>
      <c r="B805" t="str">
        <f>""</f>
        <v/>
      </c>
      <c r="E805" t="str">
        <f>"Sum"</f>
        <v>Sum</v>
      </c>
      <c r="F805">
        <f ca="1">IF(ISERROR(IF(SUM($F$806:$F$809) = 0, "", SUM($F$806:$F$809))), "", (IF(SUM($F$806:$F$809) = 0, "", SUM($F$806:$F$809))))</f>
        <v>38.33</v>
      </c>
      <c r="G805">
        <f ca="1">IF(ISERROR(IF(SUM($G$806:$G$809) = 0, "", SUM($G$806:$G$809))), "", (IF(SUM($G$806:$G$809) = 0, "", SUM($G$806:$G$809))))</f>
        <v>102.944</v>
      </c>
      <c r="H805">
        <f ca="1">IF(ISERROR(IF(SUM($H$806:$H$809) = 0, "", SUM($H$806:$H$809))), "", (IF(SUM($H$806:$H$809) = 0, "", SUM($H$806:$H$809))))</f>
        <v>93.615900389999993</v>
      </c>
      <c r="I805">
        <f ca="1">IF(ISERROR(IF(SUM($I$806:$I$809) = 0, "", SUM($I$806:$I$809))), "", (IF(SUM($I$806:$I$809) = 0, "", SUM($I$806:$I$809))))</f>
        <v>97.316999999999979</v>
      </c>
      <c r="J805">
        <f ca="1">IF(ISERROR(IF(SUM($J$806:$J$809) = 0, "", SUM($J$806:$J$809))), "", (IF(SUM($J$806:$J$809) = 0, "", SUM($J$806:$J$809))))</f>
        <v>59.182000000000002</v>
      </c>
      <c r="K805" t="str">
        <f>""</f>
        <v/>
      </c>
      <c r="L805">
        <f>102.944</f>
        <v>102.944</v>
      </c>
      <c r="M805">
        <f>93.61590039</f>
        <v>93.615900389999993</v>
      </c>
      <c r="N805">
        <f>97.317</f>
        <v>97.316999999999993</v>
      </c>
      <c r="O805">
        <f>59.182</f>
        <v>59.182000000000002</v>
      </c>
    </row>
    <row r="806" spans="1:15" x14ac:dyDescent="0.25">
      <c r="A806" t="str">
        <f>"                    Air Liquide SA"</f>
        <v xml:space="preserve">                    Air Liquide SA</v>
      </c>
      <c r="B806" t="str">
        <f>"AI FP Equity"</f>
        <v>AI FP Equity</v>
      </c>
      <c r="C806" t="str">
        <f>"F0946"</f>
        <v>F0946</v>
      </c>
      <c r="D806" t="str">
        <f>"TOTAL_GHG_CO2_EMISSIONS"</f>
        <v>TOTAL_GHG_CO2_EMISSIONS</v>
      </c>
      <c r="E806" t="str">
        <f>"Dynamic"</f>
        <v>Dynamic</v>
      </c>
      <c r="F806">
        <f ca="1">IF(AND(ISNUMBER($F$1896),$B$1132=1),$F$1896,HLOOKUP(INDIRECT(ADDRESS(2,COLUMN())),OFFSET($K$2,0,0,ROW()-1,5),ROW()-1,FALSE))</f>
        <v>38.33</v>
      </c>
      <c r="G806">
        <f ca="1">IF(AND(ISNUMBER($G$1896),$B$1132=1),$G$1896,HLOOKUP(INDIRECT(ADDRESS(2,COLUMN())),OFFSET($K$2,0,0,ROW()-1,5),ROW()-1,FALSE))</f>
        <v>35.088999999999999</v>
      </c>
      <c r="H806">
        <f ca="1">IF(AND(ISNUMBER($H$1896),$B$1132=1),$H$1896,HLOOKUP(INDIRECT(ADDRESS(2,COLUMN())),OFFSET($K$2,0,0,ROW()-1,5),ROW()-1,FALSE))</f>
        <v>27.471</v>
      </c>
      <c r="I806">
        <f ca="1">IF(AND(ISNUMBER($I$1896),$B$1132=1),$I$1896,HLOOKUP(INDIRECT(ADDRESS(2,COLUMN())),OFFSET($K$2,0,0,ROW()-1,5),ROW()-1,FALSE))</f>
        <v>27.847999999999999</v>
      </c>
      <c r="J806">
        <f ca="1">IF(AND(ISNUMBER($J$1896),$B$1132=1),$J$1896,HLOOKUP(INDIRECT(ADDRESS(2,COLUMN())),OFFSET($K$2,0,0,ROW()-1,5),ROW()-1,FALSE))</f>
        <v>27.812000000000001</v>
      </c>
      <c r="K806">
        <f>38.33</f>
        <v>38.33</v>
      </c>
      <c r="L806">
        <f>35.089</f>
        <v>35.088999999999999</v>
      </c>
      <c r="M806">
        <f>27.471</f>
        <v>27.471</v>
      </c>
      <c r="N806">
        <f>27.848</f>
        <v>27.847999999999999</v>
      </c>
      <c r="O806">
        <f>27.812</f>
        <v>27.812000000000001</v>
      </c>
    </row>
    <row r="807" spans="1:15" x14ac:dyDescent="0.25">
      <c r="A807" t="str">
        <f>"                    Air Products and Chemicals Inc"</f>
        <v xml:space="preserve">                    Air Products and Chemicals Inc</v>
      </c>
      <c r="B807" t="str">
        <f>"APD US Equity"</f>
        <v>APD US Equity</v>
      </c>
      <c r="C807" t="str">
        <f>"F0946"</f>
        <v>F0946</v>
      </c>
      <c r="D807" t="str">
        <f>"TOTAL_GHG_CO2_EMISSIONS"</f>
        <v>TOTAL_GHG_CO2_EMISSIONS</v>
      </c>
      <c r="E807" t="str">
        <f>"Dynamic"</f>
        <v>Dynamic</v>
      </c>
      <c r="F807" t="str">
        <f ca="1">IF(AND(ISNUMBER($F$1897),$B$1132=1),$F$1897,HLOOKUP(INDIRECT(ADDRESS(2,COLUMN())),OFFSET($K$2,0,0,ROW()-1,5),ROW()-1,FALSE))</f>
        <v/>
      </c>
      <c r="G807">
        <f ca="1">IF(AND(ISNUMBER($G$1897),$B$1132=1),$G$1897,HLOOKUP(INDIRECT(ADDRESS(2,COLUMN())),OFFSET($K$2,0,0,ROW()-1,5),ROW()-1,FALSE))</f>
        <v>24.2</v>
      </c>
      <c r="H807">
        <f ca="1">IF(AND(ISNUMBER($H$1897),$B$1132=1),$H$1897,HLOOKUP(INDIRECT(ADDRESS(2,COLUMN())),OFFSET($K$2,0,0,ROW()-1,5),ROW()-1,FALSE))</f>
        <v>24.183900390000002</v>
      </c>
      <c r="I807">
        <f ca="1">IF(AND(ISNUMBER($I$1897),$B$1132=1),$I$1897,HLOOKUP(INDIRECT(ADDRESS(2,COLUMN())),OFFSET($K$2,0,0,ROW()-1,5),ROW()-1,FALSE))</f>
        <v>27.3</v>
      </c>
      <c r="J807">
        <f ca="1">IF(AND(ISNUMBER($J$1897),$B$1132=1),$J$1897,HLOOKUP(INDIRECT(ADDRESS(2,COLUMN())),OFFSET($K$2,0,0,ROW()-1,5),ROW()-1,FALSE))</f>
        <v>27.3</v>
      </c>
      <c r="K807" t="str">
        <f>""</f>
        <v/>
      </c>
      <c r="L807">
        <f>24.2</f>
        <v>24.2</v>
      </c>
      <c r="M807">
        <f>24.18390039</f>
        <v>24.183900390000002</v>
      </c>
      <c r="N807">
        <f>27.3</f>
        <v>27.3</v>
      </c>
      <c r="O807">
        <f>27.3</f>
        <v>27.3</v>
      </c>
    </row>
    <row r="808" spans="1:15" x14ac:dyDescent="0.25">
      <c r="A808" t="str">
        <f>"                    Linde PLC"</f>
        <v xml:space="preserve">                    Linde PLC</v>
      </c>
      <c r="B808" t="str">
        <f>"LIN US Equity"</f>
        <v>LIN US Equity</v>
      </c>
      <c r="C808" t="str">
        <f>"F0946"</f>
        <v>F0946</v>
      </c>
      <c r="D808" t="str">
        <f>"TOTAL_GHG_CO2_EMISSIONS"</f>
        <v>TOTAL_GHG_CO2_EMISSIONS</v>
      </c>
      <c r="E808" t="str">
        <f>"Dynamic"</f>
        <v>Dynamic</v>
      </c>
      <c r="F808" t="str">
        <f ca="1">IF(AND(ISNUMBER($F$1898),$B$1132=1),$F$1898,HLOOKUP(INDIRECT(ADDRESS(2,COLUMN())),OFFSET($K$2,0,0,ROW()-1,5),ROW()-1,FALSE))</f>
        <v/>
      </c>
      <c r="G808">
        <f ca="1">IF(AND(ISNUMBER($G$1898),$B$1132=1),$G$1898,HLOOKUP(INDIRECT(ADDRESS(2,COLUMN())),OFFSET($K$2,0,0,ROW()-1,5),ROW()-1,FALSE))</f>
        <v>37.734000000000002</v>
      </c>
      <c r="H808">
        <f ca="1">IF(AND(ISNUMBER($H$1898),$B$1132=1),$H$1898,HLOOKUP(INDIRECT(ADDRESS(2,COLUMN())),OFFSET($K$2,0,0,ROW()-1,5),ROW()-1,FALSE))</f>
        <v>36.31</v>
      </c>
      <c r="I808">
        <f ca="1">IF(AND(ISNUMBER($I$1898),$B$1132=1),$I$1898,HLOOKUP(INDIRECT(ADDRESS(2,COLUMN())),OFFSET($K$2,0,0,ROW()-1,5),ROW()-1,FALSE))</f>
        <v>36.360999999999997</v>
      </c>
      <c r="J808" t="str">
        <f ca="1">IF(AND(ISNUMBER($J$1898),$B$1132=1),$J$1898,HLOOKUP(INDIRECT(ADDRESS(2,COLUMN())),OFFSET($K$2,0,0,ROW()-1,5),ROW()-1,FALSE))</f>
        <v/>
      </c>
      <c r="K808" t="str">
        <f>""</f>
        <v/>
      </c>
      <c r="L808">
        <f>37.734</f>
        <v>37.734000000000002</v>
      </c>
      <c r="M808">
        <f>36.31</f>
        <v>36.31</v>
      </c>
      <c r="N808">
        <f>36.361</f>
        <v>36.360999999999997</v>
      </c>
      <c r="O808" t="str">
        <f>""</f>
        <v/>
      </c>
    </row>
    <row r="809" spans="1:15" x14ac:dyDescent="0.25">
      <c r="A809" t="str">
        <f>"                    Nippon Sanso Holdings Corp"</f>
        <v xml:space="preserve">                    Nippon Sanso Holdings Corp</v>
      </c>
      <c r="B809" t="str">
        <f>"4091 JP Equity"</f>
        <v>4091 JP Equity</v>
      </c>
      <c r="C809" t="str">
        <f>"F0946"</f>
        <v>F0946</v>
      </c>
      <c r="D809" t="str">
        <f>"TOTAL_GHG_CO2_EMISSIONS"</f>
        <v>TOTAL_GHG_CO2_EMISSIONS</v>
      </c>
      <c r="E809" t="str">
        <f>"Dynamic"</f>
        <v>Dynamic</v>
      </c>
      <c r="F809" t="str">
        <f ca="1">IF(AND(ISNUMBER($F$1899),$B$1132=1),$F$1899,HLOOKUP(INDIRECT(ADDRESS(2,COLUMN())),OFFSET($K$2,0,0,ROW()-1,5),ROW()-1,FALSE))</f>
        <v/>
      </c>
      <c r="G809">
        <f ca="1">IF(AND(ISNUMBER($G$1899),$B$1132=1),$G$1899,HLOOKUP(INDIRECT(ADDRESS(2,COLUMN())),OFFSET($K$2,0,0,ROW()-1,5),ROW()-1,FALSE))</f>
        <v>5.9210000000000003</v>
      </c>
      <c r="H809">
        <f ca="1">IF(AND(ISNUMBER($H$1899),$B$1132=1),$H$1899,HLOOKUP(INDIRECT(ADDRESS(2,COLUMN())),OFFSET($K$2,0,0,ROW()-1,5),ROW()-1,FALSE))</f>
        <v>5.6509999999999998</v>
      </c>
      <c r="I809">
        <f ca="1">IF(AND(ISNUMBER($I$1899),$B$1132=1),$I$1899,HLOOKUP(INDIRECT(ADDRESS(2,COLUMN())),OFFSET($K$2,0,0,ROW()-1,5),ROW()-1,FALSE))</f>
        <v>5.8079999999999998</v>
      </c>
      <c r="J809">
        <f ca="1">IF(AND(ISNUMBER($J$1899),$B$1132=1),$J$1899,HLOOKUP(INDIRECT(ADDRESS(2,COLUMN())),OFFSET($K$2,0,0,ROW()-1,5),ROW()-1,FALSE))</f>
        <v>4.07</v>
      </c>
      <c r="K809" t="str">
        <f>""</f>
        <v/>
      </c>
      <c r="L809">
        <f>5.921</f>
        <v>5.9210000000000003</v>
      </c>
      <c r="M809">
        <f>5.651</f>
        <v>5.6509999999999998</v>
      </c>
      <c r="N809">
        <f>5.808</f>
        <v>5.8079999999999998</v>
      </c>
      <c r="O809">
        <f>4.07</f>
        <v>4.07</v>
      </c>
    </row>
    <row r="810" spans="1:15" x14ac:dyDescent="0.25">
      <c r="A810" t="str">
        <f>"            Metals &amp; Mining"</f>
        <v xml:space="preserve">            Metals &amp; Mining</v>
      </c>
      <c r="B810" t="str">
        <f>""</f>
        <v/>
      </c>
      <c r="E810" t="str">
        <f>"Sum"</f>
        <v>Sum</v>
      </c>
      <c r="F810">
        <f ca="1">IF(ISERROR(IF(SUM($F$811,$F$841,$F$845,$F$874,$F$887,$F$910,$F$923) = 0, "", SUM($F$811,$F$841,$F$845,$F$874,$F$887,$F$910,$F$923))), "", (IF(SUM($F$811,$F$841,$F$845,$F$874,$F$887,$F$910,$F$923) = 0, "", SUM($F$811,$F$841,$F$845,$F$874,$F$887,$F$910,$F$923))))</f>
        <v>349.95318974600002</v>
      </c>
      <c r="G810">
        <f ca="1">IF(ISERROR(IF(SUM($G$811,$G$841,$G$845,$G$874,$G$887,$G$910,$G$923) = 0, "", SUM($G$811,$G$841,$G$845,$G$874,$G$887,$G$910,$G$923))), "", (IF(SUM($G$811,$G$841,$G$845,$G$874,$G$887,$G$910,$G$923) = 0, "", SUM($G$811,$G$841,$G$845,$G$874,$G$887,$G$910,$G$923))))</f>
        <v>660.46375735599997</v>
      </c>
      <c r="H810">
        <f ca="1">IF(ISERROR(IF(SUM($H$811,$H$841,$H$845,$H$874,$H$887,$H$910,$H$923) = 0, "", SUM($H$811,$H$841,$H$845,$H$874,$H$887,$H$910,$H$923))), "", (IF(SUM($H$811,$H$841,$H$845,$H$874,$H$887,$H$910,$H$923) = 0, "", SUM($H$811,$H$841,$H$845,$H$874,$H$887,$H$910,$H$923))))</f>
        <v>636.26327376800009</v>
      </c>
      <c r="I810">
        <f ca="1">IF(ISERROR(IF(SUM($I$811,$I$841,$I$845,$I$874,$I$887,$I$910,$I$923) = 0, "", SUM($I$811,$I$841,$I$845,$I$874,$I$887,$I$910,$I$923))), "", (IF(SUM($I$811,$I$841,$I$845,$I$874,$I$887,$I$910,$I$923) = 0, "", SUM($I$811,$I$841,$I$845,$I$874,$I$887,$I$910,$I$923))))</f>
        <v>678.52954492100002</v>
      </c>
      <c r="J810">
        <f ca="1">IF(ISERROR(IF(SUM($J$811,$J$841,$J$845,$J$874,$J$887,$J$910,$J$923) = 0, "", SUM($J$811,$J$841,$J$845,$J$874,$J$887,$J$910,$J$923))), "", (IF(SUM($J$811,$J$841,$J$845,$J$874,$J$887,$J$910,$J$923) = 0, "", SUM($J$811,$J$841,$J$845,$J$874,$J$887,$J$910,$J$923))))</f>
        <v>690.38827886700005</v>
      </c>
      <c r="K810">
        <f>201.995787</f>
        <v>201.99578700000001</v>
      </c>
      <c r="L810">
        <f>660.4637574</f>
        <v>660.46375739999996</v>
      </c>
      <c r="M810">
        <f>636.2632738</f>
        <v>636.26327379999998</v>
      </c>
      <c r="N810">
        <f>678.5295449</f>
        <v>678.52954490000002</v>
      </c>
      <c r="O810">
        <f>690.3882789</f>
        <v>690.38827890000005</v>
      </c>
    </row>
    <row r="811" spans="1:15" x14ac:dyDescent="0.25">
      <c r="A811" t="str">
        <f>"                Aluminum"</f>
        <v xml:space="preserve">                Aluminum</v>
      </c>
      <c r="B811" t="str">
        <f>""</f>
        <v/>
      </c>
      <c r="E811" t="str">
        <f>"Sum"</f>
        <v>Sum</v>
      </c>
      <c r="F811">
        <f ca="1">IF(ISERROR(IF(SUM($F$812:$F$840) = 0, "", SUM($F$812:$F$840))), "", (IF(SUM($F$812:$F$840) = 0, "", SUM($F$812:$F$840))))</f>
        <v>147.95740270000002</v>
      </c>
      <c r="G811">
        <f ca="1">IF(ISERROR(IF(SUM($G$812:$G$840) = 0, "", SUM($G$812:$G$840))), "", (IF(SUM($G$812:$G$840) = 0, "", SUM($G$812:$G$840))))</f>
        <v>365.94222069699998</v>
      </c>
      <c r="H811">
        <f ca="1">IF(ISERROR(IF(SUM($H$812:$H$840) = 0, "", SUM($H$812:$H$840))), "", (IF(SUM($H$812:$H$840) = 0, "", SUM($H$812:$H$840))))</f>
        <v>363.24177648900007</v>
      </c>
      <c r="I811">
        <f ca="1">IF(ISERROR(IF(SUM($I$812:$I$840) = 0, "", SUM($I$812:$I$840))), "", (IF(SUM($I$812:$I$840) = 0, "", SUM($I$812:$I$840))))</f>
        <v>392.94047053600002</v>
      </c>
      <c r="J811">
        <f ca="1">IF(ISERROR(IF(SUM($J$812:$J$840) = 0, "", SUM($J$812:$J$840))), "", (IF(SUM($J$812:$J$840) = 0, "", SUM($J$812:$J$840))))</f>
        <v>416.60219018500004</v>
      </c>
      <c r="K811" t="str">
        <f>""</f>
        <v/>
      </c>
      <c r="L811">
        <f>365.9422207</f>
        <v>365.94222070000001</v>
      </c>
      <c r="M811">
        <f>363.2417765</f>
        <v>363.24177650000001</v>
      </c>
      <c r="N811">
        <f>392.9404705</f>
        <v>392.9404705</v>
      </c>
      <c r="O811">
        <f>416.6021902</f>
        <v>416.6021902</v>
      </c>
    </row>
    <row r="812" spans="1:15" x14ac:dyDescent="0.25">
      <c r="A812" t="str">
        <f>"                    Alcoa Corp"</f>
        <v xml:space="preserve">                    Alcoa Corp</v>
      </c>
      <c r="B812" t="str">
        <f>"AA US Equity"</f>
        <v>AA US Equity</v>
      </c>
      <c r="C812" t="str">
        <f t="shared" ref="C812:C840" si="87">"F0946"</f>
        <v>F0946</v>
      </c>
      <c r="D812" t="str">
        <f t="shared" ref="D812:D840" si="88">"TOTAL_GHG_CO2_EMISSIONS"</f>
        <v>TOTAL_GHG_CO2_EMISSIONS</v>
      </c>
      <c r="E812" t="str">
        <f t="shared" ref="E812:E840" si="89">"Dynamic"</f>
        <v>Dynamic</v>
      </c>
      <c r="F812" t="str">
        <f ca="1">IF(AND(ISNUMBER($F$1900),$B$1132=1),$F$1900,HLOOKUP(INDIRECT(ADDRESS(2,COLUMN())),OFFSET($K$2,0,0,ROW()-1,5),ROW()-1,FALSE))</f>
        <v/>
      </c>
      <c r="G812">
        <f ca="1">IF(AND(ISNUMBER($G$1900),$B$1132=1),$G$1900,HLOOKUP(INDIRECT(ADDRESS(2,COLUMN())),OFFSET($K$2,0,0,ROW()-1,5),ROW()-1,FALSE))</f>
        <v>21.8</v>
      </c>
      <c r="H812">
        <f ca="1">IF(AND(ISNUMBER($H$1900),$B$1132=1),$H$1900,HLOOKUP(INDIRECT(ADDRESS(2,COLUMN())),OFFSET($K$2,0,0,ROW()-1,5),ROW()-1,FALSE))</f>
        <v>23.9</v>
      </c>
      <c r="I812">
        <f ca="1">IF(AND(ISNUMBER($I$1900),$B$1132=1),$I$1900,HLOOKUP(INDIRECT(ADDRESS(2,COLUMN())),OFFSET($K$2,0,0,ROW()-1,5),ROW()-1,FALSE))</f>
        <v>24.3</v>
      </c>
      <c r="J812">
        <f ca="1">IF(AND(ISNUMBER($J$1900),$B$1132=1),$J$1900,HLOOKUP(INDIRECT(ADDRESS(2,COLUMN())),OFFSET($K$2,0,0,ROW()-1,5),ROW()-1,FALSE))</f>
        <v>25.2</v>
      </c>
      <c r="K812" t="str">
        <f>""</f>
        <v/>
      </c>
      <c r="L812">
        <f>21.8</f>
        <v>21.8</v>
      </c>
      <c r="M812">
        <f>23.9</f>
        <v>23.9</v>
      </c>
      <c r="N812">
        <f>24.3</f>
        <v>24.3</v>
      </c>
      <c r="O812">
        <f>25.2</f>
        <v>25.2</v>
      </c>
    </row>
    <row r="813" spans="1:15" x14ac:dyDescent="0.25">
      <c r="A813" t="str">
        <f>"                    Alro SA"</f>
        <v xml:space="preserve">                    Alro SA</v>
      </c>
      <c r="B813" t="str">
        <f>"ALR RO Equity"</f>
        <v>ALR RO Equity</v>
      </c>
      <c r="C813" t="str">
        <f t="shared" si="87"/>
        <v>F0946</v>
      </c>
      <c r="D813" t="str">
        <f t="shared" si="88"/>
        <v>TOTAL_GHG_CO2_EMISSIONS</v>
      </c>
      <c r="E813" t="str">
        <f t="shared" si="89"/>
        <v>Dynamic</v>
      </c>
      <c r="F813" t="str">
        <f ca="1">IF(AND(ISNUMBER($F$1901),$B$1132=1),$F$1901,HLOOKUP(INDIRECT(ADDRESS(2,COLUMN())),OFFSET($K$2,0,0,ROW()-1,5),ROW()-1,FALSE))</f>
        <v/>
      </c>
      <c r="G813" t="str">
        <f ca="1">IF(AND(ISNUMBER($G$1901),$B$1132=1),$G$1901,HLOOKUP(INDIRECT(ADDRESS(2,COLUMN())),OFFSET($K$2,0,0,ROW()-1,5),ROW()-1,FALSE))</f>
        <v/>
      </c>
      <c r="H813">
        <f ca="1">IF(AND(ISNUMBER($H$1901),$B$1132=1),$H$1901,HLOOKUP(INDIRECT(ADDRESS(2,COLUMN())),OFFSET($K$2,0,0,ROW()-1,5),ROW()-1,FALSE))</f>
        <v>1.4761700440000001</v>
      </c>
      <c r="I813">
        <f ca="1">IF(AND(ISNUMBER($I$1901),$B$1132=1),$I$1901,HLOOKUP(INDIRECT(ADDRESS(2,COLUMN())),OFFSET($K$2,0,0,ROW()-1,5),ROW()-1,FALSE))</f>
        <v>1.451920044</v>
      </c>
      <c r="J813">
        <f ca="1">IF(AND(ISNUMBER($J$1901),$B$1132=1),$J$1901,HLOOKUP(INDIRECT(ADDRESS(2,COLUMN())),OFFSET($K$2,0,0,ROW()-1,5),ROW()-1,FALSE))</f>
        <v>1.9992800289999999</v>
      </c>
      <c r="K813" t="str">
        <f>""</f>
        <v/>
      </c>
      <c r="L813" t="str">
        <f>""</f>
        <v/>
      </c>
      <c r="M813">
        <f>1.476170044</f>
        <v>1.4761700440000001</v>
      </c>
      <c r="N813">
        <f>1.451920044</f>
        <v>1.451920044</v>
      </c>
      <c r="O813">
        <f>1.999280029</f>
        <v>1.9992800289999999</v>
      </c>
    </row>
    <row r="814" spans="1:15" x14ac:dyDescent="0.25">
      <c r="A814" t="str">
        <f>"                    Alumina Ltd"</f>
        <v xml:space="preserve">                    Alumina Ltd</v>
      </c>
      <c r="B814" t="str">
        <f>"AWC AU Equity"</f>
        <v>AWC AU Equity</v>
      </c>
      <c r="C814" t="str">
        <f t="shared" si="87"/>
        <v>F0946</v>
      </c>
      <c r="D814" t="str">
        <f t="shared" si="88"/>
        <v>TOTAL_GHG_CO2_EMISSIONS</v>
      </c>
      <c r="E814" t="str">
        <f t="shared" si="89"/>
        <v>Dynamic</v>
      </c>
      <c r="F814" t="str">
        <f ca="1">IF(AND(ISNUMBER($F$1902),$B$1132=1),$F$1902,HLOOKUP(INDIRECT(ADDRESS(2,COLUMN())),OFFSET($K$2,0,0,ROW()-1,5),ROW()-1,FALSE))</f>
        <v/>
      </c>
      <c r="G814" t="str">
        <f ca="1">IF(AND(ISNUMBER($G$1902),$B$1132=1),$G$1902,HLOOKUP(INDIRECT(ADDRESS(2,COLUMN())),OFFSET($K$2,0,0,ROW()-1,5),ROW()-1,FALSE))</f>
        <v/>
      </c>
      <c r="H814" t="str">
        <f ca="1">IF(AND(ISNUMBER($H$1902),$B$1132=1),$H$1902,HLOOKUP(INDIRECT(ADDRESS(2,COLUMN())),OFFSET($K$2,0,0,ROW()-1,5),ROW()-1,FALSE))</f>
        <v/>
      </c>
      <c r="I814">
        <f ca="1">IF(AND(ISNUMBER($I$1902),$B$1132=1),$I$1902,HLOOKUP(INDIRECT(ADDRESS(2,COLUMN())),OFFSET($K$2,0,0,ROW()-1,5),ROW()-1,FALSE))</f>
        <v>12.540800000000001</v>
      </c>
      <c r="J814">
        <f ca="1">IF(AND(ISNUMBER($J$1902),$B$1132=1),$J$1902,HLOOKUP(INDIRECT(ADDRESS(2,COLUMN())),OFFSET($K$2,0,0,ROW()-1,5),ROW()-1,FALSE))</f>
        <v>12.500500000000001</v>
      </c>
      <c r="K814" t="str">
        <f>""</f>
        <v/>
      </c>
      <c r="L814" t="str">
        <f>""</f>
        <v/>
      </c>
      <c r="M814" t="str">
        <f>""</f>
        <v/>
      </c>
      <c r="N814">
        <f>12.5408</f>
        <v>12.540800000000001</v>
      </c>
      <c r="O814">
        <f>12.5005</f>
        <v>12.500500000000001</v>
      </c>
    </row>
    <row r="815" spans="1:15" x14ac:dyDescent="0.25">
      <c r="A815" t="str">
        <f>"                    Aluminium Bahrain BSC"</f>
        <v xml:space="preserve">                    Aluminium Bahrain BSC</v>
      </c>
      <c r="B815" t="str">
        <f>"ALBH BI Equity"</f>
        <v>ALBH BI Equity</v>
      </c>
      <c r="C815" t="str">
        <f t="shared" si="87"/>
        <v>F0946</v>
      </c>
      <c r="D815" t="str">
        <f t="shared" si="88"/>
        <v>TOTAL_GHG_CO2_EMISSIONS</v>
      </c>
      <c r="E815" t="str">
        <f t="shared" si="89"/>
        <v>Dynamic</v>
      </c>
      <c r="F815" t="str">
        <f ca="1">IF(AND(ISNUMBER($F$1903),$B$1132=1),$F$1903,HLOOKUP(INDIRECT(ADDRESS(2,COLUMN())),OFFSET($K$2,0,0,ROW()-1,5),ROW()-1,FALSE))</f>
        <v/>
      </c>
      <c r="G815">
        <f ca="1">IF(AND(ISNUMBER($G$1903),$B$1132=1),$G$1903,HLOOKUP(INDIRECT(ADDRESS(2,COLUMN())),OFFSET($K$2,0,0,ROW()-1,5),ROW()-1,FALSE))</f>
        <v>12.300299799999999</v>
      </c>
      <c r="H815">
        <f ca="1">IF(AND(ISNUMBER($H$1903),$B$1132=1),$H$1903,HLOOKUP(INDIRECT(ADDRESS(2,COLUMN())),OFFSET($K$2,0,0,ROW()-1,5),ROW()-1,FALSE))</f>
        <v>12.16790039</v>
      </c>
      <c r="I815">
        <f ca="1">IF(AND(ISNUMBER($I$1903),$B$1132=1),$I$1903,HLOOKUP(INDIRECT(ADDRESS(2,COLUMN())),OFFSET($K$2,0,0,ROW()-1,5),ROW()-1,FALSE))</f>
        <v>12.062400390000001</v>
      </c>
      <c r="J815">
        <f ca="1">IF(AND(ISNUMBER($J$1903),$B$1132=1),$J$1903,HLOOKUP(INDIRECT(ADDRESS(2,COLUMN())),OFFSET($K$2,0,0,ROW()-1,5),ROW()-1,FALSE))</f>
        <v>9.4598701169999995</v>
      </c>
      <c r="K815" t="str">
        <f>""</f>
        <v/>
      </c>
      <c r="L815">
        <f>12.3002998</f>
        <v>12.300299799999999</v>
      </c>
      <c r="M815">
        <f>12.16790039</f>
        <v>12.16790039</v>
      </c>
      <c r="N815">
        <f>12.06240039</f>
        <v>12.062400390000001</v>
      </c>
      <c r="O815">
        <f>9.459870117</f>
        <v>9.4598701169999995</v>
      </c>
    </row>
    <row r="816" spans="1:15" x14ac:dyDescent="0.25">
      <c r="A816" t="str">
        <f>"                    Aluminum Corp of China Ltd"</f>
        <v xml:space="preserve">                    Aluminum Corp of China Ltd</v>
      </c>
      <c r="B816" t="str">
        <f>"2600 HK Equity"</f>
        <v>2600 HK Equity</v>
      </c>
      <c r="C816" t="str">
        <f t="shared" si="87"/>
        <v>F0946</v>
      </c>
      <c r="D816" t="str">
        <f t="shared" si="88"/>
        <v>TOTAL_GHG_CO2_EMISSIONS</v>
      </c>
      <c r="E816" t="str">
        <f t="shared" si="89"/>
        <v>Dynamic</v>
      </c>
      <c r="F816">
        <f ca="1">IF(AND(ISNUMBER($F$1904),$B$1132=1),$F$1904,HLOOKUP(INDIRECT(ADDRESS(2,COLUMN())),OFFSET($K$2,0,0,ROW()-1,5),ROW()-1,FALSE))</f>
        <v>117.64</v>
      </c>
      <c r="G816">
        <f ca="1">IF(AND(ISNUMBER($G$1904),$B$1132=1),$G$1904,HLOOKUP(INDIRECT(ADDRESS(2,COLUMN())),OFFSET($K$2,0,0,ROW()-1,5),ROW()-1,FALSE))</f>
        <v>86.801101560000006</v>
      </c>
      <c r="H816">
        <f ca="1">IF(AND(ISNUMBER($H$1904),$B$1132=1),$H$1904,HLOOKUP(INDIRECT(ADDRESS(2,COLUMN())),OFFSET($K$2,0,0,ROW()-1,5),ROW()-1,FALSE))</f>
        <v>89.04</v>
      </c>
      <c r="I816">
        <f ca="1">IF(AND(ISNUMBER($I$1904),$B$1132=1),$I$1904,HLOOKUP(INDIRECT(ADDRESS(2,COLUMN())),OFFSET($K$2,0,0,ROW()-1,5),ROW()-1,FALSE))</f>
        <v>93.951999999999998</v>
      </c>
      <c r="J816">
        <f ca="1">IF(AND(ISNUMBER($J$1904),$B$1132=1),$J$1904,HLOOKUP(INDIRECT(ADDRESS(2,COLUMN())),OFFSET($K$2,0,0,ROW()-1,5),ROW()-1,FALSE))</f>
        <v>101.268</v>
      </c>
      <c r="K816">
        <f>117.64</f>
        <v>117.64</v>
      </c>
      <c r="L816">
        <f>86.80110156</f>
        <v>86.801101560000006</v>
      </c>
      <c r="M816">
        <f>89.04</f>
        <v>89.04</v>
      </c>
      <c r="N816">
        <f>93.952</f>
        <v>93.951999999999998</v>
      </c>
      <c r="O816">
        <f>101.268</f>
        <v>101.268</v>
      </c>
    </row>
    <row r="817" spans="1:15" x14ac:dyDescent="0.25">
      <c r="A817" t="str">
        <f>"                    Aluar Aluminio Argentino SAIC"</f>
        <v xml:space="preserve">                    Aluar Aluminio Argentino SAIC</v>
      </c>
      <c r="B817" t="str">
        <f>"ALUA AR Equity"</f>
        <v>ALUA AR Equity</v>
      </c>
      <c r="C817" t="str">
        <f t="shared" si="87"/>
        <v>F0946</v>
      </c>
      <c r="D817" t="str">
        <f t="shared" si="88"/>
        <v>TOTAL_GHG_CO2_EMISSIONS</v>
      </c>
      <c r="E817" t="str">
        <f t="shared" si="89"/>
        <v>Dynamic</v>
      </c>
      <c r="F817" t="str">
        <f ca="1">IF(AND(ISNUMBER($F$1905),$B$1132=1),$F$1905,HLOOKUP(INDIRECT(ADDRESS(2,COLUMN())),OFFSET($K$2,0,0,ROW()-1,5),ROW()-1,FALSE))</f>
        <v/>
      </c>
      <c r="G817" t="str">
        <f ca="1">IF(AND(ISNUMBER($G$1905),$B$1132=1),$G$1905,HLOOKUP(INDIRECT(ADDRESS(2,COLUMN())),OFFSET($K$2,0,0,ROW()-1,5),ROW()-1,FALSE))</f>
        <v/>
      </c>
      <c r="H817" t="str">
        <f ca="1">IF(AND(ISNUMBER($H$1905),$B$1132=1),$H$1905,HLOOKUP(INDIRECT(ADDRESS(2,COLUMN())),OFFSET($K$2,0,0,ROW()-1,5),ROW()-1,FALSE))</f>
        <v/>
      </c>
      <c r="I817" t="str">
        <f ca="1">IF(AND(ISNUMBER($I$1905),$B$1132=1),$I$1905,HLOOKUP(INDIRECT(ADDRESS(2,COLUMN())),OFFSET($K$2,0,0,ROW()-1,5),ROW()-1,FALSE))</f>
        <v/>
      </c>
      <c r="J817" t="str">
        <f ca="1">IF(AND(ISNUMBER($J$1905),$B$1132=1),$J$1905,HLOOKUP(INDIRECT(ADDRESS(2,COLUMN())),OFFSET($K$2,0,0,ROW()-1,5),ROW()-1,FALSE))</f>
        <v/>
      </c>
      <c r="K817" t="str">
        <f>""</f>
        <v/>
      </c>
      <c r="L817" t="str">
        <f>""</f>
        <v/>
      </c>
      <c r="M817" t="str">
        <f>""</f>
        <v/>
      </c>
      <c r="N817" t="str">
        <f>""</f>
        <v/>
      </c>
      <c r="O817" t="str">
        <f>""</f>
        <v/>
      </c>
    </row>
    <row r="818" spans="1:15" x14ac:dyDescent="0.25">
      <c r="A818" t="str">
        <f>"                    BHP Group Ltd"</f>
        <v xml:space="preserve">                    BHP Group Ltd</v>
      </c>
      <c r="B818" t="str">
        <f>"BHP AU Equity"</f>
        <v>BHP AU Equity</v>
      </c>
      <c r="C818" t="str">
        <f t="shared" si="87"/>
        <v>F0946</v>
      </c>
      <c r="D818" t="str">
        <f t="shared" si="88"/>
        <v>TOTAL_GHG_CO2_EMISSIONS</v>
      </c>
      <c r="E818" t="str">
        <f t="shared" si="89"/>
        <v>Dynamic</v>
      </c>
      <c r="F818" t="str">
        <f ca="1">IF(AND(ISNUMBER($F$1906),$B$1132=1),$F$1906,HLOOKUP(INDIRECT(ADDRESS(2,COLUMN())),OFFSET($K$2,0,0,ROW()-1,5),ROW()-1,FALSE))</f>
        <v/>
      </c>
      <c r="G818">
        <f ca="1">IF(AND(ISNUMBER($G$1906),$B$1132=1),$G$1906,HLOOKUP(INDIRECT(ADDRESS(2,COLUMN())),OFFSET($K$2,0,0,ROW()-1,5),ROW()-1,FALSE))</f>
        <v>14</v>
      </c>
      <c r="H818">
        <f ca="1">IF(AND(ISNUMBER($H$1906),$B$1132=1),$H$1906,HLOOKUP(INDIRECT(ADDRESS(2,COLUMN())),OFFSET($K$2,0,0,ROW()-1,5),ROW()-1,FALSE))</f>
        <v>15</v>
      </c>
      <c r="I818">
        <f ca="1">IF(AND(ISNUMBER($I$1906),$B$1132=1),$I$1906,HLOOKUP(INDIRECT(ADDRESS(2,COLUMN())),OFFSET($K$2,0,0,ROW()-1,5),ROW()-1,FALSE))</f>
        <v>14.6</v>
      </c>
      <c r="J818">
        <f ca="1">IF(AND(ISNUMBER($J$1906),$B$1132=1),$J$1906,HLOOKUP(INDIRECT(ADDRESS(2,COLUMN())),OFFSET($K$2,0,0,ROW()-1,5),ROW()-1,FALSE))</f>
        <v>14.824</v>
      </c>
      <c r="K818" t="str">
        <f>""</f>
        <v/>
      </c>
      <c r="L818">
        <f>14</f>
        <v>14</v>
      </c>
      <c r="M818">
        <f>15</f>
        <v>15</v>
      </c>
      <c r="N818">
        <f>14.6</f>
        <v>14.6</v>
      </c>
      <c r="O818">
        <f>14.824</f>
        <v>14.824</v>
      </c>
    </row>
    <row r="819" spans="1:15" x14ac:dyDescent="0.25">
      <c r="A819" t="str">
        <f>"                    Century Aluminum Co"</f>
        <v xml:space="preserve">                    Century Aluminum Co</v>
      </c>
      <c r="B819" t="str">
        <f>"CENX US Equity"</f>
        <v>CENX US Equity</v>
      </c>
      <c r="C819" t="str">
        <f t="shared" si="87"/>
        <v>F0946</v>
      </c>
      <c r="D819" t="str">
        <f t="shared" si="88"/>
        <v>TOTAL_GHG_CO2_EMISSIONS</v>
      </c>
      <c r="E819" t="str">
        <f t="shared" si="89"/>
        <v>Dynamic</v>
      </c>
      <c r="F819" t="str">
        <f ca="1">IF(AND(ISNUMBER($F$1907),$B$1132=1),$F$1907,HLOOKUP(INDIRECT(ADDRESS(2,COLUMN())),OFFSET($K$2,0,0,ROW()-1,5),ROW()-1,FALSE))</f>
        <v/>
      </c>
      <c r="G819">
        <f ca="1">IF(AND(ISNUMBER($G$1907),$B$1132=1),$G$1907,HLOOKUP(INDIRECT(ADDRESS(2,COLUMN())),OFFSET($K$2,0,0,ROW()-1,5),ROW()-1,FALSE))</f>
        <v>5.4392998050000001</v>
      </c>
      <c r="H819">
        <f ca="1">IF(AND(ISNUMBER($H$1907),$B$1132=1),$H$1907,HLOOKUP(INDIRECT(ADDRESS(2,COLUMN())),OFFSET($K$2,0,0,ROW()-1,5),ROW()-1,FALSE))</f>
        <v>5.5715400390000003</v>
      </c>
      <c r="I819">
        <f ca="1">IF(AND(ISNUMBER($I$1907),$B$1132=1),$I$1907,HLOOKUP(INDIRECT(ADDRESS(2,COLUMN())),OFFSET($K$2,0,0,ROW()-1,5),ROW()-1,FALSE))</f>
        <v>5.144830078</v>
      </c>
      <c r="J819">
        <f ca="1">IF(AND(ISNUMBER($J$1907),$B$1132=1),$J$1907,HLOOKUP(INDIRECT(ADDRESS(2,COLUMN())),OFFSET($K$2,0,0,ROW()-1,5),ROW()-1,FALSE))</f>
        <v>4.9547998050000004</v>
      </c>
      <c r="K819" t="str">
        <f>""</f>
        <v/>
      </c>
      <c r="L819">
        <f>5.439299805</f>
        <v>5.4392998050000001</v>
      </c>
      <c r="M819">
        <f>5.571540039</f>
        <v>5.5715400390000003</v>
      </c>
      <c r="N819">
        <f>5.144830078</f>
        <v>5.144830078</v>
      </c>
      <c r="O819">
        <f>4.954799805</f>
        <v>4.9547998050000004</v>
      </c>
    </row>
    <row r="820" spans="1:15" x14ac:dyDescent="0.25">
      <c r="A820" t="str">
        <f>"                    China Hongqiao Group Ltd"</f>
        <v xml:space="preserve">                    China Hongqiao Group Ltd</v>
      </c>
      <c r="B820" t="str">
        <f>"1378 HK Equity"</f>
        <v>1378 HK Equity</v>
      </c>
      <c r="C820" t="str">
        <f t="shared" si="87"/>
        <v>F0946</v>
      </c>
      <c r="D820" t="str">
        <f t="shared" si="88"/>
        <v>TOTAL_GHG_CO2_EMISSIONS</v>
      </c>
      <c r="E820" t="str">
        <f t="shared" si="89"/>
        <v>Dynamic</v>
      </c>
      <c r="F820" t="str">
        <f ca="1">IF(AND(ISNUMBER($F$1908),$B$1132=1),$F$1908,HLOOKUP(INDIRECT(ADDRESS(2,COLUMN())),OFFSET($K$2,0,0,ROW()-1,5),ROW()-1,FALSE))</f>
        <v/>
      </c>
      <c r="G820">
        <f ca="1">IF(AND(ISNUMBER($G$1908),$B$1132=1),$G$1908,HLOOKUP(INDIRECT(ADDRESS(2,COLUMN())),OFFSET($K$2,0,0,ROW()-1,5),ROW()-1,FALSE))</f>
        <v>78.7</v>
      </c>
      <c r="H820">
        <f ca="1">IF(AND(ISNUMBER($H$1908),$B$1132=1),$H$1908,HLOOKUP(INDIRECT(ADDRESS(2,COLUMN())),OFFSET($K$2,0,0,ROW()-1,5),ROW()-1,FALSE))</f>
        <v>76.11</v>
      </c>
      <c r="I820">
        <f ca="1">IF(AND(ISNUMBER($I$1908),$B$1132=1),$I$1908,HLOOKUP(INDIRECT(ADDRESS(2,COLUMN())),OFFSET($K$2,0,0,ROW()-1,5),ROW()-1,FALSE))</f>
        <v>68.3</v>
      </c>
      <c r="J820">
        <f ca="1">IF(AND(ISNUMBER($J$1908),$B$1132=1),$J$1908,HLOOKUP(INDIRECT(ADDRESS(2,COLUMN())),OFFSET($K$2,0,0,ROW()-1,5),ROW()-1,FALSE))</f>
        <v>84.23</v>
      </c>
      <c r="K820" t="str">
        <f>""</f>
        <v/>
      </c>
      <c r="L820">
        <f>78.7</f>
        <v>78.7</v>
      </c>
      <c r="M820">
        <f>76.11</f>
        <v>76.11</v>
      </c>
      <c r="N820">
        <f>68.3</f>
        <v>68.3</v>
      </c>
      <c r="O820">
        <f>84.23</f>
        <v>84.23</v>
      </c>
    </row>
    <row r="821" spans="1:15" x14ac:dyDescent="0.25">
      <c r="A821" t="str">
        <f>"                    China Rare Earth Resources And"</f>
        <v xml:space="preserve">                    China Rare Earth Resources And</v>
      </c>
      <c r="B821" t="str">
        <f>"000831 CH Equity"</f>
        <v>000831 CH Equity</v>
      </c>
      <c r="C821" t="str">
        <f t="shared" si="87"/>
        <v>F0946</v>
      </c>
      <c r="D821" t="str">
        <f t="shared" si="88"/>
        <v>TOTAL_GHG_CO2_EMISSIONS</v>
      </c>
      <c r="E821" t="str">
        <f t="shared" si="89"/>
        <v>Dynamic</v>
      </c>
      <c r="F821">
        <f ca="1">IF(AND(ISNUMBER($F$1909),$B$1132=1),$F$1909,HLOOKUP(INDIRECT(ADDRESS(2,COLUMN())),OFFSET($K$2,0,0,ROW()-1,5),ROW()-1,FALSE))</f>
        <v>1.74027E-2</v>
      </c>
      <c r="G821" t="str">
        <f ca="1">IF(AND(ISNUMBER($G$1909),$B$1132=1),$G$1909,HLOOKUP(INDIRECT(ADDRESS(2,COLUMN())),OFFSET($K$2,0,0,ROW()-1,5),ROW()-1,FALSE))</f>
        <v/>
      </c>
      <c r="H821" t="str">
        <f ca="1">IF(AND(ISNUMBER($H$1909),$B$1132=1),$H$1909,HLOOKUP(INDIRECT(ADDRESS(2,COLUMN())),OFFSET($K$2,0,0,ROW()-1,5),ROW()-1,FALSE))</f>
        <v/>
      </c>
      <c r="I821" t="str">
        <f ca="1">IF(AND(ISNUMBER($I$1909),$B$1132=1),$I$1909,HLOOKUP(INDIRECT(ADDRESS(2,COLUMN())),OFFSET($K$2,0,0,ROW()-1,5),ROW()-1,FALSE))</f>
        <v/>
      </c>
      <c r="J821" t="str">
        <f ca="1">IF(AND(ISNUMBER($J$1909),$B$1132=1),$J$1909,HLOOKUP(INDIRECT(ADDRESS(2,COLUMN())),OFFSET($K$2,0,0,ROW()-1,5),ROW()-1,FALSE))</f>
        <v/>
      </c>
      <c r="K821">
        <f>0.0174027</f>
        <v>1.74027E-2</v>
      </c>
      <c r="L821" t="str">
        <f>""</f>
        <v/>
      </c>
      <c r="M821" t="str">
        <f>""</f>
        <v/>
      </c>
      <c r="N821" t="str">
        <f>""</f>
        <v/>
      </c>
      <c r="O821" t="str">
        <f>""</f>
        <v/>
      </c>
    </row>
    <row r="822" spans="1:15" x14ac:dyDescent="0.25">
      <c r="A822" t="str">
        <f>"                    CVG Industria Venezolana de Al"</f>
        <v xml:space="preserve">                    CVG Industria Venezolana de Al</v>
      </c>
      <c r="B822" t="str">
        <f>"8134353Z VC Equity"</f>
        <v>8134353Z VC Equity</v>
      </c>
      <c r="C822" t="str">
        <f t="shared" si="87"/>
        <v>F0946</v>
      </c>
      <c r="D822" t="str">
        <f t="shared" si="88"/>
        <v>TOTAL_GHG_CO2_EMISSIONS</v>
      </c>
      <c r="E822" t="str">
        <f t="shared" si="89"/>
        <v>Dynamic</v>
      </c>
      <c r="F822" t="str">
        <f ca="1">IF(AND(ISNUMBER($F$1910),$B$1132=1),$F$1910,HLOOKUP(INDIRECT(ADDRESS(2,COLUMN())),OFFSET($K$2,0,0,ROW()-1,5),ROW()-1,FALSE))</f>
        <v/>
      </c>
      <c r="G822" t="str">
        <f ca="1">IF(AND(ISNUMBER($G$1910),$B$1132=1),$G$1910,HLOOKUP(INDIRECT(ADDRESS(2,COLUMN())),OFFSET($K$2,0,0,ROW()-1,5),ROW()-1,FALSE))</f>
        <v/>
      </c>
      <c r="H822" t="str">
        <f ca="1">IF(AND(ISNUMBER($H$1910),$B$1132=1),$H$1910,HLOOKUP(INDIRECT(ADDRESS(2,COLUMN())),OFFSET($K$2,0,0,ROW()-1,5),ROW()-1,FALSE))</f>
        <v/>
      </c>
      <c r="I822" t="str">
        <f ca="1">IF(AND(ISNUMBER($I$1910),$B$1132=1),$I$1910,HLOOKUP(INDIRECT(ADDRESS(2,COLUMN())),OFFSET($K$2,0,0,ROW()-1,5),ROW()-1,FALSE))</f>
        <v/>
      </c>
      <c r="J822" t="str">
        <f ca="1">IF(AND(ISNUMBER($J$1910),$B$1132=1),$J$1910,HLOOKUP(INDIRECT(ADDRESS(2,COLUMN())),OFFSET($K$2,0,0,ROW()-1,5),ROW()-1,FALSE))</f>
        <v/>
      </c>
      <c r="K822" t="str">
        <f>""</f>
        <v/>
      </c>
      <c r="L822" t="str">
        <f>""</f>
        <v/>
      </c>
      <c r="M822" t="str">
        <f>""</f>
        <v/>
      </c>
      <c r="N822" t="str">
        <f>""</f>
        <v/>
      </c>
      <c r="O822" t="str">
        <f>""</f>
        <v/>
      </c>
    </row>
    <row r="823" spans="1:15" x14ac:dyDescent="0.25">
      <c r="A823" t="str">
        <f>"                    Dubai Aluminium Co Ltd"</f>
        <v xml:space="preserve">                    Dubai Aluminium Co Ltd</v>
      </c>
      <c r="B823" t="str">
        <f>"606833Z UH Equity"</f>
        <v>606833Z UH Equity</v>
      </c>
      <c r="C823" t="str">
        <f t="shared" si="87"/>
        <v>F0946</v>
      </c>
      <c r="D823" t="str">
        <f t="shared" si="88"/>
        <v>TOTAL_GHG_CO2_EMISSIONS</v>
      </c>
      <c r="E823" t="str">
        <f t="shared" si="89"/>
        <v>Dynamic</v>
      </c>
      <c r="F823" t="str">
        <f ca="1">IF(AND(ISNUMBER($F$1911),$B$1132=1),$F$1911,HLOOKUP(INDIRECT(ADDRESS(2,COLUMN())),OFFSET($K$2,0,0,ROW()-1,5),ROW()-1,FALSE))</f>
        <v/>
      </c>
      <c r="G823" t="str">
        <f ca="1">IF(AND(ISNUMBER($G$1911),$B$1132=1),$G$1911,HLOOKUP(INDIRECT(ADDRESS(2,COLUMN())),OFFSET($K$2,0,0,ROW()-1,5),ROW()-1,FALSE))</f>
        <v/>
      </c>
      <c r="H823" t="str">
        <f ca="1">IF(AND(ISNUMBER($H$1911),$B$1132=1),$H$1911,HLOOKUP(INDIRECT(ADDRESS(2,COLUMN())),OFFSET($K$2,0,0,ROW()-1,5),ROW()-1,FALSE))</f>
        <v/>
      </c>
      <c r="I823" t="str">
        <f ca="1">IF(AND(ISNUMBER($I$1911),$B$1132=1),$I$1911,HLOOKUP(INDIRECT(ADDRESS(2,COLUMN())),OFFSET($K$2,0,0,ROW()-1,5),ROW()-1,FALSE))</f>
        <v/>
      </c>
      <c r="J823" t="str">
        <f ca="1">IF(AND(ISNUMBER($J$1911),$B$1132=1),$J$1911,HLOOKUP(INDIRECT(ADDRESS(2,COLUMN())),OFFSET($K$2,0,0,ROW()-1,5),ROW()-1,FALSE))</f>
        <v/>
      </c>
      <c r="K823" t="str">
        <f>""</f>
        <v/>
      </c>
      <c r="L823" t="str">
        <f>""</f>
        <v/>
      </c>
      <c r="M823" t="str">
        <f>""</f>
        <v/>
      </c>
      <c r="N823" t="str">
        <f>""</f>
        <v/>
      </c>
      <c r="O823" t="str">
        <f>""</f>
        <v/>
      </c>
    </row>
    <row r="824" spans="1:15" x14ac:dyDescent="0.25">
      <c r="A824" t="str">
        <f>"                    Egypt Aluminium"</f>
        <v xml:space="preserve">                    Egypt Aluminium</v>
      </c>
      <c r="B824" t="str">
        <f>"EGAL EY Equity"</f>
        <v>EGAL EY Equity</v>
      </c>
      <c r="C824" t="str">
        <f t="shared" si="87"/>
        <v>F0946</v>
      </c>
      <c r="D824" t="str">
        <f t="shared" si="88"/>
        <v>TOTAL_GHG_CO2_EMISSIONS</v>
      </c>
      <c r="E824" t="str">
        <f t="shared" si="89"/>
        <v>Dynamic</v>
      </c>
      <c r="F824" t="str">
        <f ca="1">IF(AND(ISNUMBER($F$1912),$B$1132=1),$F$1912,HLOOKUP(INDIRECT(ADDRESS(2,COLUMN())),OFFSET($K$2,0,0,ROW()-1,5),ROW()-1,FALSE))</f>
        <v/>
      </c>
      <c r="G824" t="str">
        <f ca="1">IF(AND(ISNUMBER($G$1912),$B$1132=1),$G$1912,HLOOKUP(INDIRECT(ADDRESS(2,COLUMN())),OFFSET($K$2,0,0,ROW()-1,5),ROW()-1,FALSE))</f>
        <v/>
      </c>
      <c r="H824" t="str">
        <f ca="1">IF(AND(ISNUMBER($H$1912),$B$1132=1),$H$1912,HLOOKUP(INDIRECT(ADDRESS(2,COLUMN())),OFFSET($K$2,0,0,ROW()-1,5),ROW()-1,FALSE))</f>
        <v/>
      </c>
      <c r="I824" t="str">
        <f ca="1">IF(AND(ISNUMBER($I$1912),$B$1132=1),$I$1912,HLOOKUP(INDIRECT(ADDRESS(2,COLUMN())),OFFSET($K$2,0,0,ROW()-1,5),ROW()-1,FALSE))</f>
        <v/>
      </c>
      <c r="J824" t="str">
        <f ca="1">IF(AND(ISNUMBER($J$1912),$B$1132=1),$J$1912,HLOOKUP(INDIRECT(ADDRESS(2,COLUMN())),OFFSET($K$2,0,0,ROW()-1,5),ROW()-1,FALSE))</f>
        <v/>
      </c>
      <c r="K824" t="str">
        <f>""</f>
        <v/>
      </c>
      <c r="L824" t="str">
        <f>""</f>
        <v/>
      </c>
      <c r="M824" t="str">
        <f>""</f>
        <v/>
      </c>
      <c r="N824" t="str">
        <f>""</f>
        <v/>
      </c>
      <c r="O824" t="str">
        <f>""</f>
        <v/>
      </c>
    </row>
    <row r="825" spans="1:15" x14ac:dyDescent="0.25">
      <c r="A825" t="str">
        <f>"                    Guangdong HEC Technology Holdi"</f>
        <v xml:space="preserve">                    Guangdong HEC Technology Holdi</v>
      </c>
      <c r="B825" t="str">
        <f>"600673 CH Equity"</f>
        <v>600673 CH Equity</v>
      </c>
      <c r="C825" t="str">
        <f t="shared" si="87"/>
        <v>F0946</v>
      </c>
      <c r="D825" t="str">
        <f t="shared" si="88"/>
        <v>TOTAL_GHG_CO2_EMISSIONS</v>
      </c>
      <c r="E825" t="str">
        <f t="shared" si="89"/>
        <v>Dynamic</v>
      </c>
      <c r="F825" t="str">
        <f ca="1">IF(AND(ISNUMBER($F$1913),$B$1132=1),$F$1913,HLOOKUP(INDIRECT(ADDRESS(2,COLUMN())),OFFSET($K$2,0,0,ROW()-1,5),ROW()-1,FALSE))</f>
        <v/>
      </c>
      <c r="G825" t="str">
        <f ca="1">IF(AND(ISNUMBER($G$1913),$B$1132=1),$G$1913,HLOOKUP(INDIRECT(ADDRESS(2,COLUMN())),OFFSET($K$2,0,0,ROW()-1,5),ROW()-1,FALSE))</f>
        <v/>
      </c>
      <c r="H825" t="str">
        <f ca="1">IF(AND(ISNUMBER($H$1913),$B$1132=1),$H$1913,HLOOKUP(INDIRECT(ADDRESS(2,COLUMN())),OFFSET($K$2,0,0,ROW()-1,5),ROW()-1,FALSE))</f>
        <v/>
      </c>
      <c r="I825" t="str">
        <f ca="1">IF(AND(ISNUMBER($I$1913),$B$1132=1),$I$1913,HLOOKUP(INDIRECT(ADDRESS(2,COLUMN())),OFFSET($K$2,0,0,ROW()-1,5),ROW()-1,FALSE))</f>
        <v/>
      </c>
      <c r="J825" t="str">
        <f ca="1">IF(AND(ISNUMBER($J$1913),$B$1132=1),$J$1913,HLOOKUP(INDIRECT(ADDRESS(2,COLUMN())),OFFSET($K$2,0,0,ROW()-1,5),ROW()-1,FALSE))</f>
        <v/>
      </c>
      <c r="K825" t="str">
        <f>""</f>
        <v/>
      </c>
      <c r="L825" t="str">
        <f>""</f>
        <v/>
      </c>
      <c r="M825" t="str">
        <f>""</f>
        <v/>
      </c>
      <c r="N825" t="str">
        <f>""</f>
        <v/>
      </c>
      <c r="O825" t="str">
        <f>""</f>
        <v/>
      </c>
    </row>
    <row r="826" spans="1:15" x14ac:dyDescent="0.25">
      <c r="A826" t="str">
        <f>"                    Henan Zhongfu Industry Co Ltd"</f>
        <v xml:space="preserve">                    Henan Zhongfu Industry Co Ltd</v>
      </c>
      <c r="B826" t="str">
        <f>"600595 CH Equity"</f>
        <v>600595 CH Equity</v>
      </c>
      <c r="C826" t="str">
        <f t="shared" si="87"/>
        <v>F0946</v>
      </c>
      <c r="D826" t="str">
        <f t="shared" si="88"/>
        <v>TOTAL_GHG_CO2_EMISSIONS</v>
      </c>
      <c r="E826" t="str">
        <f t="shared" si="89"/>
        <v>Dynamic</v>
      </c>
      <c r="F826" t="str">
        <f ca="1">IF(AND(ISNUMBER($F$1914),$B$1132=1),$F$1914,HLOOKUP(INDIRECT(ADDRESS(2,COLUMN())),OFFSET($K$2,0,0,ROW()-1,5),ROW()-1,FALSE))</f>
        <v/>
      </c>
      <c r="G826" t="str">
        <f ca="1">IF(AND(ISNUMBER($G$1914),$B$1132=1),$G$1914,HLOOKUP(INDIRECT(ADDRESS(2,COLUMN())),OFFSET($K$2,0,0,ROW()-1,5),ROW()-1,FALSE))</f>
        <v/>
      </c>
      <c r="H826" t="str">
        <f ca="1">IF(AND(ISNUMBER($H$1914),$B$1132=1),$H$1914,HLOOKUP(INDIRECT(ADDRESS(2,COLUMN())),OFFSET($K$2,0,0,ROW()-1,5),ROW()-1,FALSE))</f>
        <v/>
      </c>
      <c r="I826" t="str">
        <f ca="1">IF(AND(ISNUMBER($I$1914),$B$1132=1),$I$1914,HLOOKUP(INDIRECT(ADDRESS(2,COLUMN())),OFFSET($K$2,0,0,ROW()-1,5),ROW()-1,FALSE))</f>
        <v/>
      </c>
      <c r="J826" t="str">
        <f ca="1">IF(AND(ISNUMBER($J$1914),$B$1132=1),$J$1914,HLOOKUP(INDIRECT(ADDRESS(2,COLUMN())),OFFSET($K$2,0,0,ROW()-1,5),ROW()-1,FALSE))</f>
        <v/>
      </c>
      <c r="K826" t="str">
        <f>""</f>
        <v/>
      </c>
      <c r="L826" t="str">
        <f>""</f>
        <v/>
      </c>
      <c r="M826" t="str">
        <f>""</f>
        <v/>
      </c>
      <c r="N826" t="str">
        <f>""</f>
        <v/>
      </c>
      <c r="O826" t="str">
        <f>""</f>
        <v/>
      </c>
    </row>
    <row r="827" spans="1:15" x14ac:dyDescent="0.25">
      <c r="A827" t="str">
        <f>"                    Hindalco Industries Ltd"</f>
        <v xml:space="preserve">                    Hindalco Industries Ltd</v>
      </c>
      <c r="B827" t="str">
        <f>"HNDL IN Equity"</f>
        <v>HNDL IN Equity</v>
      </c>
      <c r="C827" t="str">
        <f t="shared" si="87"/>
        <v>F0946</v>
      </c>
      <c r="D827" t="str">
        <f t="shared" si="88"/>
        <v>TOTAL_GHG_CO2_EMISSIONS</v>
      </c>
      <c r="E827" t="str">
        <f t="shared" si="89"/>
        <v>Dynamic</v>
      </c>
      <c r="F827" t="str">
        <f ca="1">IF(AND(ISNUMBER($F$1915),$B$1132=1),$F$1915,HLOOKUP(INDIRECT(ADDRESS(2,COLUMN())),OFFSET($K$2,0,0,ROW()-1,5),ROW()-1,FALSE))</f>
        <v/>
      </c>
      <c r="G827" t="str">
        <f ca="1">IF(AND(ISNUMBER($G$1915),$B$1132=1),$G$1915,HLOOKUP(INDIRECT(ADDRESS(2,COLUMN())),OFFSET($K$2,0,0,ROW()-1,5),ROW()-1,FALSE))</f>
        <v/>
      </c>
      <c r="H827" t="str">
        <f ca="1">IF(AND(ISNUMBER($H$1915),$B$1132=1),$H$1915,HLOOKUP(INDIRECT(ADDRESS(2,COLUMN())),OFFSET($K$2,0,0,ROW()-1,5),ROW()-1,FALSE))</f>
        <v/>
      </c>
      <c r="I827">
        <f ca="1">IF(AND(ISNUMBER($I$1915),$B$1132=1),$I$1915,HLOOKUP(INDIRECT(ADDRESS(2,COLUMN())),OFFSET($K$2,0,0,ROW()-1,5),ROW()-1,FALSE))</f>
        <v>27.62</v>
      </c>
      <c r="J827" t="str">
        <f ca="1">IF(AND(ISNUMBER($J$1915),$B$1132=1),$J$1915,HLOOKUP(INDIRECT(ADDRESS(2,COLUMN())),OFFSET($K$2,0,0,ROW()-1,5),ROW()-1,FALSE))</f>
        <v/>
      </c>
      <c r="K827" t="str">
        <f>""</f>
        <v/>
      </c>
      <c r="L827" t="str">
        <f>""</f>
        <v/>
      </c>
      <c r="M827" t="str">
        <f>""</f>
        <v/>
      </c>
      <c r="N827">
        <f>27.62</f>
        <v>27.62</v>
      </c>
      <c r="O827" t="str">
        <f>""</f>
        <v/>
      </c>
    </row>
    <row r="828" spans="1:15" x14ac:dyDescent="0.25">
      <c r="A828" t="str">
        <f>"                    Jiaozuo Wanfang Aluminum Manuf"</f>
        <v xml:space="preserve">                    Jiaozuo Wanfang Aluminum Manuf</v>
      </c>
      <c r="B828" t="str">
        <f>"000612 CH Equity"</f>
        <v>000612 CH Equity</v>
      </c>
      <c r="C828" t="str">
        <f t="shared" si="87"/>
        <v>F0946</v>
      </c>
      <c r="D828" t="str">
        <f t="shared" si="88"/>
        <v>TOTAL_GHG_CO2_EMISSIONS</v>
      </c>
      <c r="E828" t="str">
        <f t="shared" si="89"/>
        <v>Dynamic</v>
      </c>
      <c r="F828" t="str">
        <f ca="1">IF(AND(ISNUMBER($F$1916),$B$1132=1),$F$1916,HLOOKUP(INDIRECT(ADDRESS(2,COLUMN())),OFFSET($K$2,0,0,ROW()-1,5),ROW()-1,FALSE))</f>
        <v/>
      </c>
      <c r="G828" t="str">
        <f ca="1">IF(AND(ISNUMBER($G$1916),$B$1132=1),$G$1916,HLOOKUP(INDIRECT(ADDRESS(2,COLUMN())),OFFSET($K$2,0,0,ROW()-1,5),ROW()-1,FALSE))</f>
        <v/>
      </c>
      <c r="H828" t="str">
        <f ca="1">IF(AND(ISNUMBER($H$1916),$B$1132=1),$H$1916,HLOOKUP(INDIRECT(ADDRESS(2,COLUMN())),OFFSET($K$2,0,0,ROW()-1,5),ROW()-1,FALSE))</f>
        <v/>
      </c>
      <c r="I828" t="str">
        <f ca="1">IF(AND(ISNUMBER($I$1916),$B$1132=1),$I$1916,HLOOKUP(INDIRECT(ADDRESS(2,COLUMN())),OFFSET($K$2,0,0,ROW()-1,5),ROW()-1,FALSE))</f>
        <v/>
      </c>
      <c r="J828" t="str">
        <f ca="1">IF(AND(ISNUMBER($J$1916),$B$1132=1),$J$1916,HLOOKUP(INDIRECT(ADDRESS(2,COLUMN())),OFFSET($K$2,0,0,ROW()-1,5),ROW()-1,FALSE))</f>
        <v/>
      </c>
      <c r="K828" t="str">
        <f>""</f>
        <v/>
      </c>
      <c r="L828" t="str">
        <f>""</f>
        <v/>
      </c>
      <c r="M828" t="str">
        <f>""</f>
        <v/>
      </c>
      <c r="N828" t="str">
        <f>""</f>
        <v/>
      </c>
      <c r="O828" t="str">
        <f>""</f>
        <v/>
      </c>
    </row>
    <row r="829" spans="1:15" x14ac:dyDescent="0.25">
      <c r="A829" t="str">
        <f>"                    Kaiser Aluminum Corp"</f>
        <v xml:space="preserve">                    Kaiser Aluminum Corp</v>
      </c>
      <c r="B829" t="str">
        <f>"KALU US Equity"</f>
        <v>KALU US Equity</v>
      </c>
      <c r="C829" t="str">
        <f t="shared" si="87"/>
        <v>F0946</v>
      </c>
      <c r="D829" t="str">
        <f t="shared" si="88"/>
        <v>TOTAL_GHG_CO2_EMISSIONS</v>
      </c>
      <c r="E829" t="str">
        <f t="shared" si="89"/>
        <v>Dynamic</v>
      </c>
      <c r="F829" t="str">
        <f ca="1">IF(AND(ISNUMBER($F$1917),$B$1132=1),$F$1917,HLOOKUP(INDIRECT(ADDRESS(2,COLUMN())),OFFSET($K$2,0,0,ROW()-1,5),ROW()-1,FALSE))</f>
        <v/>
      </c>
      <c r="G829">
        <f ca="1">IF(AND(ISNUMBER($G$1917),$B$1132=1),$G$1917,HLOOKUP(INDIRECT(ADDRESS(2,COLUMN())),OFFSET($K$2,0,0,ROW()-1,5),ROW()-1,FALSE))</f>
        <v>1.101459961</v>
      </c>
      <c r="H829">
        <f ca="1">IF(AND(ISNUMBER($H$1917),$B$1132=1),$H$1917,HLOOKUP(INDIRECT(ADDRESS(2,COLUMN())),OFFSET($K$2,0,0,ROW()-1,5),ROW()-1,FALSE))</f>
        <v>0.34639599599999998</v>
      </c>
      <c r="I829" t="str">
        <f ca="1">IF(AND(ISNUMBER($I$1917),$B$1132=1),$I$1917,HLOOKUP(INDIRECT(ADDRESS(2,COLUMN())),OFFSET($K$2,0,0,ROW()-1,5),ROW()-1,FALSE))</f>
        <v/>
      </c>
      <c r="J829" t="str">
        <f ca="1">IF(AND(ISNUMBER($J$1917),$B$1132=1),$J$1917,HLOOKUP(INDIRECT(ADDRESS(2,COLUMN())),OFFSET($K$2,0,0,ROW()-1,5),ROW()-1,FALSE))</f>
        <v/>
      </c>
      <c r="K829" t="str">
        <f>""</f>
        <v/>
      </c>
      <c r="L829">
        <f>1.101459961</f>
        <v>1.101459961</v>
      </c>
      <c r="M829">
        <f>0.346395996</f>
        <v>0.34639599599999998</v>
      </c>
      <c r="N829" t="str">
        <f>""</f>
        <v/>
      </c>
      <c r="O829" t="str">
        <f>""</f>
        <v/>
      </c>
    </row>
    <row r="830" spans="1:15" x14ac:dyDescent="0.25">
      <c r="A830" t="str">
        <f>"                    Mytilineos SA"</f>
        <v xml:space="preserve">                    Mytilineos SA</v>
      </c>
      <c r="B830" t="str">
        <f>"MYTIL GA Equity"</f>
        <v>MYTIL GA Equity</v>
      </c>
      <c r="C830" t="str">
        <f t="shared" si="87"/>
        <v>F0946</v>
      </c>
      <c r="D830" t="str">
        <f t="shared" si="88"/>
        <v>TOTAL_GHG_CO2_EMISSIONS</v>
      </c>
      <c r="E830" t="str">
        <f t="shared" si="89"/>
        <v>Dynamic</v>
      </c>
      <c r="F830" t="str">
        <f ca="1">IF(AND(ISNUMBER($F$1918),$B$1132=1),$F$1918,HLOOKUP(INDIRECT(ADDRESS(2,COLUMN())),OFFSET($K$2,0,0,ROW()-1,5),ROW()-1,FALSE))</f>
        <v/>
      </c>
      <c r="G830">
        <f ca="1">IF(AND(ISNUMBER($G$1918),$B$1132=1),$G$1918,HLOOKUP(INDIRECT(ADDRESS(2,COLUMN())),OFFSET($K$2,0,0,ROW()-1,5),ROW()-1,FALSE))</f>
        <v>4.0639599610000001</v>
      </c>
      <c r="H830">
        <f ca="1">IF(AND(ISNUMBER($H$1918),$B$1132=1),$H$1918,HLOOKUP(INDIRECT(ADDRESS(2,COLUMN())),OFFSET($K$2,0,0,ROW()-1,5),ROW()-1,FALSE))</f>
        <v>4.4594199220000004</v>
      </c>
      <c r="I830">
        <f ca="1">IF(AND(ISNUMBER($I$1918),$B$1132=1),$I$1918,HLOOKUP(INDIRECT(ADDRESS(2,COLUMN())),OFFSET($K$2,0,0,ROW()-1,5),ROW()-1,FALSE))</f>
        <v>4.6393198240000002</v>
      </c>
      <c r="J830">
        <f ca="1">IF(AND(ISNUMBER($J$1918),$B$1132=1),$J$1918,HLOOKUP(INDIRECT(ADDRESS(2,COLUMN())),OFFSET($K$2,0,0,ROW()-1,5),ROW()-1,FALSE))</f>
        <v>4.375339844</v>
      </c>
      <c r="K830" t="str">
        <f>""</f>
        <v/>
      </c>
      <c r="L830">
        <f>4.063959961</f>
        <v>4.0639599610000001</v>
      </c>
      <c r="M830">
        <f>4.459419922</f>
        <v>4.4594199220000004</v>
      </c>
      <c r="N830">
        <f>4.639319824</f>
        <v>4.6393198240000002</v>
      </c>
      <c r="O830">
        <f>4.375339844</f>
        <v>4.375339844</v>
      </c>
    </row>
    <row r="831" spans="1:15" x14ac:dyDescent="0.25">
      <c r="A831" t="str">
        <f>"                    National Aluminium Co Ltd"</f>
        <v xml:space="preserve">                    National Aluminium Co Ltd</v>
      </c>
      <c r="B831" t="str">
        <f>"NACL IN Equity"</f>
        <v>NACL IN Equity</v>
      </c>
      <c r="C831" t="str">
        <f t="shared" si="87"/>
        <v>F0946</v>
      </c>
      <c r="D831" t="str">
        <f t="shared" si="88"/>
        <v>TOTAL_GHG_CO2_EMISSIONS</v>
      </c>
      <c r="E831" t="str">
        <f t="shared" si="89"/>
        <v>Dynamic</v>
      </c>
      <c r="F831" t="str">
        <f ca="1">IF(AND(ISNUMBER($F$1919),$B$1132=1),$F$1919,HLOOKUP(INDIRECT(ADDRESS(2,COLUMN())),OFFSET($K$2,0,0,ROW()-1,5),ROW()-1,FALSE))</f>
        <v/>
      </c>
      <c r="G831" t="str">
        <f ca="1">IF(AND(ISNUMBER($G$1919),$B$1132=1),$G$1919,HLOOKUP(INDIRECT(ADDRESS(2,COLUMN())),OFFSET($K$2,0,0,ROW()-1,5),ROW()-1,FALSE))</f>
        <v/>
      </c>
      <c r="H831" t="str">
        <f ca="1">IF(AND(ISNUMBER($H$1919),$B$1132=1),$H$1919,HLOOKUP(INDIRECT(ADDRESS(2,COLUMN())),OFFSET($K$2,0,0,ROW()-1,5),ROW()-1,FALSE))</f>
        <v/>
      </c>
      <c r="I831" t="str">
        <f ca="1">IF(AND(ISNUMBER($I$1919),$B$1132=1),$I$1919,HLOOKUP(INDIRECT(ADDRESS(2,COLUMN())),OFFSET($K$2,0,0,ROW()-1,5),ROW()-1,FALSE))</f>
        <v/>
      </c>
      <c r="J831" t="str">
        <f ca="1">IF(AND(ISNUMBER($J$1919),$B$1132=1),$J$1919,HLOOKUP(INDIRECT(ADDRESS(2,COLUMN())),OFFSET($K$2,0,0,ROW()-1,5),ROW()-1,FALSE))</f>
        <v/>
      </c>
      <c r="K831" t="str">
        <f>""</f>
        <v/>
      </c>
      <c r="L831" t="str">
        <f>""</f>
        <v/>
      </c>
      <c r="M831" t="str">
        <f>""</f>
        <v/>
      </c>
      <c r="N831" t="str">
        <f>""</f>
        <v/>
      </c>
      <c r="O831" t="str">
        <f>""</f>
        <v/>
      </c>
    </row>
    <row r="832" spans="1:15" x14ac:dyDescent="0.25">
      <c r="A832" t="str">
        <f>"                    Noranda Aluminum Holding Corp"</f>
        <v xml:space="preserve">                    Noranda Aluminum Holding Corp</v>
      </c>
      <c r="B832" t="str">
        <f>"NORNQ US Equity"</f>
        <v>NORNQ US Equity</v>
      </c>
      <c r="C832" t="str">
        <f t="shared" si="87"/>
        <v>F0946</v>
      </c>
      <c r="D832" t="str">
        <f t="shared" si="88"/>
        <v>TOTAL_GHG_CO2_EMISSIONS</v>
      </c>
      <c r="E832" t="str">
        <f t="shared" si="89"/>
        <v>Dynamic</v>
      </c>
      <c r="F832" t="str">
        <f ca="1">IF(AND(ISNUMBER($F$1920),$B$1132=1),$F$1920,HLOOKUP(INDIRECT(ADDRESS(2,COLUMN())),OFFSET($K$2,0,0,ROW()-1,5),ROW()-1,FALSE))</f>
        <v/>
      </c>
      <c r="G832" t="str">
        <f ca="1">IF(AND(ISNUMBER($G$1920),$B$1132=1),$G$1920,HLOOKUP(INDIRECT(ADDRESS(2,COLUMN())),OFFSET($K$2,0,0,ROW()-1,5),ROW()-1,FALSE))</f>
        <v/>
      </c>
      <c r="H832" t="str">
        <f ca="1">IF(AND(ISNUMBER($H$1920),$B$1132=1),$H$1920,HLOOKUP(INDIRECT(ADDRESS(2,COLUMN())),OFFSET($K$2,0,0,ROW()-1,5),ROW()-1,FALSE))</f>
        <v/>
      </c>
      <c r="I832" t="str">
        <f ca="1">IF(AND(ISNUMBER($I$1920),$B$1132=1),$I$1920,HLOOKUP(INDIRECT(ADDRESS(2,COLUMN())),OFFSET($K$2,0,0,ROW()-1,5),ROW()-1,FALSE))</f>
        <v/>
      </c>
      <c r="J832" t="str">
        <f ca="1">IF(AND(ISNUMBER($J$1920),$B$1132=1),$J$1920,HLOOKUP(INDIRECT(ADDRESS(2,COLUMN())),OFFSET($K$2,0,0,ROW()-1,5),ROW()-1,FALSE))</f>
        <v/>
      </c>
      <c r="K832" t="str">
        <f>""</f>
        <v/>
      </c>
      <c r="L832" t="str">
        <f>""</f>
        <v/>
      </c>
      <c r="M832" t="str">
        <f>""</f>
        <v/>
      </c>
      <c r="N832" t="str">
        <f>""</f>
        <v/>
      </c>
      <c r="O832" t="str">
        <f>""</f>
        <v/>
      </c>
    </row>
    <row r="833" spans="1:15" x14ac:dyDescent="0.25">
      <c r="A833" t="str">
        <f>"                    Norsk Hydro ASA"</f>
        <v xml:space="preserve">                    Norsk Hydro ASA</v>
      </c>
      <c r="B833" t="str">
        <f>"NHY NO Equity"</f>
        <v>NHY NO Equity</v>
      </c>
      <c r="C833" t="str">
        <f t="shared" si="87"/>
        <v>F0946</v>
      </c>
      <c r="D833" t="str">
        <f t="shared" si="88"/>
        <v>TOTAL_GHG_CO2_EMISSIONS</v>
      </c>
      <c r="E833" t="str">
        <f t="shared" si="89"/>
        <v>Dynamic</v>
      </c>
      <c r="F833" t="str">
        <f ca="1">IF(AND(ISNUMBER($F$1921),$B$1132=1),$F$1921,HLOOKUP(INDIRECT(ADDRESS(2,COLUMN())),OFFSET($K$2,0,0,ROW()-1,5),ROW()-1,FALSE))</f>
        <v/>
      </c>
      <c r="G833">
        <f ca="1">IF(AND(ISNUMBER($G$1921),$B$1132=1),$G$1921,HLOOKUP(INDIRECT(ADDRESS(2,COLUMN())),OFFSET($K$2,0,0,ROW()-1,5),ROW()-1,FALSE))</f>
        <v>11.31009961</v>
      </c>
      <c r="H833">
        <f ca="1">IF(AND(ISNUMBER($H$1921),$B$1132=1),$H$1921,HLOOKUP(INDIRECT(ADDRESS(2,COLUMN())),OFFSET($K$2,0,0,ROW()-1,5),ROW()-1,FALSE))</f>
        <v>11.85</v>
      </c>
      <c r="I833">
        <f ca="1">IF(AND(ISNUMBER($I$1921),$B$1132=1),$I$1921,HLOOKUP(INDIRECT(ADDRESS(2,COLUMN())),OFFSET($K$2,0,0,ROW()-1,5),ROW()-1,FALSE))</f>
        <v>12.6892002</v>
      </c>
      <c r="J833">
        <f ca="1">IF(AND(ISNUMBER($J$1921),$B$1132=1),$J$1921,HLOOKUP(INDIRECT(ADDRESS(2,COLUMN())),OFFSET($K$2,0,0,ROW()-1,5),ROW()-1,FALSE))</f>
        <v>12.78509961</v>
      </c>
      <c r="K833" t="str">
        <f>""</f>
        <v/>
      </c>
      <c r="L833">
        <f>11.31009961</f>
        <v>11.31009961</v>
      </c>
      <c r="M833">
        <f>11.85</f>
        <v>11.85</v>
      </c>
      <c r="N833">
        <f>12.6892002</f>
        <v>12.6892002</v>
      </c>
      <c r="O833">
        <f>12.78509961</f>
        <v>12.78509961</v>
      </c>
    </row>
    <row r="834" spans="1:15" x14ac:dyDescent="0.25">
      <c r="A834" t="str">
        <f>"                    Rio Tinto PLC"</f>
        <v xml:space="preserve">                    Rio Tinto PLC</v>
      </c>
      <c r="B834" t="str">
        <f>"RIO LN Equity"</f>
        <v>RIO LN Equity</v>
      </c>
      <c r="C834" t="str">
        <f t="shared" si="87"/>
        <v>F0946</v>
      </c>
      <c r="D834" t="str">
        <f t="shared" si="88"/>
        <v>TOTAL_GHG_CO2_EMISSIONS</v>
      </c>
      <c r="E834" t="str">
        <f t="shared" si="89"/>
        <v>Dynamic</v>
      </c>
      <c r="F834">
        <f ca="1">IF(AND(ISNUMBER($F$1922),$B$1132=1),$F$1922,HLOOKUP(INDIRECT(ADDRESS(2,COLUMN())),OFFSET($K$2,0,0,ROW()-1,5),ROW()-1,FALSE))</f>
        <v>30.3</v>
      </c>
      <c r="G834">
        <f ca="1">IF(AND(ISNUMBER($G$1922),$B$1132=1),$G$1922,HLOOKUP(INDIRECT(ADDRESS(2,COLUMN())),OFFSET($K$2,0,0,ROW()-1,5),ROW()-1,FALSE))</f>
        <v>30</v>
      </c>
      <c r="H834">
        <f ca="1">IF(AND(ISNUMBER($H$1922),$B$1132=1),$H$1922,HLOOKUP(INDIRECT(ADDRESS(2,COLUMN())),OFFSET($K$2,0,0,ROW()-1,5),ROW()-1,FALSE))</f>
        <v>24.911999999999999</v>
      </c>
      <c r="I834">
        <f ca="1">IF(AND(ISNUMBER($I$1922),$B$1132=1),$I$1922,HLOOKUP(INDIRECT(ADDRESS(2,COLUMN())),OFFSET($K$2,0,0,ROW()-1,5),ROW()-1,FALSE))</f>
        <v>24.8</v>
      </c>
      <c r="J834">
        <f ca="1">IF(AND(ISNUMBER($J$1922),$B$1132=1),$J$1922,HLOOKUP(INDIRECT(ADDRESS(2,COLUMN())),OFFSET($K$2,0,0,ROW()-1,5),ROW()-1,FALSE))</f>
        <v>25.5</v>
      </c>
      <c r="K834">
        <f>30.3</f>
        <v>30.3</v>
      </c>
      <c r="L834">
        <f>30</f>
        <v>30</v>
      </c>
      <c r="M834">
        <f>24.912</f>
        <v>24.911999999999999</v>
      </c>
      <c r="N834">
        <f>24.8</f>
        <v>24.8</v>
      </c>
      <c r="O834">
        <f>25.5</f>
        <v>25.5</v>
      </c>
    </row>
    <row r="835" spans="1:15" x14ac:dyDescent="0.25">
      <c r="A835" t="str">
        <f>"                    Shandong Nanshan Aluminum Co L"</f>
        <v xml:space="preserve">                    Shandong Nanshan Aluminum Co L</v>
      </c>
      <c r="B835" t="str">
        <f>"600219 CH Equity"</f>
        <v>600219 CH Equity</v>
      </c>
      <c r="C835" t="str">
        <f t="shared" si="87"/>
        <v>F0946</v>
      </c>
      <c r="D835" t="str">
        <f t="shared" si="88"/>
        <v>TOTAL_GHG_CO2_EMISSIONS</v>
      </c>
      <c r="E835" t="str">
        <f t="shared" si="89"/>
        <v>Dynamic</v>
      </c>
      <c r="F835" t="str">
        <f ca="1">IF(AND(ISNUMBER($F$1923),$B$1132=1),$F$1923,HLOOKUP(INDIRECT(ADDRESS(2,COLUMN())),OFFSET($K$2,0,0,ROW()-1,5),ROW()-1,FALSE))</f>
        <v/>
      </c>
      <c r="G835">
        <f ca="1">IF(AND(ISNUMBER($G$1923),$B$1132=1),$G$1923,HLOOKUP(INDIRECT(ADDRESS(2,COLUMN())),OFFSET($K$2,0,0,ROW()-1,5),ROW()-1,FALSE))</f>
        <v>7.7965</v>
      </c>
      <c r="H835">
        <f ca="1">IF(AND(ISNUMBER($H$1923),$B$1132=1),$H$1923,HLOOKUP(INDIRECT(ADDRESS(2,COLUMN())),OFFSET($K$2,0,0,ROW()-1,5),ROW()-1,FALSE))</f>
        <v>8.0683500979999998</v>
      </c>
      <c r="I835" t="str">
        <f ca="1">IF(AND(ISNUMBER($I$1923),$B$1132=1),$I$1923,HLOOKUP(INDIRECT(ADDRESS(2,COLUMN())),OFFSET($K$2,0,0,ROW()-1,5),ROW()-1,FALSE))</f>
        <v/>
      </c>
      <c r="J835" t="str">
        <f ca="1">IF(AND(ISNUMBER($J$1923),$B$1132=1),$J$1923,HLOOKUP(INDIRECT(ADDRESS(2,COLUMN())),OFFSET($K$2,0,0,ROW()-1,5),ROW()-1,FALSE))</f>
        <v/>
      </c>
      <c r="K835" t="str">
        <f>""</f>
        <v/>
      </c>
      <c r="L835">
        <f>7.7965</f>
        <v>7.7965</v>
      </c>
      <c r="M835">
        <f>8.068350098</f>
        <v>8.0683500979999998</v>
      </c>
      <c r="N835" t="str">
        <f>""</f>
        <v/>
      </c>
      <c r="O835" t="str">
        <f>""</f>
        <v/>
      </c>
    </row>
    <row r="836" spans="1:15" x14ac:dyDescent="0.25">
      <c r="A836" t="str">
        <f>"                    South32 Ltd"</f>
        <v xml:space="preserve">                    South32 Ltd</v>
      </c>
      <c r="B836" t="str">
        <f>"S32 AU Equity"</f>
        <v>S32 AU Equity</v>
      </c>
      <c r="C836" t="str">
        <f t="shared" si="87"/>
        <v>F0946</v>
      </c>
      <c r="D836" t="str">
        <f t="shared" si="88"/>
        <v>TOTAL_GHG_CO2_EMISSIONS</v>
      </c>
      <c r="E836" t="str">
        <f t="shared" si="89"/>
        <v>Dynamic</v>
      </c>
      <c r="F836" t="str">
        <f ca="1">IF(AND(ISNUMBER($F$1924),$B$1132=1),$F$1924,HLOOKUP(INDIRECT(ADDRESS(2,COLUMN())),OFFSET($K$2,0,0,ROW()-1,5),ROW()-1,FALSE))</f>
        <v/>
      </c>
      <c r="G836">
        <f ca="1">IF(AND(ISNUMBER($G$1924),$B$1132=1),$G$1924,HLOOKUP(INDIRECT(ADDRESS(2,COLUMN())),OFFSET($K$2,0,0,ROW()-1,5),ROW()-1,FALSE))</f>
        <v>29.8</v>
      </c>
      <c r="H836">
        <f ca="1">IF(AND(ISNUMBER($H$1924),$B$1132=1),$H$1924,HLOOKUP(INDIRECT(ADDRESS(2,COLUMN())),OFFSET($K$2,0,0,ROW()-1,5),ROW()-1,FALSE))</f>
        <v>30.1</v>
      </c>
      <c r="I836">
        <f ca="1">IF(AND(ISNUMBER($I$1924),$B$1132=1),$I$1924,HLOOKUP(INDIRECT(ADDRESS(2,COLUMN())),OFFSET($K$2,0,0,ROW()-1,5),ROW()-1,FALSE))</f>
        <v>31.5</v>
      </c>
      <c r="J836">
        <f ca="1">IF(AND(ISNUMBER($J$1924),$B$1132=1),$J$1924,HLOOKUP(INDIRECT(ADDRESS(2,COLUMN())),OFFSET($K$2,0,0,ROW()-1,5),ROW()-1,FALSE))</f>
        <v>30.1</v>
      </c>
      <c r="K836" t="str">
        <f>""</f>
        <v/>
      </c>
      <c r="L836">
        <f>29.8</f>
        <v>29.8</v>
      </c>
      <c r="M836">
        <f>30.1</f>
        <v>30.1</v>
      </c>
      <c r="N836">
        <f>31.5</f>
        <v>31.5</v>
      </c>
      <c r="O836">
        <f>30.1</f>
        <v>30.1</v>
      </c>
    </row>
    <row r="837" spans="1:15" x14ac:dyDescent="0.25">
      <c r="A837" t="str">
        <f>"                    United Co RUSAL International"</f>
        <v xml:space="preserve">                    United Co RUSAL International</v>
      </c>
      <c r="B837" t="str">
        <f>"486 HK Equity"</f>
        <v>486 HK Equity</v>
      </c>
      <c r="C837" t="str">
        <f t="shared" si="87"/>
        <v>F0946</v>
      </c>
      <c r="D837" t="str">
        <f t="shared" si="88"/>
        <v>TOTAL_GHG_CO2_EMISSIONS</v>
      </c>
      <c r="E837" t="str">
        <f t="shared" si="89"/>
        <v>Dynamic</v>
      </c>
      <c r="F837" t="str">
        <f ca="1">IF(AND(ISNUMBER($F$1925),$B$1132=1),$F$1925,HLOOKUP(INDIRECT(ADDRESS(2,COLUMN())),OFFSET($K$2,0,0,ROW()-1,5),ROW()-1,FALSE))</f>
        <v/>
      </c>
      <c r="G837" t="str">
        <f ca="1">IF(AND(ISNUMBER($G$1925),$B$1132=1),$G$1925,HLOOKUP(INDIRECT(ADDRESS(2,COLUMN())),OFFSET($K$2,0,0,ROW()-1,5),ROW()-1,FALSE))</f>
        <v/>
      </c>
      <c r="H837" t="str">
        <f ca="1">IF(AND(ISNUMBER($H$1925),$B$1132=1),$H$1925,HLOOKUP(INDIRECT(ADDRESS(2,COLUMN())),OFFSET($K$2,0,0,ROW()-1,5),ROW()-1,FALSE))</f>
        <v/>
      </c>
      <c r="I837" t="str">
        <f ca="1">IF(AND(ISNUMBER($I$1925),$B$1132=1),$I$1925,HLOOKUP(INDIRECT(ADDRESS(2,COLUMN())),OFFSET($K$2,0,0,ROW()-1,5),ROW()-1,FALSE))</f>
        <v/>
      </c>
      <c r="J837">
        <f ca="1">IF(AND(ISNUMBER($J$1925),$B$1132=1),$J$1925,HLOOKUP(INDIRECT(ADDRESS(2,COLUMN())),OFFSET($K$2,0,0,ROW()-1,5),ROW()-1,FALSE))</f>
        <v>30.905300780000001</v>
      </c>
      <c r="K837" t="str">
        <f>""</f>
        <v/>
      </c>
      <c r="L837" t="str">
        <f>""</f>
        <v/>
      </c>
      <c r="M837" t="str">
        <f>""</f>
        <v/>
      </c>
      <c r="N837" t="str">
        <f>""</f>
        <v/>
      </c>
      <c r="O837">
        <f>30.90530078</f>
        <v>30.905300780000001</v>
      </c>
    </row>
    <row r="838" spans="1:15" x14ac:dyDescent="0.25">
      <c r="A838" t="str">
        <f>"                    Vedanta Ltd"</f>
        <v xml:space="preserve">                    Vedanta Ltd</v>
      </c>
      <c r="B838" t="str">
        <f>"VEDL IN Equity"</f>
        <v>VEDL IN Equity</v>
      </c>
      <c r="C838" t="str">
        <f t="shared" si="87"/>
        <v>F0946</v>
      </c>
      <c r="D838" t="str">
        <f t="shared" si="88"/>
        <v>TOTAL_GHG_CO2_EMISSIONS</v>
      </c>
      <c r="E838" t="str">
        <f t="shared" si="89"/>
        <v>Dynamic</v>
      </c>
      <c r="F838" t="str">
        <f ca="1">IF(AND(ISNUMBER($F$1926),$B$1132=1),$F$1926,HLOOKUP(INDIRECT(ADDRESS(2,COLUMN())),OFFSET($K$2,0,0,ROW()-1,5),ROW()-1,FALSE))</f>
        <v/>
      </c>
      <c r="G838">
        <f ca="1">IF(AND(ISNUMBER($G$1926),$B$1132=1),$G$1926,HLOOKUP(INDIRECT(ADDRESS(2,COLUMN())),OFFSET($K$2,0,0,ROW()-1,5),ROW()-1,FALSE))</f>
        <v>62.829500000000003</v>
      </c>
      <c r="H838">
        <f ca="1">IF(AND(ISNUMBER($H$1926),$B$1132=1),$H$1926,HLOOKUP(INDIRECT(ADDRESS(2,COLUMN())),OFFSET($K$2,0,0,ROW()-1,5),ROW()-1,FALSE))</f>
        <v>60.24</v>
      </c>
      <c r="I838">
        <f ca="1">IF(AND(ISNUMBER($I$1926),$B$1132=1),$I$1926,HLOOKUP(INDIRECT(ADDRESS(2,COLUMN())),OFFSET($K$2,0,0,ROW()-1,5),ROW()-1,FALSE))</f>
        <v>59.34</v>
      </c>
      <c r="J838">
        <f ca="1">IF(AND(ISNUMBER($J$1926),$B$1132=1),$J$1926,HLOOKUP(INDIRECT(ADDRESS(2,COLUMN())),OFFSET($K$2,0,0,ROW()-1,5),ROW()-1,FALSE))</f>
        <v>58.5</v>
      </c>
      <c r="K838" t="str">
        <f>""</f>
        <v/>
      </c>
      <c r="L838">
        <f>62.8295</f>
        <v>62.829500000000003</v>
      </c>
      <c r="M838">
        <f>60.24</f>
        <v>60.24</v>
      </c>
      <c r="N838">
        <f>59.34</f>
        <v>59.34</v>
      </c>
      <c r="O838">
        <f>58.5</f>
        <v>58.5</v>
      </c>
    </row>
    <row r="839" spans="1:15" x14ac:dyDescent="0.25">
      <c r="A839" t="str">
        <f>"                    Xinjiang Joinworld Co Ltd"</f>
        <v xml:space="preserve">                    Xinjiang Joinworld Co Ltd</v>
      </c>
      <c r="B839" t="str">
        <f>"600888 CH Equity"</f>
        <v>600888 CH Equity</v>
      </c>
      <c r="C839" t="str">
        <f t="shared" si="87"/>
        <v>F0946</v>
      </c>
      <c r="D839" t="str">
        <f t="shared" si="88"/>
        <v>TOTAL_GHG_CO2_EMISSIONS</v>
      </c>
      <c r="E839" t="str">
        <f t="shared" si="89"/>
        <v>Dynamic</v>
      </c>
      <c r="F839" t="str">
        <f ca="1">IF(AND(ISNUMBER($F$1927),$B$1132=1),$F$1927,HLOOKUP(INDIRECT(ADDRESS(2,COLUMN())),OFFSET($K$2,0,0,ROW()-1,5),ROW()-1,FALSE))</f>
        <v/>
      </c>
      <c r="G839" t="str">
        <f ca="1">IF(AND(ISNUMBER($G$1927),$B$1132=1),$G$1927,HLOOKUP(INDIRECT(ADDRESS(2,COLUMN())),OFFSET($K$2,0,0,ROW()-1,5),ROW()-1,FALSE))</f>
        <v/>
      </c>
      <c r="H839" t="str">
        <f ca="1">IF(AND(ISNUMBER($H$1927),$B$1132=1),$H$1927,HLOOKUP(INDIRECT(ADDRESS(2,COLUMN())),OFFSET($K$2,0,0,ROW()-1,5),ROW()-1,FALSE))</f>
        <v/>
      </c>
      <c r="I839" t="str">
        <f ca="1">IF(AND(ISNUMBER($I$1927),$B$1132=1),$I$1927,HLOOKUP(INDIRECT(ADDRESS(2,COLUMN())),OFFSET($K$2,0,0,ROW()-1,5),ROW()-1,FALSE))</f>
        <v/>
      </c>
      <c r="J839" t="str">
        <f ca="1">IF(AND(ISNUMBER($J$1927),$B$1132=1),$J$1927,HLOOKUP(INDIRECT(ADDRESS(2,COLUMN())),OFFSET($K$2,0,0,ROW()-1,5),ROW()-1,FALSE))</f>
        <v/>
      </c>
      <c r="K839" t="str">
        <f>""</f>
        <v/>
      </c>
      <c r="L839" t="str">
        <f>""</f>
        <v/>
      </c>
      <c r="M839" t="str">
        <f>""</f>
        <v/>
      </c>
      <c r="N839" t="str">
        <f>""</f>
        <v/>
      </c>
      <c r="O839" t="str">
        <f>""</f>
        <v/>
      </c>
    </row>
    <row r="840" spans="1:15" x14ac:dyDescent="0.25">
      <c r="A840" t="str">
        <f>"                    Yunnan Aluminium Co Ltd"</f>
        <v xml:space="preserve">                    Yunnan Aluminium Co Ltd</v>
      </c>
      <c r="B840" t="str">
        <f>"000807 CH Equity"</f>
        <v>000807 CH Equity</v>
      </c>
      <c r="C840" t="str">
        <f t="shared" si="87"/>
        <v>F0946</v>
      </c>
      <c r="D840" t="str">
        <f t="shared" si="88"/>
        <v>TOTAL_GHG_CO2_EMISSIONS</v>
      </c>
      <c r="E840" t="str">
        <f t="shared" si="89"/>
        <v>Dynamic</v>
      </c>
      <c r="F840" t="str">
        <f ca="1">IF(AND(ISNUMBER($F$1928),$B$1132=1),$F$1928,HLOOKUP(INDIRECT(ADDRESS(2,COLUMN())),OFFSET($K$2,0,0,ROW()-1,5),ROW()-1,FALSE))</f>
        <v/>
      </c>
      <c r="G840" t="str">
        <f ca="1">IF(AND(ISNUMBER($G$1928),$B$1132=1),$G$1928,HLOOKUP(INDIRECT(ADDRESS(2,COLUMN())),OFFSET($K$2,0,0,ROW()-1,5),ROW()-1,FALSE))</f>
        <v/>
      </c>
      <c r="H840" t="str">
        <f ca="1">IF(AND(ISNUMBER($H$1928),$B$1132=1),$H$1928,HLOOKUP(INDIRECT(ADDRESS(2,COLUMN())),OFFSET($K$2,0,0,ROW()-1,5),ROW()-1,FALSE))</f>
        <v/>
      </c>
      <c r="I840" t="str">
        <f ca="1">IF(AND(ISNUMBER($I$1928),$B$1132=1),$I$1928,HLOOKUP(INDIRECT(ADDRESS(2,COLUMN())),OFFSET($K$2,0,0,ROW()-1,5),ROW()-1,FALSE))</f>
        <v/>
      </c>
      <c r="J840" t="str">
        <f ca="1">IF(AND(ISNUMBER($J$1928),$B$1132=1),$J$1928,HLOOKUP(INDIRECT(ADDRESS(2,COLUMN())),OFFSET($K$2,0,0,ROW()-1,5),ROW()-1,FALSE))</f>
        <v/>
      </c>
      <c r="K840" t="str">
        <f>""</f>
        <v/>
      </c>
      <c r="L840" t="str">
        <f>""</f>
        <v/>
      </c>
      <c r="M840" t="str">
        <f>""</f>
        <v/>
      </c>
      <c r="N840" t="str">
        <f>""</f>
        <v/>
      </c>
      <c r="O840" t="str">
        <f>""</f>
        <v/>
      </c>
    </row>
    <row r="841" spans="1:15" x14ac:dyDescent="0.25">
      <c r="A841" t="str">
        <f>"                Base Metals"</f>
        <v xml:space="preserve">                Base Metals</v>
      </c>
      <c r="B841" t="str">
        <f>""</f>
        <v/>
      </c>
      <c r="E841" t="str">
        <f>"Sum"</f>
        <v>Sum</v>
      </c>
      <c r="F841">
        <f ca="1">IF(ISERROR(IF(SUM($F$842:$F$844) = 0, "", SUM($F$842:$F$844))), "", (IF(SUM($F$842:$F$844) = 0, "", SUM($F$842:$F$844))))</f>
        <v>1.74027E-2</v>
      </c>
      <c r="G841" t="str">
        <f ca="1">IF(ISERROR(IF(SUM($G$842:$G$844) = 0, "", SUM($G$842:$G$844))), "", (IF(SUM($G$842:$G$844) = 0, "", SUM($G$842:$G$844))))</f>
        <v/>
      </c>
      <c r="H841" t="str">
        <f ca="1">IF(ISERROR(IF(SUM($H$842:$H$844) = 0, "", SUM($H$842:$H$844))), "", (IF(SUM($H$842:$H$844) = 0, "", SUM($H$842:$H$844))))</f>
        <v/>
      </c>
      <c r="I841" t="str">
        <f ca="1">IF(ISERROR(IF(SUM($I$842:$I$844) = 0, "", SUM($I$842:$I$844))), "", (IF(SUM($I$842:$I$844) = 0, "", SUM($I$842:$I$844))))</f>
        <v/>
      </c>
      <c r="J841" t="str">
        <f ca="1">IF(ISERROR(IF(SUM($J$842:$J$844) = 0, "", SUM($J$842:$J$844))), "", (IF(SUM($J$842:$J$844) = 0, "", SUM($J$842:$J$844))))</f>
        <v/>
      </c>
      <c r="K841">
        <f>0.0174027</f>
        <v>1.74027E-2</v>
      </c>
      <c r="L841" t="str">
        <f>""</f>
        <v/>
      </c>
      <c r="M841" t="str">
        <f>""</f>
        <v/>
      </c>
      <c r="N841" t="str">
        <f>""</f>
        <v/>
      </c>
      <c r="O841" t="str">
        <f>""</f>
        <v/>
      </c>
    </row>
    <row r="842" spans="1:15" x14ac:dyDescent="0.25">
      <c r="A842" t="str">
        <f>"                    China Rare Earth Resources And"</f>
        <v xml:space="preserve">                    China Rare Earth Resources And</v>
      </c>
      <c r="B842" t="str">
        <f>"000831 CH Equity"</f>
        <v>000831 CH Equity</v>
      </c>
      <c r="C842" t="str">
        <f>"F0946"</f>
        <v>F0946</v>
      </c>
      <c r="D842" t="str">
        <f>"TOTAL_GHG_CO2_EMISSIONS"</f>
        <v>TOTAL_GHG_CO2_EMISSIONS</v>
      </c>
      <c r="E842" t="str">
        <f>"Dynamic"</f>
        <v>Dynamic</v>
      </c>
      <c r="F842">
        <f ca="1">IF(AND(ISNUMBER($F$1929),$B$1132=1),$F$1929,HLOOKUP(INDIRECT(ADDRESS(2,COLUMN())),OFFSET($K$2,0,0,ROW()-1,5),ROW()-1,FALSE))</f>
        <v>1.74027E-2</v>
      </c>
      <c r="G842" t="str">
        <f ca="1">IF(AND(ISNUMBER($G$1929),$B$1132=1),$G$1929,HLOOKUP(INDIRECT(ADDRESS(2,COLUMN())),OFFSET($K$2,0,0,ROW()-1,5),ROW()-1,FALSE))</f>
        <v/>
      </c>
      <c r="H842" t="str">
        <f ca="1">IF(AND(ISNUMBER($H$1929),$B$1132=1),$H$1929,HLOOKUP(INDIRECT(ADDRESS(2,COLUMN())),OFFSET($K$2,0,0,ROW()-1,5),ROW()-1,FALSE))</f>
        <v/>
      </c>
      <c r="I842" t="str">
        <f ca="1">IF(AND(ISNUMBER($I$1929),$B$1132=1),$I$1929,HLOOKUP(INDIRECT(ADDRESS(2,COLUMN())),OFFSET($K$2,0,0,ROW()-1,5),ROW()-1,FALSE))</f>
        <v/>
      </c>
      <c r="J842" t="str">
        <f ca="1">IF(AND(ISNUMBER($J$1929),$B$1132=1),$J$1929,HLOOKUP(INDIRECT(ADDRESS(2,COLUMN())),OFFSET($K$2,0,0,ROW()-1,5),ROW()-1,FALSE))</f>
        <v/>
      </c>
      <c r="K842">
        <f>0.0174027</f>
        <v>1.74027E-2</v>
      </c>
      <c r="L842" t="str">
        <f>""</f>
        <v/>
      </c>
      <c r="M842" t="str">
        <f>""</f>
        <v/>
      </c>
      <c r="N842" t="str">
        <f>""</f>
        <v/>
      </c>
      <c r="O842" t="str">
        <f>""</f>
        <v/>
      </c>
    </row>
    <row r="843" spans="1:15" x14ac:dyDescent="0.25">
      <c r="A843" t="str">
        <f>"                    Jiaozuo Wanfang Aluminum Manuf"</f>
        <v xml:space="preserve">                    Jiaozuo Wanfang Aluminum Manuf</v>
      </c>
      <c r="B843" t="str">
        <f>"000612 CH Equity"</f>
        <v>000612 CH Equity</v>
      </c>
      <c r="C843" t="str">
        <f>"F0946"</f>
        <v>F0946</v>
      </c>
      <c r="D843" t="str">
        <f>"TOTAL_GHG_CO2_EMISSIONS"</f>
        <v>TOTAL_GHG_CO2_EMISSIONS</v>
      </c>
      <c r="E843" t="str">
        <f>"Dynamic"</f>
        <v>Dynamic</v>
      </c>
      <c r="F843" t="str">
        <f ca="1">IF(AND(ISNUMBER($F$1930),$B$1132=1),$F$1930,HLOOKUP(INDIRECT(ADDRESS(2,COLUMN())),OFFSET($K$2,0,0,ROW()-1,5),ROW()-1,FALSE))</f>
        <v/>
      </c>
      <c r="G843" t="str">
        <f ca="1">IF(AND(ISNUMBER($G$1930),$B$1132=1),$G$1930,HLOOKUP(INDIRECT(ADDRESS(2,COLUMN())),OFFSET($K$2,0,0,ROW()-1,5),ROW()-1,FALSE))</f>
        <v/>
      </c>
      <c r="H843" t="str">
        <f ca="1">IF(AND(ISNUMBER($H$1930),$B$1132=1),$H$1930,HLOOKUP(INDIRECT(ADDRESS(2,COLUMN())),OFFSET($K$2,0,0,ROW()-1,5),ROW()-1,FALSE))</f>
        <v/>
      </c>
      <c r="I843" t="str">
        <f ca="1">IF(AND(ISNUMBER($I$1930),$B$1132=1),$I$1930,HLOOKUP(INDIRECT(ADDRESS(2,COLUMN())),OFFSET($K$2,0,0,ROW()-1,5),ROW()-1,FALSE))</f>
        <v/>
      </c>
      <c r="J843" t="str">
        <f ca="1">IF(AND(ISNUMBER($J$1930),$B$1132=1),$J$1930,HLOOKUP(INDIRECT(ADDRESS(2,COLUMN())),OFFSET($K$2,0,0,ROW()-1,5),ROW()-1,FALSE))</f>
        <v/>
      </c>
      <c r="K843" t="str">
        <f>""</f>
        <v/>
      </c>
      <c r="L843" t="str">
        <f>""</f>
        <v/>
      </c>
      <c r="M843" t="str">
        <f>""</f>
        <v/>
      </c>
      <c r="N843" t="str">
        <f>""</f>
        <v/>
      </c>
      <c r="O843" t="str">
        <f>""</f>
        <v/>
      </c>
    </row>
    <row r="844" spans="1:15" x14ac:dyDescent="0.25">
      <c r="A844" t="str">
        <f>"                    Yunnan Aluminium Co Ltd"</f>
        <v xml:space="preserve">                    Yunnan Aluminium Co Ltd</v>
      </c>
      <c r="B844" t="str">
        <f>"000807 CH Equity"</f>
        <v>000807 CH Equity</v>
      </c>
      <c r="C844" t="str">
        <f>"F0946"</f>
        <v>F0946</v>
      </c>
      <c r="D844" t="str">
        <f>"TOTAL_GHG_CO2_EMISSIONS"</f>
        <v>TOTAL_GHG_CO2_EMISSIONS</v>
      </c>
      <c r="E844" t="str">
        <f>"Dynamic"</f>
        <v>Dynamic</v>
      </c>
      <c r="F844" t="str">
        <f ca="1">IF(AND(ISNUMBER($F$1931),$B$1132=1),$F$1931,HLOOKUP(INDIRECT(ADDRESS(2,COLUMN())),OFFSET($K$2,0,0,ROW()-1,5),ROW()-1,FALSE))</f>
        <v/>
      </c>
      <c r="G844" t="str">
        <f ca="1">IF(AND(ISNUMBER($G$1931),$B$1132=1),$G$1931,HLOOKUP(INDIRECT(ADDRESS(2,COLUMN())),OFFSET($K$2,0,0,ROW()-1,5),ROW()-1,FALSE))</f>
        <v/>
      </c>
      <c r="H844" t="str">
        <f ca="1">IF(AND(ISNUMBER($H$1931),$B$1132=1),$H$1931,HLOOKUP(INDIRECT(ADDRESS(2,COLUMN())),OFFSET($K$2,0,0,ROW()-1,5),ROW()-1,FALSE))</f>
        <v/>
      </c>
      <c r="I844" t="str">
        <f ca="1">IF(AND(ISNUMBER($I$1931),$B$1132=1),$I$1931,HLOOKUP(INDIRECT(ADDRESS(2,COLUMN())),OFFSET($K$2,0,0,ROW()-1,5),ROW()-1,FALSE))</f>
        <v/>
      </c>
      <c r="J844" t="str">
        <f ca="1">IF(AND(ISNUMBER($J$1931),$B$1132=1),$J$1931,HLOOKUP(INDIRECT(ADDRESS(2,COLUMN())),OFFSET($K$2,0,0,ROW()-1,5),ROW()-1,FALSE))</f>
        <v/>
      </c>
      <c r="K844" t="str">
        <f>""</f>
        <v/>
      </c>
      <c r="L844" t="str">
        <f>""</f>
        <v/>
      </c>
      <c r="M844" t="str">
        <f>""</f>
        <v/>
      </c>
      <c r="N844" t="str">
        <f>""</f>
        <v/>
      </c>
      <c r="O844" t="str">
        <f>""</f>
        <v/>
      </c>
    </row>
    <row r="845" spans="1:15" x14ac:dyDescent="0.25">
      <c r="A845" t="str">
        <f>"                Copper"</f>
        <v xml:space="preserve">                Copper</v>
      </c>
      <c r="B845" t="str">
        <f>""</f>
        <v/>
      </c>
      <c r="E845" t="str">
        <f>"Sum"</f>
        <v>Sum</v>
      </c>
      <c r="F845">
        <f ca="1">IF(ISERROR(IF(SUM($F$846:$F$873) = 0, "", SUM($F$846:$F$873))), "", (IF(SUM($F$846:$F$873) = 0, "", SUM($F$846:$F$873))))</f>
        <v>114.736495117</v>
      </c>
      <c r="G845">
        <f ca="1">IF(ISERROR(IF(SUM($G$846:$G$873) = 0, "", SUM($G$846:$G$873))), "", (IF(SUM($G$846:$G$873) = 0, "", SUM($G$846:$G$873))))</f>
        <v>160.53796232600001</v>
      </c>
      <c r="H845">
        <f ca="1">IF(ISERROR(IF(SUM($H$846:$H$873) = 0, "", SUM($H$846:$H$873))), "", (IF(SUM($H$846:$H$873) = 0, "", SUM($H$846:$H$873))))</f>
        <v>147.19565575799999</v>
      </c>
      <c r="I845">
        <f ca="1">IF(ISERROR(IF(SUM($I$846:$I$873) = 0, "", SUM($I$846:$I$873))), "", (IF(SUM($I$846:$I$873) = 0, "", SUM($I$846:$I$873))))</f>
        <v>155.49950558399999</v>
      </c>
      <c r="J845">
        <f ca="1">IF(ISERROR(IF(SUM($J$846:$J$873) = 0, "", SUM($J$846:$J$873))), "", (IF(SUM($J$846:$J$873) = 0, "", SUM($J$846:$J$873))))</f>
        <v>152.03643757799998</v>
      </c>
      <c r="K845">
        <f>114.7364951</f>
        <v>114.7364951</v>
      </c>
      <c r="L845">
        <f>160.5379623</f>
        <v>160.5379623</v>
      </c>
      <c r="M845">
        <f>147.1956558</f>
        <v>147.1956558</v>
      </c>
      <c r="N845">
        <f>155.4995056</f>
        <v>155.49950559999999</v>
      </c>
      <c r="O845">
        <f>152.0364376</f>
        <v>152.0364376</v>
      </c>
    </row>
    <row r="846" spans="1:15" x14ac:dyDescent="0.25">
      <c r="A846" t="str">
        <f>"                    Anglo American PLC"</f>
        <v xml:space="preserve">                    Anglo American PLC</v>
      </c>
      <c r="B846" t="str">
        <f>"AAL LN Equity"</f>
        <v>AAL LN Equity</v>
      </c>
      <c r="C846" t="str">
        <f t="shared" ref="C846:C873" si="90">"F0946"</f>
        <v>F0946</v>
      </c>
      <c r="D846" t="str">
        <f t="shared" ref="D846:D873" si="91">"TOTAL_GHG_CO2_EMISSIONS"</f>
        <v>TOTAL_GHG_CO2_EMISSIONS</v>
      </c>
      <c r="E846" t="str">
        <f t="shared" ref="E846:E873" si="92">"Dynamic"</f>
        <v>Dynamic</v>
      </c>
      <c r="F846">
        <f ca="1">IF(AND(ISNUMBER($F$1932),$B$1132=1),$F$1932,HLOOKUP(INDIRECT(ADDRESS(2,COLUMN())),OFFSET($K$2,0,0,ROW()-1,5),ROW()-1,FALSE))</f>
        <v>13.3</v>
      </c>
      <c r="G846">
        <f ca="1">IF(AND(ISNUMBER($G$1932),$B$1132=1),$G$1932,HLOOKUP(INDIRECT(ADDRESS(2,COLUMN())),OFFSET($K$2,0,0,ROW()-1,5),ROW()-1,FALSE))</f>
        <v>14.76</v>
      </c>
      <c r="H846">
        <f ca="1">IF(AND(ISNUMBER($H$1932),$B$1132=1),$H$1932,HLOOKUP(INDIRECT(ADDRESS(2,COLUMN())),OFFSET($K$2,0,0,ROW()-1,5),ROW()-1,FALSE))</f>
        <v>16.079999999999998</v>
      </c>
      <c r="I846">
        <f ca="1">IF(AND(ISNUMBER($I$1932),$B$1132=1),$I$1932,HLOOKUP(INDIRECT(ADDRESS(2,COLUMN())),OFFSET($K$2,0,0,ROW()-1,5),ROW()-1,FALSE))</f>
        <v>17.8</v>
      </c>
      <c r="J846">
        <f ca="1">IF(AND(ISNUMBER($J$1932),$B$1132=1),$J$1932,HLOOKUP(INDIRECT(ADDRESS(2,COLUMN())),OFFSET($K$2,0,0,ROW()-1,5),ROW()-1,FALSE))</f>
        <v>16.2</v>
      </c>
      <c r="K846">
        <f>13.3</f>
        <v>13.3</v>
      </c>
      <c r="L846">
        <f>14.76</f>
        <v>14.76</v>
      </c>
      <c r="M846">
        <f>16.08</f>
        <v>16.079999999999998</v>
      </c>
      <c r="N846">
        <f>17.8</f>
        <v>17.8</v>
      </c>
      <c r="O846">
        <f>16.2</f>
        <v>16.2</v>
      </c>
    </row>
    <row r="847" spans="1:15" x14ac:dyDescent="0.25">
      <c r="A847" t="str">
        <f>"                    Antofagasta PLC"</f>
        <v xml:space="preserve">                    Antofagasta PLC</v>
      </c>
      <c r="B847" t="str">
        <f>"ANTO LN Equity"</f>
        <v>ANTO LN Equity</v>
      </c>
      <c r="C847" t="str">
        <f t="shared" si="90"/>
        <v>F0946</v>
      </c>
      <c r="D847" t="str">
        <f t="shared" si="91"/>
        <v>TOTAL_GHG_CO2_EMISSIONS</v>
      </c>
      <c r="E847" t="str">
        <f t="shared" si="92"/>
        <v>Dynamic</v>
      </c>
      <c r="F847">
        <f ca="1">IF(AND(ISNUMBER($F$1933),$B$1132=1),$F$1933,HLOOKUP(INDIRECT(ADDRESS(2,COLUMN())),OFFSET($K$2,0,0,ROW()-1,5),ROW()-1,FALSE))</f>
        <v>2.0742299800000001</v>
      </c>
      <c r="G847">
        <f ca="1">IF(AND(ISNUMBER($G$1933),$B$1132=1),$G$1933,HLOOKUP(INDIRECT(ADDRESS(2,COLUMN())),OFFSET($K$2,0,0,ROW()-1,5),ROW()-1,FALSE))</f>
        <v>2.2998400879999998</v>
      </c>
      <c r="H847">
        <f ca="1">IF(AND(ISNUMBER($H$1933),$B$1132=1),$H$1933,HLOOKUP(INDIRECT(ADDRESS(2,COLUMN())),OFFSET($K$2,0,0,ROW()-1,5),ROW()-1,FALSE))</f>
        <v>2.3452099610000001</v>
      </c>
      <c r="I847">
        <f ca="1">IF(AND(ISNUMBER($I$1933),$B$1132=1),$I$1933,HLOOKUP(INDIRECT(ADDRESS(2,COLUMN())),OFFSET($K$2,0,0,ROW()-1,5),ROW()-1,FALSE))</f>
        <v>2.3856499019999999</v>
      </c>
      <c r="J847">
        <f ca="1">IF(AND(ISNUMBER($J$1933),$B$1132=1),$J$1933,HLOOKUP(INDIRECT(ADDRESS(2,COLUMN())),OFFSET($K$2,0,0,ROW()-1,5),ROW()-1,FALSE))</f>
        <v>2.4179099119999998</v>
      </c>
      <c r="K847">
        <f>2.07422998</f>
        <v>2.0742299800000001</v>
      </c>
      <c r="L847">
        <f>2.299840088</f>
        <v>2.2998400879999998</v>
      </c>
      <c r="M847">
        <f>2.345209961</f>
        <v>2.3452099610000001</v>
      </c>
      <c r="N847">
        <f>2.385649902</f>
        <v>2.3856499019999999</v>
      </c>
      <c r="O847">
        <f>2.417909912</f>
        <v>2.4179099119999998</v>
      </c>
    </row>
    <row r="848" spans="1:15" x14ac:dyDescent="0.25">
      <c r="A848" t="str">
        <f>"                    Barrick Gold Corp"</f>
        <v xml:space="preserve">                    Barrick Gold Corp</v>
      </c>
      <c r="B848" t="str">
        <f>"ABX CN Equity"</f>
        <v>ABX CN Equity</v>
      </c>
      <c r="C848" t="str">
        <f t="shared" si="90"/>
        <v>F0946</v>
      </c>
      <c r="D848" t="str">
        <f t="shared" si="91"/>
        <v>TOTAL_GHG_CO2_EMISSIONS</v>
      </c>
      <c r="E848" t="str">
        <f t="shared" si="92"/>
        <v>Dynamic</v>
      </c>
      <c r="F848">
        <f ca="1">IF(AND(ISNUMBER($F$1934),$B$1132=1),$F$1934,HLOOKUP(INDIRECT(ADDRESS(2,COLUMN())),OFFSET($K$2,0,0,ROW()-1,5),ROW()-1,FALSE))</f>
        <v>6.7050000000000001</v>
      </c>
      <c r="G848">
        <f ca="1">IF(AND(ISNUMBER($G$1934),$B$1132=1),$G$1934,HLOOKUP(INDIRECT(ADDRESS(2,COLUMN())),OFFSET($K$2,0,0,ROW()-1,5),ROW()-1,FALSE))</f>
        <v>7.4</v>
      </c>
      <c r="H848">
        <f ca="1">IF(AND(ISNUMBER($H$1934),$B$1132=1),$H$1934,HLOOKUP(INDIRECT(ADDRESS(2,COLUMN())),OFFSET($K$2,0,0,ROW()-1,5),ROW()-1,FALSE))</f>
        <v>7.3514599609999998</v>
      </c>
      <c r="I848">
        <f ca="1">IF(AND(ISNUMBER($I$1934),$B$1132=1),$I$1934,HLOOKUP(INDIRECT(ADDRESS(2,COLUMN())),OFFSET($K$2,0,0,ROW()-1,5),ROW()-1,FALSE))</f>
        <v>6.7480000000000002</v>
      </c>
      <c r="J848">
        <f ca="1">IF(AND(ISNUMBER($J$1934),$B$1132=1),$J$1934,HLOOKUP(INDIRECT(ADDRESS(2,COLUMN())),OFFSET($K$2,0,0,ROW()-1,5),ROW()-1,FALSE))</f>
        <v>4.5430000000000001</v>
      </c>
      <c r="K848">
        <f>6.705</f>
        <v>6.7050000000000001</v>
      </c>
      <c r="L848">
        <f>7.4</f>
        <v>7.4</v>
      </c>
      <c r="M848">
        <f>7.351459961</f>
        <v>7.3514599609999998</v>
      </c>
      <c r="N848">
        <f>6.748</f>
        <v>6.7480000000000002</v>
      </c>
      <c r="O848">
        <f>4.543</f>
        <v>4.5430000000000001</v>
      </c>
    </row>
    <row r="849" spans="1:15" x14ac:dyDescent="0.25">
      <c r="A849" t="str">
        <f>"                    BHP Group Ltd"</f>
        <v xml:space="preserve">                    BHP Group Ltd</v>
      </c>
      <c r="B849" t="str">
        <f>"BHP AU Equity"</f>
        <v>BHP AU Equity</v>
      </c>
      <c r="C849" t="str">
        <f t="shared" si="90"/>
        <v>F0946</v>
      </c>
      <c r="D849" t="str">
        <f t="shared" si="91"/>
        <v>TOTAL_GHG_CO2_EMISSIONS</v>
      </c>
      <c r="E849" t="str">
        <f t="shared" si="92"/>
        <v>Dynamic</v>
      </c>
      <c r="F849" t="str">
        <f ca="1">IF(AND(ISNUMBER($F$1935),$B$1132=1),$F$1935,HLOOKUP(INDIRECT(ADDRESS(2,COLUMN())),OFFSET($K$2,0,0,ROW()-1,5),ROW()-1,FALSE))</f>
        <v/>
      </c>
      <c r="G849">
        <f ca="1">IF(AND(ISNUMBER($G$1935),$B$1132=1),$G$1935,HLOOKUP(INDIRECT(ADDRESS(2,COLUMN())),OFFSET($K$2,0,0,ROW()-1,5),ROW()-1,FALSE))</f>
        <v>14</v>
      </c>
      <c r="H849">
        <f ca="1">IF(AND(ISNUMBER($H$1935),$B$1132=1),$H$1935,HLOOKUP(INDIRECT(ADDRESS(2,COLUMN())),OFFSET($K$2,0,0,ROW()-1,5),ROW()-1,FALSE))</f>
        <v>15</v>
      </c>
      <c r="I849">
        <f ca="1">IF(AND(ISNUMBER($I$1935),$B$1132=1),$I$1935,HLOOKUP(INDIRECT(ADDRESS(2,COLUMN())),OFFSET($K$2,0,0,ROW()-1,5),ROW()-1,FALSE))</f>
        <v>14.6</v>
      </c>
      <c r="J849">
        <f ca="1">IF(AND(ISNUMBER($J$1935),$B$1132=1),$J$1935,HLOOKUP(INDIRECT(ADDRESS(2,COLUMN())),OFFSET($K$2,0,0,ROW()-1,5),ROW()-1,FALSE))</f>
        <v>14.824</v>
      </c>
      <c r="K849" t="str">
        <f>""</f>
        <v/>
      </c>
      <c r="L849">
        <f>14</f>
        <v>14</v>
      </c>
      <c r="M849">
        <f>15</f>
        <v>15</v>
      </c>
      <c r="N849">
        <f>14.6</f>
        <v>14.6</v>
      </c>
      <c r="O849">
        <f>14.824</f>
        <v>14.824</v>
      </c>
    </row>
    <row r="850" spans="1:15" x14ac:dyDescent="0.25">
      <c r="A850" t="str">
        <f>"                    Boliden AB"</f>
        <v xml:space="preserve">                    Boliden AB</v>
      </c>
      <c r="B850" t="str">
        <f>"BOL SS Equity"</f>
        <v>BOL SS Equity</v>
      </c>
      <c r="C850" t="str">
        <f t="shared" si="90"/>
        <v>F0946</v>
      </c>
      <c r="D850" t="str">
        <f t="shared" si="91"/>
        <v>TOTAL_GHG_CO2_EMISSIONS</v>
      </c>
      <c r="E850" t="str">
        <f t="shared" si="92"/>
        <v>Dynamic</v>
      </c>
      <c r="F850">
        <f ca="1">IF(AND(ISNUMBER($F$1936),$B$1132=1),$F$1936,HLOOKUP(INDIRECT(ADDRESS(2,COLUMN())),OFFSET($K$2,0,0,ROW()-1,5),ROW()-1,FALSE))</f>
        <v>0.84699999999999998</v>
      </c>
      <c r="G850">
        <f ca="1">IF(AND(ISNUMBER($G$1936),$B$1132=1),$G$1936,HLOOKUP(INDIRECT(ADDRESS(2,COLUMN())),OFFSET($K$2,0,0,ROW()-1,5),ROW()-1,FALSE))</f>
        <v>0.95199999999999996</v>
      </c>
      <c r="H850">
        <f ca="1">IF(AND(ISNUMBER($H$1936),$B$1132=1),$H$1936,HLOOKUP(INDIRECT(ADDRESS(2,COLUMN())),OFFSET($K$2,0,0,ROW()-1,5),ROW()-1,FALSE))</f>
        <v>0.89600000000000002</v>
      </c>
      <c r="I850">
        <f ca="1">IF(AND(ISNUMBER($I$1936),$B$1132=1),$I$1936,HLOOKUP(INDIRECT(ADDRESS(2,COLUMN())),OFFSET($K$2,0,0,ROW()-1,5),ROW()-1,FALSE))</f>
        <v>0.91700000000000004</v>
      </c>
      <c r="J850">
        <f ca="1">IF(AND(ISNUMBER($J$1936),$B$1132=1),$J$1936,HLOOKUP(INDIRECT(ADDRESS(2,COLUMN())),OFFSET($K$2,0,0,ROW()-1,5),ROW()-1,FALSE))</f>
        <v>0.97099999999999997</v>
      </c>
      <c r="K850">
        <f>0.847</f>
        <v>0.84699999999999998</v>
      </c>
      <c r="L850">
        <f>0.952</f>
        <v>0.95199999999999996</v>
      </c>
      <c r="M850">
        <f>0.896</f>
        <v>0.89600000000000002</v>
      </c>
      <c r="N850">
        <f>0.917</f>
        <v>0.91700000000000004</v>
      </c>
      <c r="O850">
        <f>0.971</f>
        <v>0.97099999999999997</v>
      </c>
    </row>
    <row r="851" spans="1:15" x14ac:dyDescent="0.25">
      <c r="A851" t="str">
        <f>"                    Capstone Mining Corp"</f>
        <v xml:space="preserve">                    Capstone Mining Corp</v>
      </c>
      <c r="B851" t="str">
        <f>"2073752D CN Equity"</f>
        <v>2073752D CN Equity</v>
      </c>
      <c r="C851" t="str">
        <f t="shared" si="90"/>
        <v>F0946</v>
      </c>
      <c r="D851" t="str">
        <f t="shared" si="91"/>
        <v>TOTAL_GHG_CO2_EMISSIONS</v>
      </c>
      <c r="E851" t="str">
        <f t="shared" si="92"/>
        <v>Dynamic</v>
      </c>
      <c r="F851" t="str">
        <f ca="1">IF(AND(ISNUMBER($F$1937),$B$1132=1),$F$1937,HLOOKUP(INDIRECT(ADDRESS(2,COLUMN())),OFFSET($K$2,0,0,ROW()-1,5),ROW()-1,FALSE))</f>
        <v/>
      </c>
      <c r="G851">
        <f ca="1">IF(AND(ISNUMBER($G$1937),$B$1132=1),$G$1937,HLOOKUP(INDIRECT(ADDRESS(2,COLUMN())),OFFSET($K$2,0,0,ROW()-1,5),ROW()-1,FALSE))</f>
        <v>0.30688101200000001</v>
      </c>
      <c r="H851">
        <f ca="1">IF(AND(ISNUMBER($H$1937),$B$1132=1),$H$1937,HLOOKUP(INDIRECT(ADDRESS(2,COLUMN())),OFFSET($K$2,0,0,ROW()-1,5),ROW()-1,FALSE))</f>
        <v>0.28647000099999997</v>
      </c>
      <c r="I851">
        <f ca="1">IF(AND(ISNUMBER($I$1937),$B$1132=1),$I$1937,HLOOKUP(INDIRECT(ADDRESS(2,COLUMN())),OFFSET($K$2,0,0,ROW()-1,5),ROW()-1,FALSE))</f>
        <v>0.279670013</v>
      </c>
      <c r="J851">
        <f ca="1">IF(AND(ISNUMBER($J$1937),$B$1132=1),$J$1937,HLOOKUP(INDIRECT(ADDRESS(2,COLUMN())),OFFSET($K$2,0,0,ROW()-1,5),ROW()-1,FALSE))</f>
        <v>0.28524899300000001</v>
      </c>
      <c r="K851" t="str">
        <f>""</f>
        <v/>
      </c>
      <c r="L851">
        <f>0.306881012</f>
        <v>0.30688101200000001</v>
      </c>
      <c r="M851">
        <f>0.286470001</f>
        <v>0.28647000099999997</v>
      </c>
      <c r="N851">
        <f>0.279670013</f>
        <v>0.279670013</v>
      </c>
      <c r="O851">
        <f>0.285248993</f>
        <v>0.28524899300000001</v>
      </c>
    </row>
    <row r="852" spans="1:15" x14ac:dyDescent="0.25">
      <c r="A852" t="str">
        <f>"                    Cia de Minas Buenaventura SAA"</f>
        <v xml:space="preserve">                    Cia de Minas Buenaventura SAA</v>
      </c>
      <c r="B852" t="str">
        <f>"BUENAVI1 PE Equity"</f>
        <v>BUENAVI1 PE Equity</v>
      </c>
      <c r="C852" t="str">
        <f t="shared" si="90"/>
        <v>F0946</v>
      </c>
      <c r="D852" t="str">
        <f t="shared" si="91"/>
        <v>TOTAL_GHG_CO2_EMISSIONS</v>
      </c>
      <c r="E852" t="str">
        <f t="shared" si="92"/>
        <v>Dynamic</v>
      </c>
      <c r="F852" t="str">
        <f ca="1">IF(AND(ISNUMBER($F$1938),$B$1132=1),$F$1938,HLOOKUP(INDIRECT(ADDRESS(2,COLUMN())),OFFSET($K$2,0,0,ROW()-1,5),ROW()-1,FALSE))</f>
        <v/>
      </c>
      <c r="G852" t="str">
        <f ca="1">IF(AND(ISNUMBER($G$1938),$B$1132=1),$G$1938,HLOOKUP(INDIRECT(ADDRESS(2,COLUMN())),OFFSET($K$2,0,0,ROW()-1,5),ROW()-1,FALSE))</f>
        <v/>
      </c>
      <c r="H852" t="str">
        <f ca="1">IF(AND(ISNUMBER($H$1938),$B$1132=1),$H$1938,HLOOKUP(INDIRECT(ADDRESS(2,COLUMN())),OFFSET($K$2,0,0,ROW()-1,5),ROW()-1,FALSE))</f>
        <v/>
      </c>
      <c r="I852" t="str">
        <f ca="1">IF(AND(ISNUMBER($I$1938),$B$1132=1),$I$1938,HLOOKUP(INDIRECT(ADDRESS(2,COLUMN())),OFFSET($K$2,0,0,ROW()-1,5),ROW()-1,FALSE))</f>
        <v/>
      </c>
      <c r="J852" t="str">
        <f ca="1">IF(AND(ISNUMBER($J$1938),$B$1132=1),$J$1938,HLOOKUP(INDIRECT(ADDRESS(2,COLUMN())),OFFSET($K$2,0,0,ROW()-1,5),ROW()-1,FALSE))</f>
        <v/>
      </c>
      <c r="K852" t="str">
        <f>""</f>
        <v/>
      </c>
      <c r="L852" t="str">
        <f>""</f>
        <v/>
      </c>
      <c r="M852" t="str">
        <f>""</f>
        <v/>
      </c>
      <c r="N852" t="str">
        <f>""</f>
        <v/>
      </c>
      <c r="O852" t="str">
        <f>""</f>
        <v/>
      </c>
    </row>
    <row r="853" spans="1:15" x14ac:dyDescent="0.25">
      <c r="A853" t="str">
        <f>"                    Corp Nacional del Cobre de Chi"</f>
        <v xml:space="preserve">                    Corp Nacional del Cobre de Chi</v>
      </c>
      <c r="B853" t="str">
        <f>"1006Z CI Equity"</f>
        <v>1006Z CI Equity</v>
      </c>
      <c r="C853" t="str">
        <f t="shared" si="90"/>
        <v>F0946</v>
      </c>
      <c r="D853" t="str">
        <f t="shared" si="91"/>
        <v>TOTAL_GHG_CO2_EMISSIONS</v>
      </c>
      <c r="E853" t="str">
        <f t="shared" si="92"/>
        <v>Dynamic</v>
      </c>
      <c r="F853" t="str">
        <f ca="1">IF(AND(ISNUMBER($F$1939),$B$1132=1),$F$1939,HLOOKUP(INDIRECT(ADDRESS(2,COLUMN())),OFFSET($K$2,0,0,ROW()-1,5),ROW()-1,FALSE))</f>
        <v/>
      </c>
      <c r="G853">
        <f ca="1">IF(AND(ISNUMBER($G$1939),$B$1132=1),$G$1939,HLOOKUP(INDIRECT(ADDRESS(2,COLUMN())),OFFSET($K$2,0,0,ROW()-1,5),ROW()-1,FALSE))</f>
        <v>4.5853100590000002</v>
      </c>
      <c r="H853">
        <f ca="1">IF(AND(ISNUMBER($H$1939),$B$1132=1),$H$1939,HLOOKUP(INDIRECT(ADDRESS(2,COLUMN())),OFFSET($K$2,0,0,ROW()-1,5),ROW()-1,FALSE))</f>
        <v>4.5323598629999999</v>
      </c>
      <c r="I853">
        <f ca="1">IF(AND(ISNUMBER($I$1939),$B$1132=1),$I$1939,HLOOKUP(INDIRECT(ADDRESS(2,COLUMN())),OFFSET($K$2,0,0,ROW()-1,5),ROW()-1,FALSE))</f>
        <v>4.3937597659999996</v>
      </c>
      <c r="J853">
        <f ca="1">IF(AND(ISNUMBER($J$1939),$B$1132=1),$J$1939,HLOOKUP(INDIRECT(ADDRESS(2,COLUMN())),OFFSET($K$2,0,0,ROW()-1,5),ROW()-1,FALSE))</f>
        <v>4.6880498050000003</v>
      </c>
      <c r="K853" t="str">
        <f>""</f>
        <v/>
      </c>
      <c r="L853">
        <f>4.585310059</f>
        <v>4.5853100590000002</v>
      </c>
      <c r="M853">
        <f>4.532359863</f>
        <v>4.5323598629999999</v>
      </c>
      <c r="N853">
        <f>4.393759766</f>
        <v>4.3937597659999996</v>
      </c>
      <c r="O853">
        <f>4.688049805</f>
        <v>4.6880498050000003</v>
      </c>
    </row>
    <row r="854" spans="1:15" x14ac:dyDescent="0.25">
      <c r="A854" t="str">
        <f>"                    First Quantum Minerals Ltd"</f>
        <v xml:space="preserve">                    First Quantum Minerals Ltd</v>
      </c>
      <c r="B854" t="str">
        <f>"FM CN Equity"</f>
        <v>FM CN Equity</v>
      </c>
      <c r="C854" t="str">
        <f t="shared" si="90"/>
        <v>F0946</v>
      </c>
      <c r="D854" t="str">
        <f t="shared" si="91"/>
        <v>TOTAL_GHG_CO2_EMISSIONS</v>
      </c>
      <c r="E854" t="str">
        <f t="shared" si="92"/>
        <v>Dynamic</v>
      </c>
      <c r="F854">
        <f ca="1">IF(AND(ISNUMBER($F$1940),$B$1132=1),$F$1940,HLOOKUP(INDIRECT(ADDRESS(2,COLUMN())),OFFSET($K$2,0,0,ROW()-1,5),ROW()-1,FALSE))</f>
        <v>4.3760000000000003</v>
      </c>
      <c r="G854">
        <f ca="1">IF(AND(ISNUMBER($G$1940),$B$1132=1),$G$1940,HLOOKUP(INDIRECT(ADDRESS(2,COLUMN())),OFFSET($K$2,0,0,ROW()-1,5),ROW()-1,FALSE))</f>
        <v>4.4400000000000004</v>
      </c>
      <c r="H854">
        <f ca="1">IF(AND(ISNUMBER($H$1940),$B$1132=1),$H$1940,HLOOKUP(INDIRECT(ADDRESS(2,COLUMN())),OFFSET($K$2,0,0,ROW()-1,5),ROW()-1,FALSE))</f>
        <v>4.2590000000000003</v>
      </c>
      <c r="I854">
        <f ca="1">IF(AND(ISNUMBER($I$1940),$B$1132=1),$I$1940,HLOOKUP(INDIRECT(ADDRESS(2,COLUMN())),OFFSET($K$2,0,0,ROW()-1,5),ROW()-1,FALSE))</f>
        <v>3.6960000000000002</v>
      </c>
      <c r="J854">
        <f ca="1">IF(AND(ISNUMBER($J$1940),$B$1132=1),$J$1940,HLOOKUP(INDIRECT(ADDRESS(2,COLUMN())),OFFSET($K$2,0,0,ROW()-1,5),ROW()-1,FALSE))</f>
        <v>2.0750000000000002</v>
      </c>
      <c r="K854">
        <f>4.376</f>
        <v>4.3760000000000003</v>
      </c>
      <c r="L854">
        <f>4.44</f>
        <v>4.4400000000000004</v>
      </c>
      <c r="M854">
        <f>4.259</f>
        <v>4.2590000000000003</v>
      </c>
      <c r="N854">
        <f>3.696</f>
        <v>3.6960000000000002</v>
      </c>
      <c r="O854">
        <f>2.075</f>
        <v>2.0750000000000002</v>
      </c>
    </row>
    <row r="855" spans="1:15" x14ac:dyDescent="0.25">
      <c r="A855" t="str">
        <f>"                    Freeport-McMoRan Inc"</f>
        <v xml:space="preserve">                    Freeport-McMoRan Inc</v>
      </c>
      <c r="B855" t="str">
        <f>"FCX US Equity"</f>
        <v>FCX US Equity</v>
      </c>
      <c r="C855" t="str">
        <f t="shared" si="90"/>
        <v>F0946</v>
      </c>
      <c r="D855" t="str">
        <f t="shared" si="91"/>
        <v>TOTAL_GHG_CO2_EMISSIONS</v>
      </c>
      <c r="E855" t="str">
        <f t="shared" si="92"/>
        <v>Dynamic</v>
      </c>
      <c r="F855">
        <f ca="1">IF(AND(ISNUMBER($F$1941),$B$1132=1),$F$1941,HLOOKUP(INDIRECT(ADDRESS(2,COLUMN())),OFFSET($K$2,0,0,ROW()-1,5),ROW()-1,FALSE))</f>
        <v>7.6852900389999999</v>
      </c>
      <c r="G855">
        <f ca="1">IF(AND(ISNUMBER($G$1941),$B$1132=1),$G$1941,HLOOKUP(INDIRECT(ADDRESS(2,COLUMN())),OFFSET($K$2,0,0,ROW()-1,5),ROW()-1,FALSE))</f>
        <v>7.4476201169999996</v>
      </c>
      <c r="H855" t="str">
        <f ca="1">IF(AND(ISNUMBER($H$1941),$B$1132=1),$H$1941,HLOOKUP(INDIRECT(ADDRESS(2,COLUMN())),OFFSET($K$2,0,0,ROW()-1,5),ROW()-1,FALSE))</f>
        <v/>
      </c>
      <c r="I855" t="str">
        <f ca="1">IF(AND(ISNUMBER($I$1941),$B$1132=1),$I$1941,HLOOKUP(INDIRECT(ADDRESS(2,COLUMN())),OFFSET($K$2,0,0,ROW()-1,5),ROW()-1,FALSE))</f>
        <v/>
      </c>
      <c r="J855" t="str">
        <f ca="1">IF(AND(ISNUMBER($J$1941),$B$1132=1),$J$1941,HLOOKUP(INDIRECT(ADDRESS(2,COLUMN())),OFFSET($K$2,0,0,ROW()-1,5),ROW()-1,FALSE))</f>
        <v/>
      </c>
      <c r="K855">
        <f>7.685290039</f>
        <v>7.6852900389999999</v>
      </c>
      <c r="L855">
        <f>7.447620117</f>
        <v>7.4476201169999996</v>
      </c>
      <c r="M855" t="str">
        <f>""</f>
        <v/>
      </c>
      <c r="N855" t="str">
        <f>""</f>
        <v/>
      </c>
      <c r="O855" t="str">
        <f>""</f>
        <v/>
      </c>
    </row>
    <row r="856" spans="1:15" x14ac:dyDescent="0.25">
      <c r="A856" t="str">
        <f>"                    Glencore PLC"</f>
        <v xml:space="preserve">                    Glencore PLC</v>
      </c>
      <c r="B856" t="str">
        <f>"GLEN LN Equity"</f>
        <v>GLEN LN Equity</v>
      </c>
      <c r="C856" t="str">
        <f t="shared" si="90"/>
        <v>F0946</v>
      </c>
      <c r="D856" t="str">
        <f t="shared" si="91"/>
        <v>TOTAL_GHG_CO2_EMISSIONS</v>
      </c>
      <c r="E856" t="str">
        <f t="shared" si="92"/>
        <v>Dynamic</v>
      </c>
      <c r="F856">
        <f ca="1">IF(AND(ISNUMBER($F$1942),$B$1132=1),$F$1942,HLOOKUP(INDIRECT(ADDRESS(2,COLUMN())),OFFSET($K$2,0,0,ROW()-1,5),ROW()-1,FALSE))</f>
        <v>27.04</v>
      </c>
      <c r="G856">
        <f ca="1">IF(AND(ISNUMBER($G$1942),$B$1132=1),$G$1942,HLOOKUP(INDIRECT(ADDRESS(2,COLUMN())),OFFSET($K$2,0,0,ROW()-1,5),ROW()-1,FALSE))</f>
        <v>25.7</v>
      </c>
      <c r="H856">
        <f ca="1">IF(AND(ISNUMBER($H$1942),$B$1132=1),$H$1942,HLOOKUP(INDIRECT(ADDRESS(2,COLUMN())),OFFSET($K$2,0,0,ROW()-1,5),ROW()-1,FALSE))</f>
        <v>24.344000000000001</v>
      </c>
      <c r="I856">
        <f ca="1">IF(AND(ISNUMBER($I$1942),$B$1132=1),$I$1942,HLOOKUP(INDIRECT(ADDRESS(2,COLUMN())),OFFSET($K$2,0,0,ROW()-1,5),ROW()-1,FALSE))</f>
        <v>29.238</v>
      </c>
      <c r="J856">
        <f ca="1">IF(AND(ISNUMBER($J$1942),$B$1132=1),$J$1942,HLOOKUP(INDIRECT(ADDRESS(2,COLUMN())),OFFSET($K$2,0,0,ROW()-1,5),ROW()-1,FALSE))</f>
        <v>30.297999999999998</v>
      </c>
      <c r="K856">
        <f>27.04</f>
        <v>27.04</v>
      </c>
      <c r="L856">
        <f>25.7</f>
        <v>25.7</v>
      </c>
      <c r="M856">
        <f>24.344</f>
        <v>24.344000000000001</v>
      </c>
      <c r="N856">
        <f>29.238</f>
        <v>29.238</v>
      </c>
      <c r="O856">
        <f>30.298</f>
        <v>30.297999999999998</v>
      </c>
    </row>
    <row r="857" spans="1:15" x14ac:dyDescent="0.25">
      <c r="A857" t="str">
        <f>"                    Grupo Mexico SAB de CV"</f>
        <v xml:space="preserve">                    Grupo Mexico SAB de CV</v>
      </c>
      <c r="B857" t="str">
        <f>"GMEXICOB MM Equity"</f>
        <v>GMEXICOB MM Equity</v>
      </c>
      <c r="C857" t="str">
        <f t="shared" si="90"/>
        <v>F0946</v>
      </c>
      <c r="D857" t="str">
        <f t="shared" si="91"/>
        <v>TOTAL_GHG_CO2_EMISSIONS</v>
      </c>
      <c r="E857" t="str">
        <f t="shared" si="92"/>
        <v>Dynamic</v>
      </c>
      <c r="F857" t="str">
        <f ca="1">IF(AND(ISNUMBER($F$1943),$B$1132=1),$F$1943,HLOOKUP(INDIRECT(ADDRESS(2,COLUMN())),OFFSET($K$2,0,0,ROW()-1,5),ROW()-1,FALSE))</f>
        <v/>
      </c>
      <c r="G857">
        <f ca="1">IF(AND(ISNUMBER($G$1943),$B$1132=1),$G$1943,HLOOKUP(INDIRECT(ADDRESS(2,COLUMN())),OFFSET($K$2,0,0,ROW()-1,5),ROW()-1,FALSE))</f>
        <v>5.7629999999999999</v>
      </c>
      <c r="H857">
        <f ca="1">IF(AND(ISNUMBER($H$1943),$B$1132=1),$H$1943,HLOOKUP(INDIRECT(ADDRESS(2,COLUMN())),OFFSET($K$2,0,0,ROW()-1,5),ROW()-1,FALSE))</f>
        <v>5.81</v>
      </c>
      <c r="I857">
        <f ca="1">IF(AND(ISNUMBER($I$1943),$B$1132=1),$I$1943,HLOOKUP(INDIRECT(ADDRESS(2,COLUMN())),OFFSET($K$2,0,0,ROW()-1,5),ROW()-1,FALSE))</f>
        <v>6.37</v>
      </c>
      <c r="J857">
        <f ca="1">IF(AND(ISNUMBER($J$1943),$B$1132=1),$J$1943,HLOOKUP(INDIRECT(ADDRESS(2,COLUMN())),OFFSET($K$2,0,0,ROW()-1,5),ROW()-1,FALSE))</f>
        <v>7.8908999020000001</v>
      </c>
      <c r="K857" t="str">
        <f>""</f>
        <v/>
      </c>
      <c r="L857">
        <f>5.763</f>
        <v>5.7629999999999999</v>
      </c>
      <c r="M857">
        <f>5.81</f>
        <v>5.81</v>
      </c>
      <c r="N857">
        <f>6.37</f>
        <v>6.37</v>
      </c>
      <c r="O857">
        <f>7.890899902</f>
        <v>7.8908999020000001</v>
      </c>
    </row>
    <row r="858" spans="1:15" x14ac:dyDescent="0.25">
      <c r="A858" t="str">
        <f>"                    Hindustan Copper Ltd"</f>
        <v xml:space="preserve">                    Hindustan Copper Ltd</v>
      </c>
      <c r="B858" t="str">
        <f>"HCP IN Equity"</f>
        <v>HCP IN Equity</v>
      </c>
      <c r="C858" t="str">
        <f t="shared" si="90"/>
        <v>F0946</v>
      </c>
      <c r="D858" t="str">
        <f t="shared" si="91"/>
        <v>TOTAL_GHG_CO2_EMISSIONS</v>
      </c>
      <c r="E858" t="str">
        <f t="shared" si="92"/>
        <v>Dynamic</v>
      </c>
      <c r="F858" t="str">
        <f ca="1">IF(AND(ISNUMBER($F$1944),$B$1132=1),$F$1944,HLOOKUP(INDIRECT(ADDRESS(2,COLUMN())),OFFSET($K$2,0,0,ROW()-1,5),ROW()-1,FALSE))</f>
        <v/>
      </c>
      <c r="G858" t="str">
        <f ca="1">IF(AND(ISNUMBER($G$1944),$B$1132=1),$G$1944,HLOOKUP(INDIRECT(ADDRESS(2,COLUMN())),OFFSET($K$2,0,0,ROW()-1,5),ROW()-1,FALSE))</f>
        <v/>
      </c>
      <c r="H858" t="str">
        <f ca="1">IF(AND(ISNUMBER($H$1944),$B$1132=1),$H$1944,HLOOKUP(INDIRECT(ADDRESS(2,COLUMN())),OFFSET($K$2,0,0,ROW()-1,5),ROW()-1,FALSE))</f>
        <v/>
      </c>
      <c r="I858" t="str">
        <f ca="1">IF(AND(ISNUMBER($I$1944),$B$1132=1),$I$1944,HLOOKUP(INDIRECT(ADDRESS(2,COLUMN())),OFFSET($K$2,0,0,ROW()-1,5),ROW()-1,FALSE))</f>
        <v/>
      </c>
      <c r="J858" t="str">
        <f ca="1">IF(AND(ISNUMBER($J$1944),$B$1132=1),$J$1944,HLOOKUP(INDIRECT(ADDRESS(2,COLUMN())),OFFSET($K$2,0,0,ROW()-1,5),ROW()-1,FALSE))</f>
        <v/>
      </c>
      <c r="K858" t="str">
        <f>""</f>
        <v/>
      </c>
      <c r="L858" t="str">
        <f>""</f>
        <v/>
      </c>
      <c r="M858" t="str">
        <f>""</f>
        <v/>
      </c>
      <c r="N858" t="str">
        <f>""</f>
        <v/>
      </c>
      <c r="O858" t="str">
        <f>""</f>
        <v/>
      </c>
    </row>
    <row r="859" spans="1:15" x14ac:dyDescent="0.25">
      <c r="A859" t="str">
        <f>"                    Hudbay Minerals Inc"</f>
        <v xml:space="preserve">                    Hudbay Minerals Inc</v>
      </c>
      <c r="B859" t="str">
        <f>"HBM CN Equity"</f>
        <v>HBM CN Equity</v>
      </c>
      <c r="C859" t="str">
        <f t="shared" si="90"/>
        <v>F0946</v>
      </c>
      <c r="D859" t="str">
        <f t="shared" si="91"/>
        <v>TOTAL_GHG_CO2_EMISSIONS</v>
      </c>
      <c r="E859" t="str">
        <f t="shared" si="92"/>
        <v>Dynamic</v>
      </c>
      <c r="F859" t="str">
        <f ca="1">IF(AND(ISNUMBER($F$1945),$B$1132=1),$F$1945,HLOOKUP(INDIRECT(ADDRESS(2,COLUMN())),OFFSET($K$2,0,0,ROW()-1,5),ROW()-1,FALSE))</f>
        <v/>
      </c>
      <c r="G859">
        <f ca="1">IF(AND(ISNUMBER($G$1945),$B$1132=1),$G$1945,HLOOKUP(INDIRECT(ADDRESS(2,COLUMN())),OFFSET($K$2,0,0,ROW()-1,5),ROW()-1,FALSE))</f>
        <v>0.30435000600000001</v>
      </c>
      <c r="H859">
        <f ca="1">IF(AND(ISNUMBER($H$1945),$B$1132=1),$H$1945,HLOOKUP(INDIRECT(ADDRESS(2,COLUMN())),OFFSET($K$2,0,0,ROW()-1,5),ROW()-1,FALSE))</f>
        <v>0.51100000000000001</v>
      </c>
      <c r="I859">
        <f ca="1">IF(AND(ISNUMBER($I$1945),$B$1132=1),$I$1945,HLOOKUP(INDIRECT(ADDRESS(2,COLUMN())),OFFSET($K$2,0,0,ROW()-1,5),ROW()-1,FALSE))</f>
        <v>0.56278002900000001</v>
      </c>
      <c r="J859">
        <f ca="1">IF(AND(ISNUMBER($J$1945),$B$1132=1),$J$1945,HLOOKUP(INDIRECT(ADDRESS(2,COLUMN())),OFFSET($K$2,0,0,ROW()-1,5),ROW()-1,FALSE))</f>
        <v>0.57328997800000003</v>
      </c>
      <c r="K859" t="str">
        <f>""</f>
        <v/>
      </c>
      <c r="L859">
        <f>0.304350006</f>
        <v>0.30435000600000001</v>
      </c>
      <c r="M859">
        <f>0.511</f>
        <v>0.51100000000000001</v>
      </c>
      <c r="N859">
        <f>0.562780029</f>
        <v>0.56278002900000001</v>
      </c>
      <c r="O859">
        <f>0.573289978</f>
        <v>0.57328997800000003</v>
      </c>
    </row>
    <row r="860" spans="1:15" x14ac:dyDescent="0.25">
      <c r="A860" t="str">
        <f>"                    Industrias Penoles SAB de CV"</f>
        <v xml:space="preserve">                    Industrias Penoles SAB de CV</v>
      </c>
      <c r="B860" t="str">
        <f>"PE&amp;OLES* MM Equity"</f>
        <v>PE&amp;OLES* MM Equity</v>
      </c>
      <c r="C860" t="str">
        <f t="shared" si="90"/>
        <v>F0946</v>
      </c>
      <c r="D860" t="str">
        <f t="shared" si="91"/>
        <v>TOTAL_GHG_CO2_EMISSIONS</v>
      </c>
      <c r="E860" t="str">
        <f t="shared" si="92"/>
        <v>Dynamic</v>
      </c>
      <c r="F860" t="str">
        <f ca="1">IF(AND(ISNUMBER($F$1946),$B$1132=1),$F$1946,HLOOKUP(INDIRECT(ADDRESS(2,COLUMN())),OFFSET($K$2,0,0,ROW()-1,5),ROW()-1,FALSE))</f>
        <v/>
      </c>
      <c r="G860">
        <f ca="1">IF(AND(ISNUMBER($G$1946),$B$1132=1),$G$1946,HLOOKUP(INDIRECT(ADDRESS(2,COLUMN())),OFFSET($K$2,0,0,ROW()-1,5),ROW()-1,FALSE))</f>
        <v>2.1336799320000002</v>
      </c>
      <c r="H860">
        <f ca="1">IF(AND(ISNUMBER($H$1946),$B$1132=1),$H$1946,HLOOKUP(INDIRECT(ADDRESS(2,COLUMN())),OFFSET($K$2,0,0,ROW()-1,5),ROW()-1,FALSE))</f>
        <v>2.2286101070000002</v>
      </c>
      <c r="I860">
        <f ca="1">IF(AND(ISNUMBER($I$1946),$B$1132=1),$I$1946,HLOOKUP(INDIRECT(ADDRESS(2,COLUMN())),OFFSET($K$2,0,0,ROW()-1,5),ROW()-1,FALSE))</f>
        <v>2.46473999</v>
      </c>
      <c r="J860">
        <f ca="1">IF(AND(ISNUMBER($J$1946),$B$1132=1),$J$1946,HLOOKUP(INDIRECT(ADDRESS(2,COLUMN())),OFFSET($K$2,0,0,ROW()-1,5),ROW()-1,FALSE))</f>
        <v>2.889639893</v>
      </c>
      <c r="K860" t="str">
        <f>""</f>
        <v/>
      </c>
      <c r="L860">
        <f>2.133679932</f>
        <v>2.1336799320000002</v>
      </c>
      <c r="M860">
        <f>2.228610107</f>
        <v>2.2286101070000002</v>
      </c>
      <c r="N860">
        <f>2.46473999</f>
        <v>2.46473999</v>
      </c>
      <c r="O860">
        <f>2.889639893</f>
        <v>2.889639893</v>
      </c>
    </row>
    <row r="861" spans="1:15" x14ac:dyDescent="0.25">
      <c r="A861" t="str">
        <f>"                    Jiangxi Copper Co Ltd"</f>
        <v xml:space="preserve">                    Jiangxi Copper Co Ltd</v>
      </c>
      <c r="B861" t="str">
        <f>"358 HK Equity"</f>
        <v>358 HK Equity</v>
      </c>
      <c r="C861" t="str">
        <f t="shared" si="90"/>
        <v>F0946</v>
      </c>
      <c r="D861" t="str">
        <f t="shared" si="91"/>
        <v>TOTAL_GHG_CO2_EMISSIONS</v>
      </c>
      <c r="E861" t="str">
        <f t="shared" si="92"/>
        <v>Dynamic</v>
      </c>
      <c r="F861">
        <f ca="1">IF(AND(ISNUMBER($F$1947),$B$1132=1),$F$1947,HLOOKUP(INDIRECT(ADDRESS(2,COLUMN())),OFFSET($K$2,0,0,ROW()-1,5),ROW()-1,FALSE))</f>
        <v>2.1226000979999999</v>
      </c>
      <c r="G861">
        <f ca="1">IF(AND(ISNUMBER($G$1947),$B$1132=1),$G$1947,HLOOKUP(INDIRECT(ADDRESS(2,COLUMN())),OFFSET($K$2,0,0,ROW()-1,5),ROW()-1,FALSE))</f>
        <v>2.1696999510000001</v>
      </c>
      <c r="H861">
        <f ca="1">IF(AND(ISNUMBER($H$1947),$B$1132=1),$H$1947,HLOOKUP(INDIRECT(ADDRESS(2,COLUMN())),OFFSET($K$2,0,0,ROW()-1,5),ROW()-1,FALSE))</f>
        <v>2.20425</v>
      </c>
      <c r="I861">
        <f ca="1">IF(AND(ISNUMBER($I$1947),$B$1132=1),$I$1947,HLOOKUP(INDIRECT(ADDRESS(2,COLUMN())),OFFSET($K$2,0,0,ROW()-1,5),ROW()-1,FALSE))</f>
        <v>2.9758999020000001</v>
      </c>
      <c r="J861">
        <f ca="1">IF(AND(ISNUMBER($J$1947),$B$1132=1),$J$1947,HLOOKUP(INDIRECT(ADDRESS(2,COLUMN())),OFFSET($K$2,0,0,ROW()-1,5),ROW()-1,FALSE))</f>
        <v>2.0494699710000002</v>
      </c>
      <c r="K861">
        <f>2.122600098</f>
        <v>2.1226000979999999</v>
      </c>
      <c r="L861">
        <f>2.169699951</f>
        <v>2.1696999510000001</v>
      </c>
      <c r="M861">
        <f>2.20425</f>
        <v>2.20425</v>
      </c>
      <c r="N861">
        <f>2.975899902</f>
        <v>2.9758999020000001</v>
      </c>
      <c r="O861">
        <f>2.049469971</f>
        <v>2.0494699710000002</v>
      </c>
    </row>
    <row r="862" spans="1:15" x14ac:dyDescent="0.25">
      <c r="A862" t="str">
        <f>"                    KGHM Polska Miedz SA"</f>
        <v xml:space="preserve">                    KGHM Polska Miedz SA</v>
      </c>
      <c r="B862" t="str">
        <f>"KGH PW Equity"</f>
        <v>KGH PW Equity</v>
      </c>
      <c r="C862" t="str">
        <f t="shared" si="90"/>
        <v>F0946</v>
      </c>
      <c r="D862" t="str">
        <f t="shared" si="91"/>
        <v>TOTAL_GHG_CO2_EMISSIONS</v>
      </c>
      <c r="E862" t="str">
        <f t="shared" si="92"/>
        <v>Dynamic</v>
      </c>
      <c r="F862" t="str">
        <f ca="1">IF(AND(ISNUMBER($F$1948),$B$1132=1),$F$1948,HLOOKUP(INDIRECT(ADDRESS(2,COLUMN())),OFFSET($K$2,0,0,ROW()-1,5),ROW()-1,FALSE))</f>
        <v/>
      </c>
      <c r="G862">
        <f ca="1">IF(AND(ISNUMBER($G$1948),$B$1132=1),$G$1948,HLOOKUP(INDIRECT(ADDRESS(2,COLUMN())),OFFSET($K$2,0,0,ROW()-1,5),ROW()-1,FALSE))</f>
        <v>3.109620117</v>
      </c>
      <c r="H862">
        <f ca="1">IF(AND(ISNUMBER($H$1948),$B$1132=1),$H$1948,HLOOKUP(INDIRECT(ADDRESS(2,COLUMN())),OFFSET($K$2,0,0,ROW()-1,5),ROW()-1,FALSE))</f>
        <v>3.5923500979999998</v>
      </c>
      <c r="I862">
        <f ca="1">IF(AND(ISNUMBER($I$1948),$B$1132=1),$I$1948,HLOOKUP(INDIRECT(ADDRESS(2,COLUMN())),OFFSET($K$2,0,0,ROW()-1,5),ROW()-1,FALSE))</f>
        <v>3.6386799320000001</v>
      </c>
      <c r="J862">
        <f ca="1">IF(AND(ISNUMBER($J$1948),$B$1132=1),$J$1948,HLOOKUP(INDIRECT(ADDRESS(2,COLUMN())),OFFSET($K$2,0,0,ROW()-1,5),ROW()-1,FALSE))</f>
        <v>3.524050049</v>
      </c>
      <c r="K862" t="str">
        <f>""</f>
        <v/>
      </c>
      <c r="L862">
        <f>3.109620117</f>
        <v>3.109620117</v>
      </c>
      <c r="M862">
        <f>3.592350098</f>
        <v>3.5923500979999998</v>
      </c>
      <c r="N862">
        <f>3.638679932</f>
        <v>3.6386799320000001</v>
      </c>
      <c r="O862">
        <f>3.524050049</f>
        <v>3.524050049</v>
      </c>
    </row>
    <row r="863" spans="1:15" x14ac:dyDescent="0.25">
      <c r="A863" t="str">
        <f>"                    Lundin Mining Corp"</f>
        <v xml:space="preserve">                    Lundin Mining Corp</v>
      </c>
      <c r="B863" t="str">
        <f>"LUN CN Equity"</f>
        <v>LUN CN Equity</v>
      </c>
      <c r="C863" t="str">
        <f t="shared" si="90"/>
        <v>F0946</v>
      </c>
      <c r="D863" t="str">
        <f t="shared" si="91"/>
        <v>TOTAL_GHG_CO2_EMISSIONS</v>
      </c>
      <c r="E863" t="str">
        <f t="shared" si="92"/>
        <v>Dynamic</v>
      </c>
      <c r="F863" t="str">
        <f ca="1">IF(AND(ISNUMBER($F$1949),$B$1132=1),$F$1949,HLOOKUP(INDIRECT(ADDRESS(2,COLUMN())),OFFSET($K$2,0,0,ROW()-1,5),ROW()-1,FALSE))</f>
        <v/>
      </c>
      <c r="G863">
        <f ca="1">IF(AND(ISNUMBER($G$1949),$B$1132=1),$G$1949,HLOOKUP(INDIRECT(ADDRESS(2,COLUMN())),OFFSET($K$2,0,0,ROW()-1,5),ROW()-1,FALSE))</f>
        <v>0.95900701899999996</v>
      </c>
      <c r="H863">
        <f ca="1">IF(AND(ISNUMBER($H$1949),$B$1132=1),$H$1949,HLOOKUP(INDIRECT(ADDRESS(2,COLUMN())),OFFSET($K$2,0,0,ROW()-1,5),ROW()-1,FALSE))</f>
        <v>0.88566198699999998</v>
      </c>
      <c r="I863">
        <f ca="1">IF(AND(ISNUMBER($I$1949),$B$1132=1),$I$1949,HLOOKUP(INDIRECT(ADDRESS(2,COLUMN())),OFFSET($K$2,0,0,ROW()-1,5),ROW()-1,FALSE))</f>
        <v>0.94620300300000004</v>
      </c>
      <c r="J863">
        <f ca="1">IF(AND(ISNUMBER($J$1949),$B$1132=1),$J$1949,HLOOKUP(INDIRECT(ADDRESS(2,COLUMN())),OFFSET($K$2,0,0,ROW()-1,5),ROW()-1,FALSE))</f>
        <v>0.83992901600000003</v>
      </c>
      <c r="K863" t="str">
        <f>""</f>
        <v/>
      </c>
      <c r="L863">
        <f>0.959007019</f>
        <v>0.95900701899999996</v>
      </c>
      <c r="M863">
        <f>0.885661987</f>
        <v>0.88566198699999998</v>
      </c>
      <c r="N863">
        <f>0.946203003</f>
        <v>0.94620300300000004</v>
      </c>
      <c r="O863">
        <f>0.839929016</f>
        <v>0.83992901600000003</v>
      </c>
    </row>
    <row r="864" spans="1:15" x14ac:dyDescent="0.25">
      <c r="A864" t="str">
        <f>"                    MMC Norilsk Nickel PJSC"</f>
        <v xml:space="preserve">                    MMC Norilsk Nickel PJSC</v>
      </c>
      <c r="B864" t="str">
        <f>"GMKN RM Equity"</f>
        <v>GMKN RM Equity</v>
      </c>
      <c r="C864" t="str">
        <f t="shared" si="90"/>
        <v>F0946</v>
      </c>
      <c r="D864" t="str">
        <f t="shared" si="91"/>
        <v>TOTAL_GHG_CO2_EMISSIONS</v>
      </c>
      <c r="E864" t="str">
        <f t="shared" si="92"/>
        <v>Dynamic</v>
      </c>
      <c r="F864" t="str">
        <f ca="1">IF(AND(ISNUMBER($F$1950),$B$1132=1),$F$1950,HLOOKUP(INDIRECT(ADDRESS(2,COLUMN())),OFFSET($K$2,0,0,ROW()-1,5),ROW()-1,FALSE))</f>
        <v/>
      </c>
      <c r="G864">
        <f ca="1">IF(AND(ISNUMBER($G$1950),$B$1132=1),$G$1950,HLOOKUP(INDIRECT(ADDRESS(2,COLUMN())),OFFSET($K$2,0,0,ROW()-1,5),ROW()-1,FALSE))</f>
        <v>10.31</v>
      </c>
      <c r="H864">
        <f ca="1">IF(AND(ISNUMBER($H$1950),$B$1132=1),$H$1950,HLOOKUP(INDIRECT(ADDRESS(2,COLUMN())),OFFSET($K$2,0,0,ROW()-1,5),ROW()-1,FALSE))</f>
        <v>9.6985996090000004</v>
      </c>
      <c r="I864">
        <f ca="1">IF(AND(ISNUMBER($I$1950),$B$1132=1),$I$1950,HLOOKUP(INDIRECT(ADDRESS(2,COLUMN())),OFFSET($K$2,0,0,ROW()-1,5),ROW()-1,FALSE))</f>
        <v>9.9</v>
      </c>
      <c r="J864">
        <f ca="1">IF(AND(ISNUMBER($J$1950),$B$1132=1),$J$1950,HLOOKUP(INDIRECT(ADDRESS(2,COLUMN())),OFFSET($K$2,0,0,ROW()-1,5),ROW()-1,FALSE))</f>
        <v>10</v>
      </c>
      <c r="K864" t="str">
        <f>""</f>
        <v/>
      </c>
      <c r="L864">
        <f>10.31</f>
        <v>10.31</v>
      </c>
      <c r="M864">
        <f>9.698599609</f>
        <v>9.6985996090000004</v>
      </c>
      <c r="N864">
        <f>9.9</f>
        <v>9.9</v>
      </c>
      <c r="O864">
        <f>10</f>
        <v>10</v>
      </c>
    </row>
    <row r="865" spans="1:15" x14ac:dyDescent="0.25">
      <c r="A865" t="str">
        <f>"                    Newcrest Mining Ltd"</f>
        <v xml:space="preserve">                    Newcrest Mining Ltd</v>
      </c>
      <c r="B865" t="str">
        <f>"NCM AU Equity"</f>
        <v>NCM AU Equity</v>
      </c>
      <c r="C865" t="str">
        <f t="shared" si="90"/>
        <v>F0946</v>
      </c>
      <c r="D865" t="str">
        <f t="shared" si="91"/>
        <v>TOTAL_GHG_CO2_EMISSIONS</v>
      </c>
      <c r="E865" t="str">
        <f t="shared" si="92"/>
        <v>Dynamic</v>
      </c>
      <c r="F865" t="str">
        <f ca="1">IF(AND(ISNUMBER($F$1951),$B$1132=1),$F$1951,HLOOKUP(INDIRECT(ADDRESS(2,COLUMN())),OFFSET($K$2,0,0,ROW()-1,5),ROW()-1,FALSE))</f>
        <v/>
      </c>
      <c r="G865">
        <f ca="1">IF(AND(ISNUMBER($G$1951),$B$1132=1),$G$1951,HLOOKUP(INDIRECT(ADDRESS(2,COLUMN())),OFFSET($K$2,0,0,ROW()-1,5),ROW()-1,FALSE))</f>
        <v>2.24127002</v>
      </c>
      <c r="H865">
        <f ca="1">IF(AND(ISNUMBER($H$1951),$B$1132=1),$H$1951,HLOOKUP(INDIRECT(ADDRESS(2,COLUMN())),OFFSET($K$2,0,0,ROW()-1,5),ROW()-1,FALSE))</f>
        <v>2.3384599609999999</v>
      </c>
      <c r="I865">
        <f ca="1">IF(AND(ISNUMBER($I$1951),$B$1132=1),$I$1951,HLOOKUP(INDIRECT(ADDRESS(2,COLUMN())),OFFSET($K$2,0,0,ROW()-1,5),ROW()-1,FALSE))</f>
        <v>2.2735500489999998</v>
      </c>
      <c r="J865">
        <f ca="1">IF(AND(ISNUMBER($J$1951),$B$1132=1),$J$1951,HLOOKUP(INDIRECT(ADDRESS(2,COLUMN())),OFFSET($K$2,0,0,ROW()-1,5),ROW()-1,FALSE))</f>
        <v>2.2787600100000001</v>
      </c>
      <c r="K865" t="str">
        <f>""</f>
        <v/>
      </c>
      <c r="L865">
        <f>2.24127002</f>
        <v>2.24127002</v>
      </c>
      <c r="M865">
        <f>2.338459961</f>
        <v>2.3384599609999999</v>
      </c>
      <c r="N865">
        <f>2.273550049</f>
        <v>2.2735500489999998</v>
      </c>
      <c r="O865">
        <f>2.27876001</f>
        <v>2.2787600100000001</v>
      </c>
    </row>
    <row r="866" spans="1:15" x14ac:dyDescent="0.25">
      <c r="A866" t="str">
        <f>"                    OZ Minerals Ltd"</f>
        <v xml:space="preserve">                    OZ Minerals Ltd</v>
      </c>
      <c r="B866" t="str">
        <f>"OZL AU Equity"</f>
        <v>OZL AU Equity</v>
      </c>
      <c r="C866" t="str">
        <f t="shared" si="90"/>
        <v>F0946</v>
      </c>
      <c r="D866" t="str">
        <f t="shared" si="91"/>
        <v>TOTAL_GHG_CO2_EMISSIONS</v>
      </c>
      <c r="E866" t="str">
        <f t="shared" si="92"/>
        <v>Dynamic</v>
      </c>
      <c r="F866">
        <f ca="1">IF(AND(ISNUMBER($F$1952),$B$1132=1),$F$1952,HLOOKUP(INDIRECT(ADDRESS(2,COLUMN())),OFFSET($K$2,0,0,ROW()-1,5),ROW()-1,FALSE))</f>
        <v>0.326037994</v>
      </c>
      <c r="G866">
        <f ca="1">IF(AND(ISNUMBER($G$1952),$B$1132=1),$G$1952,HLOOKUP(INDIRECT(ADDRESS(2,COLUMN())),OFFSET($K$2,0,0,ROW()-1,5),ROW()-1,FALSE))</f>
        <v>0.34462200900000001</v>
      </c>
      <c r="H866">
        <f ca="1">IF(AND(ISNUMBER($H$1952),$B$1132=1),$H$1952,HLOOKUP(INDIRECT(ADDRESS(2,COLUMN())),OFFSET($K$2,0,0,ROW()-1,5),ROW()-1,FALSE))</f>
        <v>0.27788900799999999</v>
      </c>
      <c r="I866">
        <f ca="1">IF(AND(ISNUMBER($I$1952),$B$1132=1),$I$1952,HLOOKUP(INDIRECT(ADDRESS(2,COLUMN())),OFFSET($K$2,0,0,ROW()-1,5),ROW()-1,FALSE))</f>
        <v>0.25389799499999999</v>
      </c>
      <c r="J866">
        <f ca="1">IF(AND(ISNUMBER($J$1952),$B$1132=1),$J$1952,HLOOKUP(INDIRECT(ADDRESS(2,COLUMN())),OFFSET($K$2,0,0,ROW()-1,5),ROW()-1,FALSE))</f>
        <v>0.25323800699999999</v>
      </c>
      <c r="K866">
        <f>0.326037994</f>
        <v>0.326037994</v>
      </c>
      <c r="L866">
        <f>0.344622009</f>
        <v>0.34462200900000001</v>
      </c>
      <c r="M866">
        <f>0.277889008</f>
        <v>0.27788900799999999</v>
      </c>
      <c r="N866">
        <f>0.253897995</f>
        <v>0.25389799499999999</v>
      </c>
      <c r="O866">
        <f>0.253238007</f>
        <v>0.25323800699999999</v>
      </c>
    </row>
    <row r="867" spans="1:15" x14ac:dyDescent="0.25">
      <c r="A867" t="str">
        <f>"                    Philex Mining Corp"</f>
        <v xml:space="preserve">                    Philex Mining Corp</v>
      </c>
      <c r="B867" t="str">
        <f>"PX PM Equity"</f>
        <v>PX PM Equity</v>
      </c>
      <c r="C867" t="str">
        <f t="shared" si="90"/>
        <v>F0946</v>
      </c>
      <c r="D867" t="str">
        <f t="shared" si="91"/>
        <v>TOTAL_GHG_CO2_EMISSIONS</v>
      </c>
      <c r="E867" t="str">
        <f t="shared" si="92"/>
        <v>Dynamic</v>
      </c>
      <c r="F867" t="str">
        <f ca="1">IF(AND(ISNUMBER($F$1953),$B$1132=1),$F$1953,HLOOKUP(INDIRECT(ADDRESS(2,COLUMN())),OFFSET($K$2,0,0,ROW()-1,5),ROW()-1,FALSE))</f>
        <v/>
      </c>
      <c r="G867" t="str">
        <f ca="1">IF(AND(ISNUMBER($G$1953),$B$1132=1),$G$1953,HLOOKUP(INDIRECT(ADDRESS(2,COLUMN())),OFFSET($K$2,0,0,ROW()-1,5),ROW()-1,FALSE))</f>
        <v/>
      </c>
      <c r="H867" t="str">
        <f ca="1">IF(AND(ISNUMBER($H$1953),$B$1132=1),$H$1953,HLOOKUP(INDIRECT(ADDRESS(2,COLUMN())),OFFSET($K$2,0,0,ROW()-1,5),ROW()-1,FALSE))</f>
        <v/>
      </c>
      <c r="I867" t="str">
        <f ca="1">IF(AND(ISNUMBER($I$1953),$B$1132=1),$I$1953,HLOOKUP(INDIRECT(ADDRESS(2,COLUMN())),OFFSET($K$2,0,0,ROW()-1,5),ROW()-1,FALSE))</f>
        <v/>
      </c>
      <c r="J867" t="str">
        <f ca="1">IF(AND(ISNUMBER($J$1953),$B$1132=1),$J$1953,HLOOKUP(INDIRECT(ADDRESS(2,COLUMN())),OFFSET($K$2,0,0,ROW()-1,5),ROW()-1,FALSE))</f>
        <v/>
      </c>
      <c r="K867" t="str">
        <f>""</f>
        <v/>
      </c>
      <c r="L867" t="str">
        <f>""</f>
        <v/>
      </c>
      <c r="M867" t="str">
        <f>""</f>
        <v/>
      </c>
      <c r="N867" t="str">
        <f>""</f>
        <v/>
      </c>
      <c r="O867" t="str">
        <f>""</f>
        <v/>
      </c>
    </row>
    <row r="868" spans="1:15" x14ac:dyDescent="0.25">
      <c r="A868" t="str">
        <f>"                    Rio Tinto PLC"</f>
        <v xml:space="preserve">                    Rio Tinto PLC</v>
      </c>
      <c r="B868" t="str">
        <f>"RIO LN Equity"</f>
        <v>RIO LN Equity</v>
      </c>
      <c r="C868" t="str">
        <f t="shared" si="90"/>
        <v>F0946</v>
      </c>
      <c r="D868" t="str">
        <f t="shared" si="91"/>
        <v>TOTAL_GHG_CO2_EMISSIONS</v>
      </c>
      <c r="E868" t="str">
        <f t="shared" si="92"/>
        <v>Dynamic</v>
      </c>
      <c r="F868">
        <f ca="1">IF(AND(ISNUMBER($F$1954),$B$1132=1),$F$1954,HLOOKUP(INDIRECT(ADDRESS(2,COLUMN())),OFFSET($K$2,0,0,ROW()-1,5),ROW()-1,FALSE))</f>
        <v>30.3</v>
      </c>
      <c r="G868">
        <f ca="1">IF(AND(ISNUMBER($G$1954),$B$1132=1),$G$1954,HLOOKUP(INDIRECT(ADDRESS(2,COLUMN())),OFFSET($K$2,0,0,ROW()-1,5),ROW()-1,FALSE))</f>
        <v>30</v>
      </c>
      <c r="H868">
        <f ca="1">IF(AND(ISNUMBER($H$1954),$B$1132=1),$H$1954,HLOOKUP(INDIRECT(ADDRESS(2,COLUMN())),OFFSET($K$2,0,0,ROW()-1,5),ROW()-1,FALSE))</f>
        <v>24.911999999999999</v>
      </c>
      <c r="I868">
        <f ca="1">IF(AND(ISNUMBER($I$1954),$B$1132=1),$I$1954,HLOOKUP(INDIRECT(ADDRESS(2,COLUMN())),OFFSET($K$2,0,0,ROW()-1,5),ROW()-1,FALSE))</f>
        <v>24.8</v>
      </c>
      <c r="J868">
        <f ca="1">IF(AND(ISNUMBER($J$1954),$B$1132=1),$J$1954,HLOOKUP(INDIRECT(ADDRESS(2,COLUMN())),OFFSET($K$2,0,0,ROW()-1,5),ROW()-1,FALSE))</f>
        <v>25.5</v>
      </c>
      <c r="K868">
        <f>30.3</f>
        <v>30.3</v>
      </c>
      <c r="L868">
        <f>30</f>
        <v>30</v>
      </c>
      <c r="M868">
        <f>24.912</f>
        <v>24.911999999999999</v>
      </c>
      <c r="N868">
        <f>24.8</f>
        <v>24.8</v>
      </c>
      <c r="O868">
        <f>25.5</f>
        <v>25.5</v>
      </c>
    </row>
    <row r="869" spans="1:15" x14ac:dyDescent="0.25">
      <c r="A869" t="str">
        <f>"                    Southern Copper Corp"</f>
        <v xml:space="preserve">                    Southern Copper Corp</v>
      </c>
      <c r="B869" t="str">
        <f>"SCCO US Equity"</f>
        <v>SCCO US Equity</v>
      </c>
      <c r="C869" t="str">
        <f t="shared" si="90"/>
        <v>F0946</v>
      </c>
      <c r="D869" t="str">
        <f t="shared" si="91"/>
        <v>TOTAL_GHG_CO2_EMISSIONS</v>
      </c>
      <c r="E869" t="str">
        <f t="shared" si="92"/>
        <v>Dynamic</v>
      </c>
      <c r="F869" t="str">
        <f ca="1">IF(AND(ISNUMBER($F$1955),$B$1132=1),$F$1955,HLOOKUP(INDIRECT(ADDRESS(2,COLUMN())),OFFSET($K$2,0,0,ROW()-1,5),ROW()-1,FALSE))</f>
        <v/>
      </c>
      <c r="G869" t="str">
        <f ca="1">IF(AND(ISNUMBER($G$1955),$B$1132=1),$G$1955,HLOOKUP(INDIRECT(ADDRESS(2,COLUMN())),OFFSET($K$2,0,0,ROW()-1,5),ROW()-1,FALSE))</f>
        <v/>
      </c>
      <c r="H869" t="str">
        <f ca="1">IF(AND(ISNUMBER($H$1955),$B$1132=1),$H$1955,HLOOKUP(INDIRECT(ADDRESS(2,COLUMN())),OFFSET($K$2,0,0,ROW()-1,5),ROW()-1,FALSE))</f>
        <v/>
      </c>
      <c r="I869" t="str">
        <f ca="1">IF(AND(ISNUMBER($I$1955),$B$1132=1),$I$1955,HLOOKUP(INDIRECT(ADDRESS(2,COLUMN())),OFFSET($K$2,0,0,ROW()-1,5),ROW()-1,FALSE))</f>
        <v/>
      </c>
      <c r="J869" t="str">
        <f ca="1">IF(AND(ISNUMBER($J$1955),$B$1132=1),$J$1955,HLOOKUP(INDIRECT(ADDRESS(2,COLUMN())),OFFSET($K$2,0,0,ROW()-1,5),ROW()-1,FALSE))</f>
        <v/>
      </c>
      <c r="K869" t="str">
        <f>""</f>
        <v/>
      </c>
      <c r="L869" t="str">
        <f>""</f>
        <v/>
      </c>
      <c r="M869" t="str">
        <f>""</f>
        <v/>
      </c>
      <c r="N869" t="str">
        <f>""</f>
        <v/>
      </c>
      <c r="O869" t="str">
        <f>""</f>
        <v/>
      </c>
    </row>
    <row r="870" spans="1:15" x14ac:dyDescent="0.25">
      <c r="A870" t="str">
        <f>"                    Teck Resources Ltd"</f>
        <v xml:space="preserve">                    Teck Resources Ltd</v>
      </c>
      <c r="B870" t="str">
        <f>"TECK/B CN Equity"</f>
        <v>TECK/B CN Equity</v>
      </c>
      <c r="C870" t="str">
        <f t="shared" si="90"/>
        <v>F0946</v>
      </c>
      <c r="D870" t="str">
        <f t="shared" si="91"/>
        <v>TOTAL_GHG_CO2_EMISSIONS</v>
      </c>
      <c r="E870" t="str">
        <f t="shared" si="92"/>
        <v>Dynamic</v>
      </c>
      <c r="F870">
        <f ca="1">IF(AND(ISNUMBER($F$1956),$B$1132=1),$F$1956,HLOOKUP(INDIRECT(ADDRESS(2,COLUMN())),OFFSET($K$2,0,0,ROW()-1,5),ROW()-1,FALSE))</f>
        <v>2.85</v>
      </c>
      <c r="G870">
        <f ca="1">IF(AND(ISNUMBER($G$1956),$B$1132=1),$G$1956,HLOOKUP(INDIRECT(ADDRESS(2,COLUMN())),OFFSET($K$2,0,0,ROW()-1,5),ROW()-1,FALSE))</f>
        <v>2.9380000000000002</v>
      </c>
      <c r="H870">
        <f ca="1">IF(AND(ISNUMBER($H$1956),$B$1132=1),$H$1956,HLOOKUP(INDIRECT(ADDRESS(2,COLUMN())),OFFSET($K$2,0,0,ROW()-1,5),ROW()-1,FALSE))</f>
        <v>2.7949999999999999</v>
      </c>
      <c r="I870">
        <f ca="1">IF(AND(ISNUMBER($I$1956),$B$1132=1),$I$1956,HLOOKUP(INDIRECT(ADDRESS(2,COLUMN())),OFFSET($K$2,0,0,ROW()-1,5),ROW()-1,FALSE))</f>
        <v>3.226</v>
      </c>
      <c r="J870">
        <f ca="1">IF(AND(ISNUMBER($J$1956),$B$1132=1),$J$1956,HLOOKUP(INDIRECT(ADDRESS(2,COLUMN())),OFFSET($K$2,0,0,ROW()-1,5),ROW()-1,FALSE))</f>
        <v>3.21</v>
      </c>
      <c r="K870">
        <f>2.85</f>
        <v>2.85</v>
      </c>
      <c r="L870">
        <f>2.938</f>
        <v>2.9380000000000002</v>
      </c>
      <c r="M870">
        <f>2.795</f>
        <v>2.7949999999999999</v>
      </c>
      <c r="N870">
        <f>3.226</f>
        <v>3.226</v>
      </c>
      <c r="O870">
        <f>3.21</f>
        <v>3.21</v>
      </c>
    </row>
    <row r="871" spans="1:15" x14ac:dyDescent="0.25">
      <c r="A871" t="str">
        <f>"                    Taseko Mines Ltd"</f>
        <v xml:space="preserve">                    Taseko Mines Ltd</v>
      </c>
      <c r="B871" t="str">
        <f>"TKO CN Equity"</f>
        <v>TKO CN Equity</v>
      </c>
      <c r="C871" t="str">
        <f t="shared" si="90"/>
        <v>F0946</v>
      </c>
      <c r="D871" t="str">
        <f t="shared" si="91"/>
        <v>TOTAL_GHG_CO2_EMISSIONS</v>
      </c>
      <c r="E871" t="str">
        <f t="shared" si="92"/>
        <v>Dynamic</v>
      </c>
      <c r="F871">
        <f ca="1">IF(AND(ISNUMBER($F$1957),$B$1132=1),$F$1957,HLOOKUP(INDIRECT(ADDRESS(2,COLUMN())),OFFSET($K$2,0,0,ROW()-1,5),ROW()-1,FALSE))</f>
        <v>0.13033700600000001</v>
      </c>
      <c r="G871">
        <f ca="1">IF(AND(ISNUMBER($G$1957),$B$1132=1),$G$1957,HLOOKUP(INDIRECT(ADDRESS(2,COLUMN())),OFFSET($K$2,0,0,ROW()-1,5),ROW()-1,FALSE))</f>
        <v>0.113061996</v>
      </c>
      <c r="H871">
        <f ca="1">IF(AND(ISNUMBER($H$1957),$B$1132=1),$H$1957,HLOOKUP(INDIRECT(ADDRESS(2,COLUMN())),OFFSET($K$2,0,0,ROW()-1,5),ROW()-1,FALSE))</f>
        <v>9.6635001999999998E-2</v>
      </c>
      <c r="I871">
        <f ca="1">IF(AND(ISNUMBER($I$1957),$B$1132=1),$I$1957,HLOOKUP(INDIRECT(ADDRESS(2,COLUMN())),OFFSET($K$2,0,0,ROW()-1,5),ROW()-1,FALSE))</f>
        <v>0.10917500300000001</v>
      </c>
      <c r="J871">
        <f ca="1">IF(AND(ISNUMBER($J$1957),$B$1132=1),$J$1957,HLOOKUP(INDIRECT(ADDRESS(2,COLUMN())),OFFSET($K$2,0,0,ROW()-1,5),ROW()-1,FALSE))</f>
        <v>0.10741200300000001</v>
      </c>
      <c r="K871">
        <f>0.130337006</f>
        <v>0.13033700600000001</v>
      </c>
      <c r="L871">
        <f>0.113061996</f>
        <v>0.113061996</v>
      </c>
      <c r="M871">
        <f>0.096635002</f>
        <v>9.6635001999999998E-2</v>
      </c>
      <c r="N871">
        <f>0.109175003</f>
        <v>0.10917500300000001</v>
      </c>
      <c r="O871">
        <f>0.107412003</f>
        <v>0.10741200300000001</v>
      </c>
    </row>
    <row r="872" spans="1:15" x14ac:dyDescent="0.25">
      <c r="A872" t="str">
        <f>"                    Vale SA"</f>
        <v xml:space="preserve">                    Vale SA</v>
      </c>
      <c r="B872" t="str">
        <f>"VALE3 BZ Equity"</f>
        <v>VALE3 BZ Equity</v>
      </c>
      <c r="C872" t="str">
        <f t="shared" si="90"/>
        <v>F0946</v>
      </c>
      <c r="D872" t="str">
        <f t="shared" si="91"/>
        <v>TOTAL_GHG_CO2_EMISSIONS</v>
      </c>
      <c r="E872" t="str">
        <f t="shared" si="92"/>
        <v>Dynamic</v>
      </c>
      <c r="F872">
        <f ca="1">IF(AND(ISNUMBER($F$1958),$B$1132=1),$F$1958,HLOOKUP(INDIRECT(ADDRESS(2,COLUMN())),OFFSET($K$2,0,0,ROW()-1,5),ROW()-1,FALSE))</f>
        <v>9.1999999999999993</v>
      </c>
      <c r="G872">
        <f ca="1">IF(AND(ISNUMBER($G$1958),$B$1132=1),$G$1958,HLOOKUP(INDIRECT(ADDRESS(2,COLUMN())),OFFSET($K$2,0,0,ROW()-1,5),ROW()-1,FALSE))</f>
        <v>11</v>
      </c>
      <c r="H872">
        <f ca="1">IF(AND(ISNUMBER($H$1958),$B$1132=1),$H$1958,HLOOKUP(INDIRECT(ADDRESS(2,COLUMN())),OFFSET($K$2,0,0,ROW()-1,5),ROW()-1,FALSE))</f>
        <v>10.640700199999999</v>
      </c>
      <c r="I872">
        <f ca="1">IF(AND(ISNUMBER($I$1958),$B$1132=1),$I$1958,HLOOKUP(INDIRECT(ADDRESS(2,COLUMN())),OFFSET($K$2,0,0,ROW()-1,5),ROW()-1,FALSE))</f>
        <v>12.570499999999999</v>
      </c>
      <c r="J872">
        <f ca="1">IF(AND(ISNUMBER($J$1958),$B$1132=1),$J$1958,HLOOKUP(INDIRECT(ADDRESS(2,COLUMN())),OFFSET($K$2,0,0,ROW()-1,5),ROW()-1,FALSE))</f>
        <v>14.2</v>
      </c>
      <c r="K872">
        <f>9.2</f>
        <v>9.1999999999999993</v>
      </c>
      <c r="L872">
        <f>11</f>
        <v>11</v>
      </c>
      <c r="M872">
        <f>10.6407002</f>
        <v>10.640700199999999</v>
      </c>
      <c r="N872">
        <f>12.5705</f>
        <v>12.570499999999999</v>
      </c>
      <c r="O872">
        <f>14.2</f>
        <v>14.2</v>
      </c>
    </row>
    <row r="873" spans="1:15" x14ac:dyDescent="0.25">
      <c r="A873" t="str">
        <f>"                    Zijin Mining Group Co Ltd"</f>
        <v xml:space="preserve">                    Zijin Mining Group Co Ltd</v>
      </c>
      <c r="B873" t="str">
        <f>"2899 HK Equity"</f>
        <v>2899 HK Equity</v>
      </c>
      <c r="C873" t="str">
        <f t="shared" si="90"/>
        <v>F0946</v>
      </c>
      <c r="D873" t="str">
        <f t="shared" si="91"/>
        <v>TOTAL_GHG_CO2_EMISSIONS</v>
      </c>
      <c r="E873" t="str">
        <f t="shared" si="92"/>
        <v>Dynamic</v>
      </c>
      <c r="F873">
        <f ca="1">IF(AND(ISNUMBER($F$1959),$B$1132=1),$F$1959,HLOOKUP(INDIRECT(ADDRESS(2,COLUMN())),OFFSET($K$2,0,0,ROW()-1,5),ROW()-1,FALSE))</f>
        <v>7.78</v>
      </c>
      <c r="G873">
        <f ca="1">IF(AND(ISNUMBER($G$1959),$B$1132=1),$G$1959,HLOOKUP(INDIRECT(ADDRESS(2,COLUMN())),OFFSET($K$2,0,0,ROW()-1,5),ROW()-1,FALSE))</f>
        <v>7.26</v>
      </c>
      <c r="H873">
        <f ca="1">IF(AND(ISNUMBER($H$1959),$B$1132=1),$H$1959,HLOOKUP(INDIRECT(ADDRESS(2,COLUMN())),OFFSET($K$2,0,0,ROW()-1,5),ROW()-1,FALSE))</f>
        <v>6.11</v>
      </c>
      <c r="I873">
        <f ca="1">IF(AND(ISNUMBER($I$1959),$B$1132=1),$I$1959,HLOOKUP(INDIRECT(ADDRESS(2,COLUMN())),OFFSET($K$2,0,0,ROW()-1,5),ROW()-1,FALSE))</f>
        <v>5.35</v>
      </c>
      <c r="J873">
        <f ca="1">IF(AND(ISNUMBER($J$1959),$B$1132=1),$J$1959,HLOOKUP(INDIRECT(ADDRESS(2,COLUMN())),OFFSET($K$2,0,0,ROW()-1,5),ROW()-1,FALSE))</f>
        <v>2.4175400389999999</v>
      </c>
      <c r="K873">
        <f>7.78</f>
        <v>7.78</v>
      </c>
      <c r="L873">
        <f>7.26</f>
        <v>7.26</v>
      </c>
      <c r="M873">
        <f>6.11</f>
        <v>6.11</v>
      </c>
      <c r="N873">
        <f>5.35</f>
        <v>5.35</v>
      </c>
      <c r="O873">
        <f>2.417540039</f>
        <v>2.4175400389999999</v>
      </c>
    </row>
    <row r="874" spans="1:15" x14ac:dyDescent="0.25">
      <c r="A874" t="str">
        <f>"                Gold"</f>
        <v xml:space="preserve">                Gold</v>
      </c>
      <c r="B874" t="str">
        <f>""</f>
        <v/>
      </c>
      <c r="E874" t="str">
        <f>"Sum"</f>
        <v>Sum</v>
      </c>
      <c r="F874">
        <f ca="1">IF(ISERROR(IF(SUM($F$875:$F$886) = 0, "", SUM($F$875:$F$886))), "", (IF(SUM($F$875:$F$886) = 0, "", SUM($F$875:$F$886))))</f>
        <v>28.910209839000004</v>
      </c>
      <c r="G874">
        <f ca="1">IF(ISERROR(IF(SUM($G$875:$G$886) = 0, "", SUM($G$875:$G$886))), "", (IF(SUM($G$875:$G$886) = 0, "", SUM($G$875:$G$886))))</f>
        <v>37.471089233999997</v>
      </c>
      <c r="H874">
        <f ca="1">IF(ISERROR(IF(SUM($H$875:$H$886) = 0, "", SUM($H$875:$H$886))), "", (IF(SUM($H$875:$H$886) = 0, "", SUM($H$875:$H$886))))</f>
        <v>35.788777099999997</v>
      </c>
      <c r="I874">
        <f ca="1">IF(ISERROR(IF(SUM($I$875:$I$886) = 0, "", SUM($I$875:$I$886))), "", (IF(SUM($I$875:$I$886) = 0, "", SUM($I$875:$I$886))))</f>
        <v>36.833661071999998</v>
      </c>
      <c r="J874">
        <f ca="1">IF(ISERROR(IF(SUM($J$875:$J$886) = 0, "", SUM($J$875:$J$886))), "", (IF(SUM($J$875:$J$886) = 0, "", SUM($J$875:$J$886))))</f>
        <v>31.801486143999998</v>
      </c>
      <c r="K874">
        <f>28.91020984</f>
        <v>28.91020984</v>
      </c>
      <c r="L874">
        <f>37.47108923</f>
        <v>37.471089229999997</v>
      </c>
      <c r="M874">
        <f>35.7887771</f>
        <v>35.788777099999997</v>
      </c>
      <c r="N874">
        <f>36.83366107</f>
        <v>36.833661069999998</v>
      </c>
      <c r="O874">
        <f>31.80148615</f>
        <v>31.801486149999999</v>
      </c>
    </row>
    <row r="875" spans="1:15" x14ac:dyDescent="0.25">
      <c r="A875" t="str">
        <f>"                    Agnico Eagle Mines Ltd"</f>
        <v xml:space="preserve">                    Agnico Eagle Mines Ltd</v>
      </c>
      <c r="B875" t="str">
        <f>"AEM CN Equity"</f>
        <v>AEM CN Equity</v>
      </c>
      <c r="C875" t="str">
        <f t="shared" ref="C875:C886" si="93">"F0946"</f>
        <v>F0946</v>
      </c>
      <c r="D875" t="str">
        <f t="shared" ref="D875:D886" si="94">"TOTAL_GHG_CO2_EMISSIONS"</f>
        <v>TOTAL_GHG_CO2_EMISSIONS</v>
      </c>
      <c r="E875" t="str">
        <f t="shared" ref="E875:E886" si="95">"Dynamic"</f>
        <v>Dynamic</v>
      </c>
      <c r="F875" t="str">
        <f ca="1">IF(AND(ISNUMBER($F$1960),$B$1132=1),$F$1960,HLOOKUP(INDIRECT(ADDRESS(2,COLUMN())),OFFSET($K$2,0,0,ROW()-1,5),ROW()-1,FALSE))</f>
        <v/>
      </c>
      <c r="G875">
        <f ca="1">IF(AND(ISNUMBER($G$1960),$B$1132=1),$G$1960,HLOOKUP(INDIRECT(ADDRESS(2,COLUMN())),OFFSET($K$2,0,0,ROW()-1,5),ROW()-1,FALSE))</f>
        <v>0.691609009</v>
      </c>
      <c r="H875">
        <f ca="1">IF(AND(ISNUMBER($H$1960),$B$1132=1),$H$1960,HLOOKUP(INDIRECT(ADDRESS(2,COLUMN())),OFFSET($K$2,0,0,ROW()-1,5),ROW()-1,FALSE))</f>
        <v>0.57815698199999999</v>
      </c>
      <c r="I875">
        <f ca="1">IF(AND(ISNUMBER($I$1960),$B$1132=1),$I$1960,HLOOKUP(INDIRECT(ADDRESS(2,COLUMN())),OFFSET($K$2,0,0,ROW()-1,5),ROW()-1,FALSE))</f>
        <v>0.52083099399999999</v>
      </c>
      <c r="J875">
        <f ca="1">IF(AND(ISNUMBER($J$1960),$B$1132=1),$J$1960,HLOOKUP(INDIRECT(ADDRESS(2,COLUMN())),OFFSET($K$2,0,0,ROW()-1,5),ROW()-1,FALSE))</f>
        <v>0.41134600799999999</v>
      </c>
      <c r="K875" t="str">
        <f>""</f>
        <v/>
      </c>
      <c r="L875">
        <f>0.691609009</f>
        <v>0.691609009</v>
      </c>
      <c r="M875">
        <f>0.578156982</f>
        <v>0.57815698199999999</v>
      </c>
      <c r="N875">
        <f>0.520830994</f>
        <v>0.52083099399999999</v>
      </c>
      <c r="O875">
        <f>0.411346008</f>
        <v>0.41134600799999999</v>
      </c>
    </row>
    <row r="876" spans="1:15" x14ac:dyDescent="0.25">
      <c r="A876" t="str">
        <f>"                    AngloGold Ashanti Ltd"</f>
        <v xml:space="preserve">                    AngloGold Ashanti Ltd</v>
      </c>
      <c r="B876" t="str">
        <f>"ANG SJ Equity"</f>
        <v>ANG SJ Equity</v>
      </c>
      <c r="C876" t="str">
        <f t="shared" si="93"/>
        <v>F0946</v>
      </c>
      <c r="D876" t="str">
        <f t="shared" si="94"/>
        <v>TOTAL_GHG_CO2_EMISSIONS</v>
      </c>
      <c r="E876" t="str">
        <f t="shared" si="95"/>
        <v>Dynamic</v>
      </c>
      <c r="F876">
        <f ca="1">IF(AND(ISNUMBER($F$1961),$B$1132=1),$F$1961,HLOOKUP(INDIRECT(ADDRESS(2,COLUMN())),OFFSET($K$2,0,0,ROW()-1,5),ROW()-1,FALSE))</f>
        <v>1.474</v>
      </c>
      <c r="G876">
        <f ca="1">IF(AND(ISNUMBER($G$1961),$B$1132=1),$G$1961,HLOOKUP(INDIRECT(ADDRESS(2,COLUMN())),OFFSET($K$2,0,0,ROW()-1,5),ROW()-1,FALSE))</f>
        <v>1.381</v>
      </c>
      <c r="H876">
        <f ca="1">IF(AND(ISNUMBER($H$1961),$B$1132=1),$H$1961,HLOOKUP(INDIRECT(ADDRESS(2,COLUMN())),OFFSET($K$2,0,0,ROW()-1,5),ROW()-1,FALSE))</f>
        <v>1.304</v>
      </c>
      <c r="I876">
        <f ca="1">IF(AND(ISNUMBER($I$1961),$B$1132=1),$I$1961,HLOOKUP(INDIRECT(ADDRESS(2,COLUMN())),OFFSET($K$2,0,0,ROW()-1,5),ROW()-1,FALSE))</f>
        <v>1.268</v>
      </c>
      <c r="J876">
        <f ca="1">IF(AND(ISNUMBER($J$1961),$B$1132=1),$J$1961,HLOOKUP(INDIRECT(ADDRESS(2,COLUMN())),OFFSET($K$2,0,0,ROW()-1,5),ROW()-1,FALSE))</f>
        <v>2.2999999999999998</v>
      </c>
      <c r="K876">
        <f>1.474</f>
        <v>1.474</v>
      </c>
      <c r="L876">
        <f>1.381</f>
        <v>1.381</v>
      </c>
      <c r="M876">
        <f>1.304</f>
        <v>1.304</v>
      </c>
      <c r="N876">
        <f>1.268</f>
        <v>1.268</v>
      </c>
      <c r="O876">
        <f>2.3</f>
        <v>2.2999999999999998</v>
      </c>
    </row>
    <row r="877" spans="1:15" x14ac:dyDescent="0.25">
      <c r="A877" t="str">
        <f>"                    Barrick Gold Corp"</f>
        <v xml:space="preserve">                    Barrick Gold Corp</v>
      </c>
      <c r="B877" t="str">
        <f>"GOLD US Equity"</f>
        <v>GOLD US Equity</v>
      </c>
      <c r="C877" t="str">
        <f t="shared" si="93"/>
        <v>F0946</v>
      </c>
      <c r="D877" t="str">
        <f t="shared" si="94"/>
        <v>TOTAL_GHG_CO2_EMISSIONS</v>
      </c>
      <c r="E877" t="str">
        <f t="shared" si="95"/>
        <v>Dynamic</v>
      </c>
      <c r="F877">
        <f ca="1">IF(AND(ISNUMBER($F$1962),$B$1132=1),$F$1962,HLOOKUP(INDIRECT(ADDRESS(2,COLUMN())),OFFSET($K$2,0,0,ROW()-1,5),ROW()-1,FALSE))</f>
        <v>6.7050000000000001</v>
      </c>
      <c r="G877">
        <f ca="1">IF(AND(ISNUMBER($G$1962),$B$1132=1),$G$1962,HLOOKUP(INDIRECT(ADDRESS(2,COLUMN())),OFFSET($K$2,0,0,ROW()-1,5),ROW()-1,FALSE))</f>
        <v>7.4</v>
      </c>
      <c r="H877">
        <f ca="1">IF(AND(ISNUMBER($H$1962),$B$1132=1),$H$1962,HLOOKUP(INDIRECT(ADDRESS(2,COLUMN())),OFFSET($K$2,0,0,ROW()-1,5),ROW()-1,FALSE))</f>
        <v>7.3514599609999998</v>
      </c>
      <c r="I877">
        <f ca="1">IF(AND(ISNUMBER($I$1962),$B$1132=1),$I$1962,HLOOKUP(INDIRECT(ADDRESS(2,COLUMN())),OFFSET($K$2,0,0,ROW()-1,5),ROW()-1,FALSE))</f>
        <v>6.7480000000000002</v>
      </c>
      <c r="J877">
        <f ca="1">IF(AND(ISNUMBER($J$1962),$B$1132=1),$J$1962,HLOOKUP(INDIRECT(ADDRESS(2,COLUMN())),OFFSET($K$2,0,0,ROW()-1,5),ROW()-1,FALSE))</f>
        <v>4.5430000000000001</v>
      </c>
      <c r="K877">
        <f>6.705</f>
        <v>6.7050000000000001</v>
      </c>
      <c r="L877">
        <f>7.4</f>
        <v>7.4</v>
      </c>
      <c r="M877">
        <f>7.351459961</f>
        <v>7.3514599609999998</v>
      </c>
      <c r="N877">
        <f>6.748</f>
        <v>6.7480000000000002</v>
      </c>
      <c r="O877">
        <f>4.543</f>
        <v>4.5430000000000001</v>
      </c>
    </row>
    <row r="878" spans="1:15" x14ac:dyDescent="0.25">
      <c r="A878" t="str">
        <f>"                    Cia de Minas Buenaventura SAA"</f>
        <v xml:space="preserve">                    Cia de Minas Buenaventura SAA</v>
      </c>
      <c r="B878" t="str">
        <f>"BUENAVI1 PE Equity"</f>
        <v>BUENAVI1 PE Equity</v>
      </c>
      <c r="C878" t="str">
        <f t="shared" si="93"/>
        <v>F0946</v>
      </c>
      <c r="D878" t="str">
        <f t="shared" si="94"/>
        <v>TOTAL_GHG_CO2_EMISSIONS</v>
      </c>
      <c r="E878" t="str">
        <f t="shared" si="95"/>
        <v>Dynamic</v>
      </c>
      <c r="F878" t="str">
        <f ca="1">IF(AND(ISNUMBER($F$1963),$B$1132=1),$F$1963,HLOOKUP(INDIRECT(ADDRESS(2,COLUMN())),OFFSET($K$2,0,0,ROW()-1,5),ROW()-1,FALSE))</f>
        <v/>
      </c>
      <c r="G878" t="str">
        <f ca="1">IF(AND(ISNUMBER($G$1963),$B$1132=1),$G$1963,HLOOKUP(INDIRECT(ADDRESS(2,COLUMN())),OFFSET($K$2,0,0,ROW()-1,5),ROW()-1,FALSE))</f>
        <v/>
      </c>
      <c r="H878" t="str">
        <f ca="1">IF(AND(ISNUMBER($H$1963),$B$1132=1),$H$1963,HLOOKUP(INDIRECT(ADDRESS(2,COLUMN())),OFFSET($K$2,0,0,ROW()-1,5),ROW()-1,FALSE))</f>
        <v/>
      </c>
      <c r="I878" t="str">
        <f ca="1">IF(AND(ISNUMBER($I$1963),$B$1132=1),$I$1963,HLOOKUP(INDIRECT(ADDRESS(2,COLUMN())),OFFSET($K$2,0,0,ROW()-1,5),ROW()-1,FALSE))</f>
        <v/>
      </c>
      <c r="J878" t="str">
        <f ca="1">IF(AND(ISNUMBER($J$1963),$B$1132=1),$J$1963,HLOOKUP(INDIRECT(ADDRESS(2,COLUMN())),OFFSET($K$2,0,0,ROW()-1,5),ROW()-1,FALSE))</f>
        <v/>
      </c>
      <c r="K878" t="str">
        <f>""</f>
        <v/>
      </c>
      <c r="L878" t="str">
        <f>""</f>
        <v/>
      </c>
      <c r="M878" t="str">
        <f>""</f>
        <v/>
      </c>
      <c r="N878" t="str">
        <f>""</f>
        <v/>
      </c>
      <c r="O878" t="str">
        <f>""</f>
        <v/>
      </c>
    </row>
    <row r="879" spans="1:15" x14ac:dyDescent="0.25">
      <c r="A879" t="str">
        <f>"                    Gold Fields Ltd"</f>
        <v xml:space="preserve">                    Gold Fields Ltd</v>
      </c>
      <c r="B879" t="str">
        <f>"GFI SJ Equity"</f>
        <v>GFI SJ Equity</v>
      </c>
      <c r="C879" t="str">
        <f t="shared" si="93"/>
        <v>F0946</v>
      </c>
      <c r="D879" t="str">
        <f t="shared" si="94"/>
        <v>TOTAL_GHG_CO2_EMISSIONS</v>
      </c>
      <c r="E879" t="str">
        <f t="shared" si="95"/>
        <v>Dynamic</v>
      </c>
      <c r="F879">
        <f ca="1">IF(AND(ISNUMBER($F$1964),$B$1132=1),$F$1964,HLOOKUP(INDIRECT(ADDRESS(2,COLUMN())),OFFSET($K$2,0,0,ROW()-1,5),ROW()-1,FALSE))</f>
        <v>1.72</v>
      </c>
      <c r="G879">
        <f ca="1">IF(AND(ISNUMBER($G$1964),$B$1132=1),$G$1964,HLOOKUP(INDIRECT(ADDRESS(2,COLUMN())),OFFSET($K$2,0,0,ROW()-1,5),ROW()-1,FALSE))</f>
        <v>1.7150000000000001</v>
      </c>
      <c r="H879">
        <f ca="1">IF(AND(ISNUMBER($H$1964),$B$1132=1),$H$1964,HLOOKUP(INDIRECT(ADDRESS(2,COLUMN())),OFFSET($K$2,0,0,ROW()-1,5),ROW()-1,FALSE))</f>
        <v>1.452</v>
      </c>
      <c r="I879">
        <f ca="1">IF(AND(ISNUMBER($I$1964),$B$1132=1),$I$1964,HLOOKUP(INDIRECT(ADDRESS(2,COLUMN())),OFFSET($K$2,0,0,ROW()-1,5),ROW()-1,FALSE))</f>
        <v>1.4570000000000001</v>
      </c>
      <c r="J879">
        <f ca="1">IF(AND(ISNUMBER($J$1964),$B$1132=1),$J$1964,HLOOKUP(INDIRECT(ADDRESS(2,COLUMN())),OFFSET($K$2,0,0,ROW()-1,5),ROW()-1,FALSE))</f>
        <v>1.3679799800000001</v>
      </c>
      <c r="K879">
        <f>1.72</f>
        <v>1.72</v>
      </c>
      <c r="L879">
        <f>1.715</f>
        <v>1.7150000000000001</v>
      </c>
      <c r="M879">
        <f>1.452</f>
        <v>1.452</v>
      </c>
      <c r="N879">
        <f>1.457</f>
        <v>1.4570000000000001</v>
      </c>
      <c r="O879">
        <f>1.36797998</f>
        <v>1.3679799800000001</v>
      </c>
    </row>
    <row r="880" spans="1:15" x14ac:dyDescent="0.25">
      <c r="A880" t="str">
        <f>"                    Harmony Gold Mining Co Ltd"</f>
        <v xml:space="preserve">                    Harmony Gold Mining Co Ltd</v>
      </c>
      <c r="B880" t="str">
        <f>"HAR SJ Equity"</f>
        <v>HAR SJ Equity</v>
      </c>
      <c r="C880" t="str">
        <f t="shared" si="93"/>
        <v>F0946</v>
      </c>
      <c r="D880" t="str">
        <f t="shared" si="94"/>
        <v>TOTAL_GHG_CO2_EMISSIONS</v>
      </c>
      <c r="E880" t="str">
        <f t="shared" si="95"/>
        <v>Dynamic</v>
      </c>
      <c r="F880" t="str">
        <f ca="1">IF(AND(ISNUMBER($F$1965),$B$1132=1),$F$1965,HLOOKUP(INDIRECT(ADDRESS(2,COLUMN())),OFFSET($K$2,0,0,ROW()-1,5),ROW()-1,FALSE))</f>
        <v/>
      </c>
      <c r="G880">
        <f ca="1">IF(AND(ISNUMBER($G$1965),$B$1132=1),$G$1965,HLOOKUP(INDIRECT(ADDRESS(2,COLUMN())),OFFSET($K$2,0,0,ROW()-1,5),ROW()-1,FALSE))</f>
        <v>4.7482700199999996</v>
      </c>
      <c r="H880">
        <f ca="1">IF(AND(ISNUMBER($H$1965),$B$1132=1),$H$1965,HLOOKUP(INDIRECT(ADDRESS(2,COLUMN())),OFFSET($K$2,0,0,ROW()-1,5),ROW()-1,FALSE))</f>
        <v>4.3871801760000002</v>
      </c>
      <c r="I880">
        <f ca="1">IF(AND(ISNUMBER($I$1965),$B$1132=1),$I$1965,HLOOKUP(INDIRECT(ADDRESS(2,COLUMN())),OFFSET($K$2,0,0,ROW()-1,5),ROW()-1,FALSE))</f>
        <v>3.4420000000000002</v>
      </c>
      <c r="J880">
        <f ca="1">IF(AND(ISNUMBER($J$1965),$B$1132=1),$J$1965,HLOOKUP(INDIRECT(ADDRESS(2,COLUMN())),OFFSET($K$2,0,0,ROW()-1,5),ROW()-1,FALSE))</f>
        <v>3.325860107</v>
      </c>
      <c r="K880" t="str">
        <f>""</f>
        <v/>
      </c>
      <c r="L880">
        <f>4.74827002</f>
        <v>4.7482700199999996</v>
      </c>
      <c r="M880">
        <f>4.387180176</f>
        <v>4.3871801760000002</v>
      </c>
      <c r="N880">
        <f>3.442</f>
        <v>3.4420000000000002</v>
      </c>
      <c r="O880">
        <f>3.325860107</f>
        <v>3.325860107</v>
      </c>
    </row>
    <row r="881" spans="1:15" x14ac:dyDescent="0.25">
      <c r="A881" t="str">
        <f>"                    Kinross Gold Corp"</f>
        <v xml:space="preserve">                    Kinross Gold Corp</v>
      </c>
      <c r="B881" t="str">
        <f>"K CN Equity"</f>
        <v>K CN Equity</v>
      </c>
      <c r="C881" t="str">
        <f t="shared" si="93"/>
        <v>F0946</v>
      </c>
      <c r="D881" t="str">
        <f t="shared" si="94"/>
        <v>TOTAL_GHG_CO2_EMISSIONS</v>
      </c>
      <c r="E881" t="str">
        <f t="shared" si="95"/>
        <v>Dynamic</v>
      </c>
      <c r="F881">
        <f ca="1">IF(AND(ISNUMBER($F$1966),$B$1132=1),$F$1966,HLOOKUP(INDIRECT(ADDRESS(2,COLUMN())),OFFSET($K$2,0,0,ROW()-1,5),ROW()-1,FALSE))</f>
        <v>1.448829956</v>
      </c>
      <c r="G881" t="str">
        <f ca="1">IF(AND(ISNUMBER($G$1966),$B$1132=1),$G$1966,HLOOKUP(INDIRECT(ADDRESS(2,COLUMN())),OFFSET($K$2,0,0,ROW()-1,5),ROW()-1,FALSE))</f>
        <v/>
      </c>
      <c r="H881" t="str">
        <f ca="1">IF(AND(ISNUMBER($H$1966),$B$1132=1),$H$1966,HLOOKUP(INDIRECT(ADDRESS(2,COLUMN())),OFFSET($K$2,0,0,ROW()-1,5),ROW()-1,FALSE))</f>
        <v/>
      </c>
      <c r="I881">
        <f ca="1">IF(AND(ISNUMBER($I$1966),$B$1132=1),$I$1966,HLOOKUP(INDIRECT(ADDRESS(2,COLUMN())),OFFSET($K$2,0,0,ROW()-1,5),ROW()-1,FALSE))</f>
        <v>1.6122800289999999</v>
      </c>
      <c r="J881">
        <f ca="1">IF(AND(ISNUMBER($J$1966),$B$1132=1),$J$1966,HLOOKUP(INDIRECT(ADDRESS(2,COLUMN())),OFFSET($K$2,0,0,ROW()-1,5),ROW()-1,FALSE))</f>
        <v>1.641</v>
      </c>
      <c r="K881">
        <f>1.448829956</f>
        <v>1.448829956</v>
      </c>
      <c r="L881" t="str">
        <f>""</f>
        <v/>
      </c>
      <c r="M881" t="str">
        <f>""</f>
        <v/>
      </c>
      <c r="N881">
        <f>1.612280029</f>
        <v>1.6122800289999999</v>
      </c>
      <c r="O881">
        <f>1.641</f>
        <v>1.641</v>
      </c>
    </row>
    <row r="882" spans="1:15" x14ac:dyDescent="0.25">
      <c r="A882" t="str">
        <f>"                    Newmont Corp"</f>
        <v xml:space="preserve">                    Newmont Corp</v>
      </c>
      <c r="B882" t="str">
        <f>"NEM US Equity"</f>
        <v>NEM US Equity</v>
      </c>
      <c r="C882" t="str">
        <f t="shared" si="93"/>
        <v>F0946</v>
      </c>
      <c r="D882" t="str">
        <f t="shared" si="94"/>
        <v>TOTAL_GHG_CO2_EMISSIONS</v>
      </c>
      <c r="E882" t="str">
        <f t="shared" si="95"/>
        <v>Dynamic</v>
      </c>
      <c r="F882">
        <f ca="1">IF(AND(ISNUMBER($F$1967),$B$1132=1),$F$1967,HLOOKUP(INDIRECT(ADDRESS(2,COLUMN())),OFFSET($K$2,0,0,ROW()-1,5),ROW()-1,FALSE))</f>
        <v>3.1303798829999998</v>
      </c>
      <c r="G882">
        <f ca="1">IF(AND(ISNUMBER($G$1967),$B$1132=1),$G$1967,HLOOKUP(INDIRECT(ADDRESS(2,COLUMN())),OFFSET($K$2,0,0,ROW()-1,5),ROW()-1,FALSE))</f>
        <v>3.3921101070000002</v>
      </c>
      <c r="H882">
        <f ca="1">IF(AND(ISNUMBER($H$1967),$B$1132=1),$H$1967,HLOOKUP(INDIRECT(ADDRESS(2,COLUMN())),OFFSET($K$2,0,0,ROW()-1,5),ROW()-1,FALSE))</f>
        <v>3.2305200200000002</v>
      </c>
      <c r="I882">
        <f ca="1">IF(AND(ISNUMBER($I$1967),$B$1132=1),$I$1967,HLOOKUP(INDIRECT(ADDRESS(2,COLUMN())),OFFSET($K$2,0,0,ROW()-1,5),ROW()-1,FALSE))</f>
        <v>3.5539999999999998</v>
      </c>
      <c r="J882">
        <f ca="1">IF(AND(ISNUMBER($J$1967),$B$1132=1),$J$1967,HLOOKUP(INDIRECT(ADDRESS(2,COLUMN())),OFFSET($K$2,0,0,ROW()-1,5),ROW()-1,FALSE))</f>
        <v>4.6900000000000004</v>
      </c>
      <c r="K882">
        <f>3.130379883</f>
        <v>3.1303798829999998</v>
      </c>
      <c r="L882">
        <f>3.392110107</f>
        <v>3.3921101070000002</v>
      </c>
      <c r="M882">
        <f>3.23052002</f>
        <v>3.2305200200000002</v>
      </c>
      <c r="N882">
        <f>3.554</f>
        <v>3.5539999999999998</v>
      </c>
      <c r="O882">
        <f>4.69</f>
        <v>4.6900000000000004</v>
      </c>
    </row>
    <row r="883" spans="1:15" x14ac:dyDescent="0.25">
      <c r="A883" t="str">
        <f>"                    Newcrest Mining Ltd"</f>
        <v xml:space="preserve">                    Newcrest Mining Ltd</v>
      </c>
      <c r="B883" t="str">
        <f>"NCM AU Equity"</f>
        <v>NCM AU Equity</v>
      </c>
      <c r="C883" t="str">
        <f t="shared" si="93"/>
        <v>F0946</v>
      </c>
      <c r="D883" t="str">
        <f t="shared" si="94"/>
        <v>TOTAL_GHG_CO2_EMISSIONS</v>
      </c>
      <c r="E883" t="str">
        <f t="shared" si="95"/>
        <v>Dynamic</v>
      </c>
      <c r="F883" t="str">
        <f ca="1">IF(AND(ISNUMBER($F$1968),$B$1132=1),$F$1968,HLOOKUP(INDIRECT(ADDRESS(2,COLUMN())),OFFSET($K$2,0,0,ROW()-1,5),ROW()-1,FALSE))</f>
        <v/>
      </c>
      <c r="G883">
        <f ca="1">IF(AND(ISNUMBER($G$1968),$B$1132=1),$G$1968,HLOOKUP(INDIRECT(ADDRESS(2,COLUMN())),OFFSET($K$2,0,0,ROW()-1,5),ROW()-1,FALSE))</f>
        <v>2.24127002</v>
      </c>
      <c r="H883">
        <f ca="1">IF(AND(ISNUMBER($H$1968),$B$1132=1),$H$1968,HLOOKUP(INDIRECT(ADDRESS(2,COLUMN())),OFFSET($K$2,0,0,ROW()-1,5),ROW()-1,FALSE))</f>
        <v>2.3384599609999999</v>
      </c>
      <c r="I883">
        <f ca="1">IF(AND(ISNUMBER($I$1968),$B$1132=1),$I$1968,HLOOKUP(INDIRECT(ADDRESS(2,COLUMN())),OFFSET($K$2,0,0,ROW()-1,5),ROW()-1,FALSE))</f>
        <v>2.2735500489999998</v>
      </c>
      <c r="J883">
        <f ca="1">IF(AND(ISNUMBER($J$1968),$B$1132=1),$J$1968,HLOOKUP(INDIRECT(ADDRESS(2,COLUMN())),OFFSET($K$2,0,0,ROW()-1,5),ROW()-1,FALSE))</f>
        <v>2.2787600100000001</v>
      </c>
      <c r="K883" t="str">
        <f>""</f>
        <v/>
      </c>
      <c r="L883">
        <f>2.24127002</f>
        <v>2.24127002</v>
      </c>
      <c r="M883">
        <f>2.338459961</f>
        <v>2.3384599609999999</v>
      </c>
      <c r="N883">
        <f>2.273550049</f>
        <v>2.2735500489999998</v>
      </c>
      <c r="O883">
        <f>2.27876001</f>
        <v>2.2787600100000001</v>
      </c>
    </row>
    <row r="884" spans="1:15" x14ac:dyDescent="0.25">
      <c r="A884" t="str">
        <f>"                    Polyus PJSC"</f>
        <v xml:space="preserve">                    Polyus PJSC</v>
      </c>
      <c r="B884" t="str">
        <f>"PLZL RM Equity"</f>
        <v>PLZL RM Equity</v>
      </c>
      <c r="C884" t="str">
        <f t="shared" si="93"/>
        <v>F0946</v>
      </c>
      <c r="D884" t="str">
        <f t="shared" si="94"/>
        <v>TOTAL_GHG_CO2_EMISSIONS</v>
      </c>
      <c r="E884" t="str">
        <f t="shared" si="95"/>
        <v>Dynamic</v>
      </c>
      <c r="F884" t="str">
        <f ca="1">IF(AND(ISNUMBER($F$1969),$B$1132=1),$F$1969,HLOOKUP(INDIRECT(ADDRESS(2,COLUMN())),OFFSET($K$2,0,0,ROW()-1,5),ROW()-1,FALSE))</f>
        <v/>
      </c>
      <c r="G884">
        <f ca="1">IF(AND(ISNUMBER($G$1969),$B$1132=1),$G$1969,HLOOKUP(INDIRECT(ADDRESS(2,COLUMN())),OFFSET($K$2,0,0,ROW()-1,5),ROW()-1,FALSE))</f>
        <v>1.34</v>
      </c>
      <c r="H884">
        <f ca="1">IF(AND(ISNUMBER($H$1969),$B$1132=1),$H$1969,HLOOKUP(INDIRECT(ADDRESS(2,COLUMN())),OFFSET($K$2,0,0,ROW()-1,5),ROW()-1,FALSE))</f>
        <v>2.02</v>
      </c>
      <c r="I884">
        <f ca="1">IF(AND(ISNUMBER($I$1969),$B$1132=1),$I$1969,HLOOKUP(INDIRECT(ADDRESS(2,COLUMN())),OFFSET($K$2,0,0,ROW()-1,5),ROW()-1,FALSE))</f>
        <v>3.2</v>
      </c>
      <c r="J884">
        <f ca="1">IF(AND(ISNUMBER($J$1969),$B$1132=1),$J$1969,HLOOKUP(INDIRECT(ADDRESS(2,COLUMN())),OFFSET($K$2,0,0,ROW()-1,5),ROW()-1,FALSE))</f>
        <v>3.16</v>
      </c>
      <c r="K884" t="str">
        <f>""</f>
        <v/>
      </c>
      <c r="L884">
        <f>1.34</f>
        <v>1.34</v>
      </c>
      <c r="M884">
        <f>2.02</f>
        <v>2.02</v>
      </c>
      <c r="N884">
        <f>3.2</f>
        <v>3.2</v>
      </c>
      <c r="O884">
        <f>3.16</f>
        <v>3.16</v>
      </c>
    </row>
    <row r="885" spans="1:15" x14ac:dyDescent="0.25">
      <c r="A885" t="str">
        <f>"                    Sibanye Stillwater Ltd"</f>
        <v xml:space="preserve">                    Sibanye Stillwater Ltd</v>
      </c>
      <c r="B885" t="str">
        <f>"SSW SJ Equity"</f>
        <v>SSW SJ Equity</v>
      </c>
      <c r="C885" t="str">
        <f t="shared" si="93"/>
        <v>F0946</v>
      </c>
      <c r="D885" t="str">
        <f t="shared" si="94"/>
        <v>TOTAL_GHG_CO2_EMISSIONS</v>
      </c>
      <c r="E885" t="str">
        <f t="shared" si="95"/>
        <v>Dynamic</v>
      </c>
      <c r="F885">
        <f ca="1">IF(AND(ISNUMBER($F$1970),$B$1132=1),$F$1970,HLOOKUP(INDIRECT(ADDRESS(2,COLUMN())),OFFSET($K$2,0,0,ROW()-1,5),ROW()-1,FALSE))</f>
        <v>6.6520000000000001</v>
      </c>
      <c r="G885">
        <f ca="1">IF(AND(ISNUMBER($G$1970),$B$1132=1),$G$1970,HLOOKUP(INDIRECT(ADDRESS(2,COLUMN())),OFFSET($K$2,0,0,ROW()-1,5),ROW()-1,FALSE))</f>
        <v>7.3018300780000001</v>
      </c>
      <c r="H885">
        <f ca="1">IF(AND(ISNUMBER($H$1970),$B$1132=1),$H$1970,HLOOKUP(INDIRECT(ADDRESS(2,COLUMN())),OFFSET($K$2,0,0,ROW()-1,5),ROW()-1,FALSE))</f>
        <v>7.0170000000000003</v>
      </c>
      <c r="I885">
        <f ca="1">IF(AND(ISNUMBER($I$1970),$B$1132=1),$I$1970,HLOOKUP(INDIRECT(ADDRESS(2,COLUMN())),OFFSET($K$2,0,0,ROW()-1,5),ROW()-1,FALSE))</f>
        <v>7.4080000000000004</v>
      </c>
      <c r="J885">
        <f ca="1">IF(AND(ISNUMBER($J$1970),$B$1132=1),$J$1970,HLOOKUP(INDIRECT(ADDRESS(2,COLUMN())),OFFSET($K$2,0,0,ROW()-1,5),ROW()-1,FALSE))</f>
        <v>5.6660000000000004</v>
      </c>
      <c r="K885">
        <f>6.652</f>
        <v>6.6520000000000001</v>
      </c>
      <c r="L885">
        <f>7.301830078</f>
        <v>7.3018300780000001</v>
      </c>
      <c r="M885">
        <f>7.017</f>
        <v>7.0170000000000003</v>
      </c>
      <c r="N885">
        <f>7.408</f>
        <v>7.4080000000000004</v>
      </c>
      <c r="O885">
        <f>5.666</f>
        <v>5.6660000000000004</v>
      </c>
    </row>
    <row r="886" spans="1:15" x14ac:dyDescent="0.25">
      <c r="A886" t="str">
        <f>"                    Zijin Mining Group Co Ltd"</f>
        <v xml:space="preserve">                    Zijin Mining Group Co Ltd</v>
      </c>
      <c r="B886" t="str">
        <f>"2899 HK Equity"</f>
        <v>2899 HK Equity</v>
      </c>
      <c r="C886" t="str">
        <f t="shared" si="93"/>
        <v>F0946</v>
      </c>
      <c r="D886" t="str">
        <f t="shared" si="94"/>
        <v>TOTAL_GHG_CO2_EMISSIONS</v>
      </c>
      <c r="E886" t="str">
        <f t="shared" si="95"/>
        <v>Dynamic</v>
      </c>
      <c r="F886">
        <f ca="1">IF(AND(ISNUMBER($F$1971),$B$1132=1),$F$1971,HLOOKUP(INDIRECT(ADDRESS(2,COLUMN())),OFFSET($K$2,0,0,ROW()-1,5),ROW()-1,FALSE))</f>
        <v>7.78</v>
      </c>
      <c r="G886">
        <f ca="1">IF(AND(ISNUMBER($G$1971),$B$1132=1),$G$1971,HLOOKUP(INDIRECT(ADDRESS(2,COLUMN())),OFFSET($K$2,0,0,ROW()-1,5),ROW()-1,FALSE))</f>
        <v>7.26</v>
      </c>
      <c r="H886">
        <f ca="1">IF(AND(ISNUMBER($H$1971),$B$1132=1),$H$1971,HLOOKUP(INDIRECT(ADDRESS(2,COLUMN())),OFFSET($K$2,0,0,ROW()-1,5),ROW()-1,FALSE))</f>
        <v>6.11</v>
      </c>
      <c r="I886">
        <f ca="1">IF(AND(ISNUMBER($I$1971),$B$1132=1),$I$1971,HLOOKUP(INDIRECT(ADDRESS(2,COLUMN())),OFFSET($K$2,0,0,ROW()-1,5),ROW()-1,FALSE))</f>
        <v>5.35</v>
      </c>
      <c r="J886">
        <f ca="1">IF(AND(ISNUMBER($J$1971),$B$1132=1),$J$1971,HLOOKUP(INDIRECT(ADDRESS(2,COLUMN())),OFFSET($K$2,0,0,ROW()-1,5),ROW()-1,FALSE))</f>
        <v>2.4175400389999999</v>
      </c>
      <c r="K886">
        <f>7.78</f>
        <v>7.78</v>
      </c>
      <c r="L886">
        <f>7.26</f>
        <v>7.26</v>
      </c>
      <c r="M886">
        <f>6.11</f>
        <v>6.11</v>
      </c>
      <c r="N886">
        <f>5.35</f>
        <v>5.35</v>
      </c>
      <c r="O886">
        <f>2.417540039</f>
        <v>2.4175400389999999</v>
      </c>
    </row>
    <row r="887" spans="1:15" x14ac:dyDescent="0.25">
      <c r="A887" t="str">
        <f>"                Silver"</f>
        <v xml:space="preserve">                Silver</v>
      </c>
      <c r="B887" t="str">
        <f>""</f>
        <v/>
      </c>
      <c r="E887" t="str">
        <f>"Sum"</f>
        <v>Sum</v>
      </c>
      <c r="F887">
        <f ca="1">IF(ISERROR(IF(SUM($F$888:$F$909) = 0, "", SUM($F$888:$F$909))), "", (IF(SUM($F$888:$F$909) = 0, "", SUM($F$888:$F$909))))</f>
        <v>1.8285120160000001</v>
      </c>
      <c r="G887">
        <f ca="1">IF(ISERROR(IF(SUM($G$888:$G$909) = 0, "", SUM($G$888:$G$909))), "", (IF(SUM($G$888:$G$909) = 0, "", SUM($G$888:$G$909))))</f>
        <v>2.6355250809999999</v>
      </c>
      <c r="H887">
        <f ca="1">IF(ISERROR(IF(SUM($H$888:$H$909) = 0, "", SUM($H$888:$H$909))), "", (IF(SUM($H$888:$H$909) = 0, "", SUM($H$888:$H$909))))</f>
        <v>2.4136175519999998</v>
      </c>
      <c r="I887">
        <f ca="1">IF(ISERROR(IF(SUM($I$888:$I$909) = 0, "", SUM($I$888:$I$909))), "", (IF(SUM($I$888:$I$909) = 0, "", SUM($I$888:$I$909))))</f>
        <v>2.3876038180000001</v>
      </c>
      <c r="J887">
        <f ca="1">IF(ISERROR(IF(SUM($J$888:$J$909) = 0, "", SUM($J$888:$J$909))), "", (IF(SUM($J$888:$J$909) = 0, "", SUM($J$888:$J$909))))</f>
        <v>1.939475904</v>
      </c>
      <c r="K887">
        <f>1.828512014</f>
        <v>1.828512014</v>
      </c>
      <c r="L887">
        <f>2.635525079</f>
        <v>2.6355250790000002</v>
      </c>
      <c r="M887">
        <f>2.413617551</f>
        <v>2.4136175510000002</v>
      </c>
      <c r="N887">
        <f>2.387603819</f>
        <v>2.3876038190000002</v>
      </c>
      <c r="O887">
        <f>1.939475904</f>
        <v>1.939475904</v>
      </c>
    </row>
    <row r="888" spans="1:15" x14ac:dyDescent="0.25">
      <c r="A888" t="str">
        <f>"                    Alien Metals Ltd"</f>
        <v xml:space="preserve">                    Alien Metals Ltd</v>
      </c>
      <c r="B888" t="str">
        <f>"UFO LN Equity"</f>
        <v>UFO LN Equity</v>
      </c>
      <c r="C888" t="str">
        <f t="shared" ref="C888:C909" si="96">"F0946"</f>
        <v>F0946</v>
      </c>
      <c r="D888" t="str">
        <f t="shared" ref="D888:D909" si="97">"TOTAL_GHG_CO2_EMISSIONS"</f>
        <v>TOTAL_GHG_CO2_EMISSIONS</v>
      </c>
      <c r="E888" t="str">
        <f t="shared" ref="E888:E909" si="98">"Dynamic"</f>
        <v>Dynamic</v>
      </c>
      <c r="F888" t="str">
        <f ca="1">IF(AND(ISNUMBER($F$1972),$B$1132=1),$F$1972,HLOOKUP(INDIRECT(ADDRESS(2,COLUMN())),OFFSET($K$2,0,0,ROW()-1,5),ROW()-1,FALSE))</f>
        <v/>
      </c>
      <c r="G888" t="str">
        <f ca="1">IF(AND(ISNUMBER($G$1972),$B$1132=1),$G$1972,HLOOKUP(INDIRECT(ADDRESS(2,COLUMN())),OFFSET($K$2,0,0,ROW()-1,5),ROW()-1,FALSE))</f>
        <v/>
      </c>
      <c r="H888" t="str">
        <f ca="1">IF(AND(ISNUMBER($H$1972),$B$1132=1),$H$1972,HLOOKUP(INDIRECT(ADDRESS(2,COLUMN())),OFFSET($K$2,0,0,ROW()-1,5),ROW()-1,FALSE))</f>
        <v/>
      </c>
      <c r="I888" t="str">
        <f ca="1">IF(AND(ISNUMBER($I$1972),$B$1132=1),$I$1972,HLOOKUP(INDIRECT(ADDRESS(2,COLUMN())),OFFSET($K$2,0,0,ROW()-1,5),ROW()-1,FALSE))</f>
        <v/>
      </c>
      <c r="J888" t="str">
        <f ca="1">IF(AND(ISNUMBER($J$1972),$B$1132=1),$J$1972,HLOOKUP(INDIRECT(ADDRESS(2,COLUMN())),OFFSET($K$2,0,0,ROW()-1,5),ROW()-1,FALSE))</f>
        <v/>
      </c>
      <c r="K888" t="str">
        <f>""</f>
        <v/>
      </c>
      <c r="L888" t="str">
        <f>""</f>
        <v/>
      </c>
      <c r="M888" t="str">
        <f>""</f>
        <v/>
      </c>
      <c r="N888" t="str">
        <f>""</f>
        <v/>
      </c>
      <c r="O888" t="str">
        <f>""</f>
        <v/>
      </c>
    </row>
    <row r="889" spans="1:15" x14ac:dyDescent="0.25">
      <c r="A889" t="str">
        <f>"                    Americas Gold &amp; Silver Corp"</f>
        <v xml:space="preserve">                    Americas Gold &amp; Silver Corp</v>
      </c>
      <c r="B889" t="str">
        <f>"USA CN Equity"</f>
        <v>USA CN Equity</v>
      </c>
      <c r="C889" t="str">
        <f t="shared" si="96"/>
        <v>F0946</v>
      </c>
      <c r="D889" t="str">
        <f t="shared" si="97"/>
        <v>TOTAL_GHG_CO2_EMISSIONS</v>
      </c>
      <c r="E889" t="str">
        <f t="shared" si="98"/>
        <v>Dynamic</v>
      </c>
      <c r="F889" t="str">
        <f ca="1">IF(AND(ISNUMBER($F$1973),$B$1132=1),$F$1973,HLOOKUP(INDIRECT(ADDRESS(2,COLUMN())),OFFSET($K$2,0,0,ROW()-1,5),ROW()-1,FALSE))</f>
        <v/>
      </c>
      <c r="G889" t="str">
        <f ca="1">IF(AND(ISNUMBER($G$1973),$B$1132=1),$G$1973,HLOOKUP(INDIRECT(ADDRESS(2,COLUMN())),OFFSET($K$2,0,0,ROW()-1,5),ROW()-1,FALSE))</f>
        <v/>
      </c>
      <c r="H889" t="str">
        <f ca="1">IF(AND(ISNUMBER($H$1973),$B$1132=1),$H$1973,HLOOKUP(INDIRECT(ADDRESS(2,COLUMN())),OFFSET($K$2,0,0,ROW()-1,5),ROW()-1,FALSE))</f>
        <v/>
      </c>
      <c r="I889" t="str">
        <f ca="1">IF(AND(ISNUMBER($I$1973),$B$1132=1),$I$1973,HLOOKUP(INDIRECT(ADDRESS(2,COLUMN())),OFFSET($K$2,0,0,ROW()-1,5),ROW()-1,FALSE))</f>
        <v/>
      </c>
      <c r="J889" t="str">
        <f ca="1">IF(AND(ISNUMBER($J$1973),$B$1132=1),$J$1973,HLOOKUP(INDIRECT(ADDRESS(2,COLUMN())),OFFSET($K$2,0,0,ROW()-1,5),ROW()-1,FALSE))</f>
        <v/>
      </c>
      <c r="K889" t="str">
        <f>""</f>
        <v/>
      </c>
      <c r="L889" t="str">
        <f>""</f>
        <v/>
      </c>
      <c r="M889" t="str">
        <f>""</f>
        <v/>
      </c>
      <c r="N889" t="str">
        <f>""</f>
        <v/>
      </c>
      <c r="O889" t="str">
        <f>""</f>
        <v/>
      </c>
    </row>
    <row r="890" spans="1:15" x14ac:dyDescent="0.25">
      <c r="A890" t="str">
        <f>"                    Aurcana Silver Corp"</f>
        <v xml:space="preserve">                    Aurcana Silver Corp</v>
      </c>
      <c r="B890" t="str">
        <f>"AUN CN Equity"</f>
        <v>AUN CN Equity</v>
      </c>
      <c r="C890" t="str">
        <f t="shared" si="96"/>
        <v>F0946</v>
      </c>
      <c r="D890" t="str">
        <f t="shared" si="97"/>
        <v>TOTAL_GHG_CO2_EMISSIONS</v>
      </c>
      <c r="E890" t="str">
        <f t="shared" si="98"/>
        <v>Dynamic</v>
      </c>
      <c r="F890" t="str">
        <f ca="1">IF(AND(ISNUMBER($F$1974),$B$1132=1),$F$1974,HLOOKUP(INDIRECT(ADDRESS(2,COLUMN())),OFFSET($K$2,0,0,ROW()-1,5),ROW()-1,FALSE))</f>
        <v/>
      </c>
      <c r="G890" t="str">
        <f ca="1">IF(AND(ISNUMBER($G$1974),$B$1132=1),$G$1974,HLOOKUP(INDIRECT(ADDRESS(2,COLUMN())),OFFSET($K$2,0,0,ROW()-1,5),ROW()-1,FALSE))</f>
        <v/>
      </c>
      <c r="H890" t="str">
        <f ca="1">IF(AND(ISNUMBER($H$1974),$B$1132=1),$H$1974,HLOOKUP(INDIRECT(ADDRESS(2,COLUMN())),OFFSET($K$2,0,0,ROW()-1,5),ROW()-1,FALSE))</f>
        <v/>
      </c>
      <c r="I890" t="str">
        <f ca="1">IF(AND(ISNUMBER($I$1974),$B$1132=1),$I$1974,HLOOKUP(INDIRECT(ADDRESS(2,COLUMN())),OFFSET($K$2,0,0,ROW()-1,5),ROW()-1,FALSE))</f>
        <v/>
      </c>
      <c r="J890" t="str">
        <f ca="1">IF(AND(ISNUMBER($J$1974),$B$1132=1),$J$1974,HLOOKUP(INDIRECT(ADDRESS(2,COLUMN())),OFFSET($K$2,0,0,ROW()-1,5),ROW()-1,FALSE))</f>
        <v/>
      </c>
      <c r="K890" t="str">
        <f>""</f>
        <v/>
      </c>
      <c r="L890" t="str">
        <f>""</f>
        <v/>
      </c>
      <c r="M890" t="str">
        <f>""</f>
        <v/>
      </c>
      <c r="N890" t="str">
        <f>""</f>
        <v/>
      </c>
      <c r="O890" t="str">
        <f>""</f>
        <v/>
      </c>
    </row>
    <row r="891" spans="1:15" x14ac:dyDescent="0.25">
      <c r="A891" t="str">
        <f>"                    Bear Creek Mining Corp"</f>
        <v xml:space="preserve">                    Bear Creek Mining Corp</v>
      </c>
      <c r="B891" t="str">
        <f>"BCM CN Equity"</f>
        <v>BCM CN Equity</v>
      </c>
      <c r="C891" t="str">
        <f t="shared" si="96"/>
        <v>F0946</v>
      </c>
      <c r="D891" t="str">
        <f t="shared" si="97"/>
        <v>TOTAL_GHG_CO2_EMISSIONS</v>
      </c>
      <c r="E891" t="str">
        <f t="shared" si="98"/>
        <v>Dynamic</v>
      </c>
      <c r="F891" t="str">
        <f ca="1">IF(AND(ISNUMBER($F$1975),$B$1132=1),$F$1975,HLOOKUP(INDIRECT(ADDRESS(2,COLUMN())),OFFSET($K$2,0,0,ROW()-1,5),ROW()-1,FALSE))</f>
        <v/>
      </c>
      <c r="G891" t="str">
        <f ca="1">IF(AND(ISNUMBER($G$1975),$B$1132=1),$G$1975,HLOOKUP(INDIRECT(ADDRESS(2,COLUMN())),OFFSET($K$2,0,0,ROW()-1,5),ROW()-1,FALSE))</f>
        <v/>
      </c>
      <c r="H891" t="str">
        <f ca="1">IF(AND(ISNUMBER($H$1975),$B$1132=1),$H$1975,HLOOKUP(INDIRECT(ADDRESS(2,COLUMN())),OFFSET($K$2,0,0,ROW()-1,5),ROW()-1,FALSE))</f>
        <v/>
      </c>
      <c r="I891" t="str">
        <f ca="1">IF(AND(ISNUMBER($I$1975),$B$1132=1),$I$1975,HLOOKUP(INDIRECT(ADDRESS(2,COLUMN())),OFFSET($K$2,0,0,ROW()-1,5),ROW()-1,FALSE))</f>
        <v/>
      </c>
      <c r="J891" t="str">
        <f ca="1">IF(AND(ISNUMBER($J$1975),$B$1132=1),$J$1975,HLOOKUP(INDIRECT(ADDRESS(2,COLUMN())),OFFSET($K$2,0,0,ROW()-1,5),ROW()-1,FALSE))</f>
        <v/>
      </c>
      <c r="K891" t="str">
        <f>""</f>
        <v/>
      </c>
      <c r="L891" t="str">
        <f>""</f>
        <v/>
      </c>
      <c r="M891" t="str">
        <f>""</f>
        <v/>
      </c>
      <c r="N891" t="str">
        <f>""</f>
        <v/>
      </c>
      <c r="O891" t="str">
        <f>""</f>
        <v/>
      </c>
    </row>
    <row r="892" spans="1:15" x14ac:dyDescent="0.25">
      <c r="A892" t="str">
        <f>"                    Coeur Mining Inc"</f>
        <v xml:space="preserve">                    Coeur Mining Inc</v>
      </c>
      <c r="B892" t="str">
        <f>"CDE US Equity"</f>
        <v>CDE US Equity</v>
      </c>
      <c r="C892" t="str">
        <f t="shared" si="96"/>
        <v>F0946</v>
      </c>
      <c r="D892" t="str">
        <f t="shared" si="97"/>
        <v>TOTAL_GHG_CO2_EMISSIONS</v>
      </c>
      <c r="E892" t="str">
        <f t="shared" si="98"/>
        <v>Dynamic</v>
      </c>
      <c r="F892">
        <f ca="1">IF(AND(ISNUMBER($F$1976),$B$1132=1),$F$1976,HLOOKUP(INDIRECT(ADDRESS(2,COLUMN())),OFFSET($K$2,0,0,ROW()-1,5),ROW()-1,FALSE))</f>
        <v>0.30018200699999997</v>
      </c>
      <c r="G892">
        <f ca="1">IF(AND(ISNUMBER($G$1976),$B$1132=1),$G$1976,HLOOKUP(INDIRECT(ADDRESS(2,COLUMN())),OFFSET($K$2,0,0,ROW()-1,5),ROW()-1,FALSE))</f>
        <v>0.29927999900000002</v>
      </c>
      <c r="H892">
        <f ca="1">IF(AND(ISNUMBER($H$1976),$B$1132=1),$H$1976,HLOOKUP(INDIRECT(ADDRESS(2,COLUMN())),OFFSET($K$2,0,0,ROW()-1,5),ROW()-1,FALSE))</f>
        <v>0.288834015</v>
      </c>
      <c r="I892">
        <f ca="1">IF(AND(ISNUMBER($I$1976),$B$1132=1),$I$1976,HLOOKUP(INDIRECT(ADDRESS(2,COLUMN())),OFFSET($K$2,0,0,ROW()-1,5),ROW()-1,FALSE))</f>
        <v>0.28326501500000001</v>
      </c>
      <c r="J892">
        <f ca="1">IF(AND(ISNUMBER($J$1976),$B$1132=1),$J$1976,HLOOKUP(INDIRECT(ADDRESS(2,COLUMN())),OFFSET($K$2,0,0,ROW()-1,5),ROW()-1,FALSE))</f>
        <v>0.24094099399999999</v>
      </c>
      <c r="K892">
        <f>0.300182007</f>
        <v>0.30018200699999997</v>
      </c>
      <c r="L892">
        <f>0.299279999</f>
        <v>0.29927999900000002</v>
      </c>
      <c r="M892">
        <f>0.288834015</f>
        <v>0.288834015</v>
      </c>
      <c r="N892">
        <f>0.283265015</f>
        <v>0.28326501500000001</v>
      </c>
      <c r="O892">
        <f>0.240940994</f>
        <v>0.24094099399999999</v>
      </c>
    </row>
    <row r="893" spans="1:15" x14ac:dyDescent="0.25">
      <c r="A893" t="str">
        <f>"                    Endeavour Silver Corp"</f>
        <v xml:space="preserve">                    Endeavour Silver Corp</v>
      </c>
      <c r="B893" t="str">
        <f>"EDR CN Equity"</f>
        <v>EDR CN Equity</v>
      </c>
      <c r="C893" t="str">
        <f t="shared" si="96"/>
        <v>F0946</v>
      </c>
      <c r="D893" t="str">
        <f t="shared" si="97"/>
        <v>TOTAL_GHG_CO2_EMISSIONS</v>
      </c>
      <c r="E893" t="str">
        <f t="shared" si="98"/>
        <v>Dynamic</v>
      </c>
      <c r="F893">
        <f ca="1">IF(AND(ISNUMBER($F$1977),$B$1132=1),$F$1977,HLOOKUP(INDIRECT(ADDRESS(2,COLUMN())),OFFSET($K$2,0,0,ROW()-1,5),ROW()-1,FALSE))</f>
        <v>5.4601002000000003E-2</v>
      </c>
      <c r="G893">
        <f ca="1">IF(AND(ISNUMBER($G$1977),$B$1132=1),$G$1977,HLOOKUP(INDIRECT(ADDRESS(2,COLUMN())),OFFSET($K$2,0,0,ROW()-1,5),ROW()-1,FALSE))</f>
        <v>5.0313998999999998E-2</v>
      </c>
      <c r="H893">
        <f ca="1">IF(AND(ISNUMBER($H$1977),$B$1132=1),$H$1977,HLOOKUP(INDIRECT(ADDRESS(2,COLUMN())),OFFSET($K$2,0,0,ROW()-1,5),ROW()-1,FALSE))</f>
        <v>4.8542000000000002E-2</v>
      </c>
      <c r="I893">
        <f ca="1">IF(AND(ISNUMBER($I$1977),$B$1132=1),$I$1977,HLOOKUP(INDIRECT(ADDRESS(2,COLUMN())),OFFSET($K$2,0,0,ROW()-1,5),ROW()-1,FALSE))</f>
        <v>7.3887000999999994E-2</v>
      </c>
      <c r="J893">
        <f ca="1">IF(AND(ISNUMBER($J$1977),$B$1132=1),$J$1977,HLOOKUP(INDIRECT(ADDRESS(2,COLUMN())),OFFSET($K$2,0,0,ROW()-1,5),ROW()-1,FALSE))</f>
        <v>8.6106003E-2</v>
      </c>
      <c r="K893">
        <f>0.054601002</f>
        <v>5.4601002000000003E-2</v>
      </c>
      <c r="L893">
        <f>0.050313999</f>
        <v>5.0313998999999998E-2</v>
      </c>
      <c r="M893">
        <f>0.048542</f>
        <v>4.8542000000000002E-2</v>
      </c>
      <c r="N893">
        <f>0.073887001</f>
        <v>7.3887000999999994E-2</v>
      </c>
      <c r="O893">
        <f>0.086106003</f>
        <v>8.6106003E-2</v>
      </c>
    </row>
    <row r="894" spans="1:15" x14ac:dyDescent="0.25">
      <c r="A894" t="str">
        <f>"                    Excellon Resources Inc"</f>
        <v xml:space="preserve">                    Excellon Resources Inc</v>
      </c>
      <c r="B894" t="str">
        <f>"EXN CN Equity"</f>
        <v>EXN CN Equity</v>
      </c>
      <c r="C894" t="str">
        <f t="shared" si="96"/>
        <v>F0946</v>
      </c>
      <c r="D894" t="str">
        <f t="shared" si="97"/>
        <v>TOTAL_GHG_CO2_EMISSIONS</v>
      </c>
      <c r="E894" t="str">
        <f t="shared" si="98"/>
        <v>Dynamic</v>
      </c>
      <c r="F894" t="str">
        <f ca="1">IF(AND(ISNUMBER($F$1978),$B$1132=1),$F$1978,HLOOKUP(INDIRECT(ADDRESS(2,COLUMN())),OFFSET($K$2,0,0,ROW()-1,5),ROW()-1,FALSE))</f>
        <v/>
      </c>
      <c r="G894" t="str">
        <f ca="1">IF(AND(ISNUMBER($G$1978),$B$1132=1),$G$1978,HLOOKUP(INDIRECT(ADDRESS(2,COLUMN())),OFFSET($K$2,0,0,ROW()-1,5),ROW()-1,FALSE))</f>
        <v/>
      </c>
      <c r="H894" t="str">
        <f ca="1">IF(AND(ISNUMBER($H$1978),$B$1132=1),$H$1978,HLOOKUP(INDIRECT(ADDRESS(2,COLUMN())),OFFSET($K$2,0,0,ROW()-1,5),ROW()-1,FALSE))</f>
        <v/>
      </c>
      <c r="I894" t="str">
        <f ca="1">IF(AND(ISNUMBER($I$1978),$B$1132=1),$I$1978,HLOOKUP(INDIRECT(ADDRESS(2,COLUMN())),OFFSET($K$2,0,0,ROW()-1,5),ROW()-1,FALSE))</f>
        <v/>
      </c>
      <c r="J894" t="str">
        <f ca="1">IF(AND(ISNUMBER($J$1978),$B$1132=1),$J$1978,HLOOKUP(INDIRECT(ADDRESS(2,COLUMN())),OFFSET($K$2,0,0,ROW()-1,5),ROW()-1,FALSE))</f>
        <v/>
      </c>
      <c r="K894" t="str">
        <f>""</f>
        <v/>
      </c>
      <c r="L894" t="str">
        <f>""</f>
        <v/>
      </c>
      <c r="M894" t="str">
        <f>""</f>
        <v/>
      </c>
      <c r="N894" t="str">
        <f>""</f>
        <v/>
      </c>
      <c r="O894" t="str">
        <f>""</f>
        <v/>
      </c>
    </row>
    <row r="895" spans="1:15" x14ac:dyDescent="0.25">
      <c r="A895" t="str">
        <f>"                    First Majestic Silver Corp"</f>
        <v xml:space="preserve">                    First Majestic Silver Corp</v>
      </c>
      <c r="B895" t="str">
        <f>"FR CN Equity"</f>
        <v>FR CN Equity</v>
      </c>
      <c r="C895" t="str">
        <f t="shared" si="96"/>
        <v>F0946</v>
      </c>
      <c r="D895" t="str">
        <f t="shared" si="97"/>
        <v>TOTAL_GHG_CO2_EMISSIONS</v>
      </c>
      <c r="E895" t="str">
        <f t="shared" si="98"/>
        <v>Dynamic</v>
      </c>
      <c r="F895" t="str">
        <f ca="1">IF(AND(ISNUMBER($F$1979),$B$1132=1),$F$1979,HLOOKUP(INDIRECT(ADDRESS(2,COLUMN())),OFFSET($K$2,0,0,ROW()-1,5),ROW()-1,FALSE))</f>
        <v/>
      </c>
      <c r="G895">
        <f ca="1">IF(AND(ISNUMBER($G$1979),$B$1132=1),$G$1979,HLOOKUP(INDIRECT(ADDRESS(2,COLUMN())),OFFSET($K$2,0,0,ROW()-1,5),ROW()-1,FALSE))</f>
        <v>8.4217002999999999E-2</v>
      </c>
      <c r="H895">
        <f ca="1">IF(AND(ISNUMBER($H$1979),$B$1132=1),$H$1979,HLOOKUP(INDIRECT(ADDRESS(2,COLUMN())),OFFSET($K$2,0,0,ROW()-1,5),ROW()-1,FALSE))</f>
        <v>8.0656997999999994E-2</v>
      </c>
      <c r="I895">
        <f ca="1">IF(AND(ISNUMBER($I$1979),$B$1132=1),$I$1979,HLOOKUP(INDIRECT(ADDRESS(2,COLUMN())),OFFSET($K$2,0,0,ROW()-1,5),ROW()-1,FALSE))</f>
        <v>0.12074600200000001</v>
      </c>
      <c r="J895" t="str">
        <f ca="1">IF(AND(ISNUMBER($J$1979),$B$1132=1),$J$1979,HLOOKUP(INDIRECT(ADDRESS(2,COLUMN())),OFFSET($K$2,0,0,ROW()-1,5),ROW()-1,FALSE))</f>
        <v/>
      </c>
      <c r="K895" t="str">
        <f>""</f>
        <v/>
      </c>
      <c r="L895">
        <f>0.084217003</f>
        <v>8.4217002999999999E-2</v>
      </c>
      <c r="M895">
        <f>0.080656998</f>
        <v>8.0656997999999994E-2</v>
      </c>
      <c r="N895">
        <f>0.120746002</f>
        <v>0.12074600200000001</v>
      </c>
      <c r="O895" t="str">
        <f>""</f>
        <v/>
      </c>
    </row>
    <row r="896" spans="1:15" x14ac:dyDescent="0.25">
      <c r="A896" t="str">
        <f>"                    Fortuna Silver Mines Inc"</f>
        <v xml:space="preserve">                    Fortuna Silver Mines Inc</v>
      </c>
      <c r="B896" t="str">
        <f>"FVI CN Equity"</f>
        <v>FVI CN Equity</v>
      </c>
      <c r="C896" t="str">
        <f t="shared" si="96"/>
        <v>F0946</v>
      </c>
      <c r="D896" t="str">
        <f t="shared" si="97"/>
        <v>TOTAL_GHG_CO2_EMISSIONS</v>
      </c>
      <c r="E896" t="str">
        <f t="shared" si="98"/>
        <v>Dynamic</v>
      </c>
      <c r="F896" t="str">
        <f ca="1">IF(AND(ISNUMBER($F$1980),$B$1132=1),$F$1980,HLOOKUP(INDIRECT(ADDRESS(2,COLUMN())),OFFSET($K$2,0,0,ROW()-1,5),ROW()-1,FALSE))</f>
        <v/>
      </c>
      <c r="G896">
        <f ca="1">IF(AND(ISNUMBER($G$1980),$B$1132=1),$G$1980,HLOOKUP(INDIRECT(ADDRESS(2,COLUMN())),OFFSET($K$2,0,0,ROW()-1,5),ROW()-1,FALSE))</f>
        <v>0.15223199500000001</v>
      </c>
      <c r="H896">
        <f ca="1">IF(AND(ISNUMBER($H$1980),$B$1132=1),$H$1980,HLOOKUP(INDIRECT(ADDRESS(2,COLUMN())),OFFSET($K$2,0,0,ROW()-1,5),ROW()-1,FALSE))</f>
        <v>7.0982002000000002E-2</v>
      </c>
      <c r="I896">
        <f ca="1">IF(AND(ISNUMBER($I$1980),$B$1132=1),$I$1980,HLOOKUP(INDIRECT(ADDRESS(2,COLUMN())),OFFSET($K$2,0,0,ROW()-1,5),ROW()-1,FALSE))</f>
        <v>7.5641998000000002E-2</v>
      </c>
      <c r="J896">
        <f ca="1">IF(AND(ISNUMBER($J$1980),$B$1132=1),$J$1980,HLOOKUP(INDIRECT(ADDRESS(2,COLUMN())),OFFSET($K$2,0,0,ROW()-1,5),ROW()-1,FALSE))</f>
        <v>8.0288001999999997E-2</v>
      </c>
      <c r="K896" t="str">
        <f>""</f>
        <v/>
      </c>
      <c r="L896">
        <f>0.152231995</f>
        <v>0.15223199500000001</v>
      </c>
      <c r="M896">
        <f>0.070982002</f>
        <v>7.0982002000000002E-2</v>
      </c>
      <c r="N896">
        <f>0.075641998</f>
        <v>7.5641998000000002E-2</v>
      </c>
      <c r="O896">
        <f>0.080288002</f>
        <v>8.0288001999999997E-2</v>
      </c>
    </row>
    <row r="897" spans="1:15" x14ac:dyDescent="0.25">
      <c r="A897" t="str">
        <f>"                    Fresnillo PLC"</f>
        <v xml:space="preserve">                    Fresnillo PLC</v>
      </c>
      <c r="B897" t="str">
        <f>"FRES LN Equity"</f>
        <v>FRES LN Equity</v>
      </c>
      <c r="C897" t="str">
        <f t="shared" si="96"/>
        <v>F0946</v>
      </c>
      <c r="D897" t="str">
        <f t="shared" si="97"/>
        <v>TOTAL_GHG_CO2_EMISSIONS</v>
      </c>
      <c r="E897" t="str">
        <f t="shared" si="98"/>
        <v>Dynamic</v>
      </c>
      <c r="F897">
        <f ca="1">IF(AND(ISNUMBER($F$1981),$B$1132=1),$F$1981,HLOOKUP(INDIRECT(ADDRESS(2,COLUMN())),OFFSET($K$2,0,0,ROW()-1,5),ROW()-1,FALSE))</f>
        <v>0.96110498099999997</v>
      </c>
      <c r="G897">
        <f ca="1">IF(AND(ISNUMBER($G$1981),$B$1132=1),$G$1981,HLOOKUP(INDIRECT(ADDRESS(2,COLUMN())),OFFSET($K$2,0,0,ROW()-1,5),ROW()-1,FALSE))</f>
        <v>0.89888800099999999</v>
      </c>
      <c r="H897">
        <f ca="1">IF(AND(ISNUMBER($H$1981),$B$1132=1),$H$1981,HLOOKUP(INDIRECT(ADDRESS(2,COLUMN())),OFFSET($K$2,0,0,ROW()-1,5),ROW()-1,FALSE))</f>
        <v>0.84151898199999997</v>
      </c>
      <c r="I897">
        <f ca="1">IF(AND(ISNUMBER($I$1981),$B$1132=1),$I$1981,HLOOKUP(INDIRECT(ADDRESS(2,COLUMN())),OFFSET($K$2,0,0,ROW()-1,5),ROW()-1,FALSE))</f>
        <v>0.84848400899999998</v>
      </c>
      <c r="J897">
        <f ca="1">IF(AND(ISNUMBER($J$1981),$B$1132=1),$J$1981,HLOOKUP(INDIRECT(ADDRESS(2,COLUMN())),OFFSET($K$2,0,0,ROW()-1,5),ROW()-1,FALSE))</f>
        <v>0.81707397500000001</v>
      </c>
      <c r="K897">
        <f>0.961104981</f>
        <v>0.96110498099999997</v>
      </c>
      <c r="L897">
        <f>0.898888001</f>
        <v>0.89888800099999999</v>
      </c>
      <c r="M897">
        <f>0.841518982</f>
        <v>0.84151898199999997</v>
      </c>
      <c r="N897">
        <f>0.848484009</f>
        <v>0.84848400899999998</v>
      </c>
      <c r="O897">
        <f>0.817073975</f>
        <v>0.81707397500000001</v>
      </c>
    </row>
    <row r="898" spans="1:15" x14ac:dyDescent="0.25">
      <c r="A898" t="str">
        <f>"                    Golden Minerals Co"</f>
        <v xml:space="preserve">                    Golden Minerals Co</v>
      </c>
      <c r="B898" t="str">
        <f>"AUMN US Equity"</f>
        <v>AUMN US Equity</v>
      </c>
      <c r="C898" t="str">
        <f t="shared" si="96"/>
        <v>F0946</v>
      </c>
      <c r="D898" t="str">
        <f t="shared" si="97"/>
        <v>TOTAL_GHG_CO2_EMISSIONS</v>
      </c>
      <c r="E898" t="str">
        <f t="shared" si="98"/>
        <v>Dynamic</v>
      </c>
      <c r="F898" t="str">
        <f ca="1">IF(AND(ISNUMBER($F$1982),$B$1132=1),$F$1982,HLOOKUP(INDIRECT(ADDRESS(2,COLUMN())),OFFSET($K$2,0,0,ROW()-1,5),ROW()-1,FALSE))</f>
        <v/>
      </c>
      <c r="G898" t="str">
        <f ca="1">IF(AND(ISNUMBER($G$1982),$B$1132=1),$G$1982,HLOOKUP(INDIRECT(ADDRESS(2,COLUMN())),OFFSET($K$2,0,0,ROW()-1,5),ROW()-1,FALSE))</f>
        <v/>
      </c>
      <c r="H898" t="str">
        <f ca="1">IF(AND(ISNUMBER($H$1982),$B$1132=1),$H$1982,HLOOKUP(INDIRECT(ADDRESS(2,COLUMN())),OFFSET($K$2,0,0,ROW()-1,5),ROW()-1,FALSE))</f>
        <v/>
      </c>
      <c r="I898" t="str">
        <f ca="1">IF(AND(ISNUMBER($I$1982),$B$1132=1),$I$1982,HLOOKUP(INDIRECT(ADDRESS(2,COLUMN())),OFFSET($K$2,0,0,ROW()-1,5),ROW()-1,FALSE))</f>
        <v/>
      </c>
      <c r="J898" t="str">
        <f ca="1">IF(AND(ISNUMBER($J$1982),$B$1132=1),$J$1982,HLOOKUP(INDIRECT(ADDRESS(2,COLUMN())),OFFSET($K$2,0,0,ROW()-1,5),ROW()-1,FALSE))</f>
        <v/>
      </c>
      <c r="K898" t="str">
        <f>""</f>
        <v/>
      </c>
      <c r="L898" t="str">
        <f>""</f>
        <v/>
      </c>
      <c r="M898" t="str">
        <f>""</f>
        <v/>
      </c>
      <c r="N898" t="str">
        <f>""</f>
        <v/>
      </c>
      <c r="O898" t="str">
        <f>""</f>
        <v/>
      </c>
    </row>
    <row r="899" spans="1:15" x14ac:dyDescent="0.25">
      <c r="A899" t="str">
        <f>"                    Hochschild Mining PLC"</f>
        <v xml:space="preserve">                    Hochschild Mining PLC</v>
      </c>
      <c r="B899" t="str">
        <f>"HOC LN Equity"</f>
        <v>HOC LN Equity</v>
      </c>
      <c r="C899" t="str">
        <f t="shared" si="96"/>
        <v>F0946</v>
      </c>
      <c r="D899" t="str">
        <f t="shared" si="97"/>
        <v>TOTAL_GHG_CO2_EMISSIONS</v>
      </c>
      <c r="E899" t="str">
        <f t="shared" si="98"/>
        <v>Dynamic</v>
      </c>
      <c r="F899">
        <f ca="1">IF(AND(ISNUMBER($F$1983),$B$1132=1),$F$1983,HLOOKUP(INDIRECT(ADDRESS(2,COLUMN())),OFFSET($K$2,0,0,ROW()-1,5),ROW()-1,FALSE))</f>
        <v>0.111311997</v>
      </c>
      <c r="G899">
        <f ca="1">IF(AND(ISNUMBER($G$1983),$B$1132=1),$G$1983,HLOOKUP(INDIRECT(ADDRESS(2,COLUMN())),OFFSET($K$2,0,0,ROW()-1,5),ROW()-1,FALSE))</f>
        <v>0.104583</v>
      </c>
      <c r="H899">
        <f ca="1">IF(AND(ISNUMBER($H$1983),$B$1132=1),$H$1983,HLOOKUP(INDIRECT(ADDRESS(2,COLUMN())),OFFSET($K$2,0,0,ROW()-1,5),ROW()-1,FALSE))</f>
        <v>9.8973998999999993E-2</v>
      </c>
      <c r="I899">
        <f ca="1">IF(AND(ISNUMBER($I$1983),$B$1132=1),$I$1983,HLOOKUP(INDIRECT(ADDRESS(2,COLUMN())),OFFSET($K$2,0,0,ROW()-1,5),ROW()-1,FALSE))</f>
        <v>0.122209999</v>
      </c>
      <c r="J899">
        <f ca="1">IF(AND(ISNUMBER($J$1983),$B$1132=1),$J$1983,HLOOKUP(INDIRECT(ADDRESS(2,COLUMN())),OFFSET($K$2,0,0,ROW()-1,5),ROW()-1,FALSE))</f>
        <v>0.12954299899999999</v>
      </c>
      <c r="K899">
        <f>0.111311997</f>
        <v>0.111311997</v>
      </c>
      <c r="L899">
        <f>0.104583</f>
        <v>0.104583</v>
      </c>
      <c r="M899">
        <f>0.098973999</f>
        <v>9.8973998999999993E-2</v>
      </c>
      <c r="N899">
        <f>0.122209999</f>
        <v>0.122209999</v>
      </c>
      <c r="O899">
        <f>0.129542999</f>
        <v>0.12954299899999999</v>
      </c>
    </row>
    <row r="900" spans="1:15" x14ac:dyDescent="0.25">
      <c r="A900" t="str">
        <f>"                    Hecla Mining Co"</f>
        <v xml:space="preserve">                    Hecla Mining Co</v>
      </c>
      <c r="B900" t="str">
        <f>"HL US Equity"</f>
        <v>HL US Equity</v>
      </c>
      <c r="C900" t="str">
        <f t="shared" si="96"/>
        <v>F0946</v>
      </c>
      <c r="D900" t="str">
        <f t="shared" si="97"/>
        <v>TOTAL_GHG_CO2_EMISSIONS</v>
      </c>
      <c r="E900" t="str">
        <f t="shared" si="98"/>
        <v>Dynamic</v>
      </c>
      <c r="F900" t="str">
        <f ca="1">IF(AND(ISNUMBER($F$1984),$B$1132=1),$F$1984,HLOOKUP(INDIRECT(ADDRESS(2,COLUMN())),OFFSET($K$2,0,0,ROW()-1,5),ROW()-1,FALSE))</f>
        <v/>
      </c>
      <c r="G900">
        <f ca="1">IF(AND(ISNUMBER($G$1984),$B$1132=1),$G$1984,HLOOKUP(INDIRECT(ADDRESS(2,COLUMN())),OFFSET($K$2,0,0,ROW()-1,5),ROW()-1,FALSE))</f>
        <v>7.5007004000000002E-2</v>
      </c>
      <c r="H900">
        <f ca="1">IF(AND(ISNUMBER($H$1984),$B$1132=1),$H$1984,HLOOKUP(INDIRECT(ADDRESS(2,COLUMN())),OFFSET($K$2,0,0,ROW()-1,5),ROW()-1,FALSE))</f>
        <v>7.5582000999999996E-2</v>
      </c>
      <c r="I900">
        <f ca="1">IF(AND(ISNUMBER($I$1984),$B$1132=1),$I$1984,HLOOKUP(INDIRECT(ADDRESS(2,COLUMN())),OFFSET($K$2,0,0,ROW()-1,5),ROW()-1,FALSE))</f>
        <v>0.13434399399999999</v>
      </c>
      <c r="J900" t="str">
        <f ca="1">IF(AND(ISNUMBER($J$1984),$B$1132=1),$J$1984,HLOOKUP(INDIRECT(ADDRESS(2,COLUMN())),OFFSET($K$2,0,0,ROW()-1,5),ROW()-1,FALSE))</f>
        <v/>
      </c>
      <c r="K900" t="str">
        <f>""</f>
        <v/>
      </c>
      <c r="L900">
        <f>0.075007004</f>
        <v>7.5007004000000002E-2</v>
      </c>
      <c r="M900">
        <f>0.075582001</f>
        <v>7.5582000999999996E-2</v>
      </c>
      <c r="N900">
        <f>0.134343994</f>
        <v>0.13434399399999999</v>
      </c>
      <c r="O900" t="str">
        <f>""</f>
        <v/>
      </c>
    </row>
    <row r="901" spans="1:15" x14ac:dyDescent="0.25">
      <c r="A901" t="str">
        <f>"                    MAG Silver Corp"</f>
        <v xml:space="preserve">                    MAG Silver Corp</v>
      </c>
      <c r="B901" t="str">
        <f>"MAG CN Equity"</f>
        <v>MAG CN Equity</v>
      </c>
      <c r="C901" t="str">
        <f t="shared" si="96"/>
        <v>F0946</v>
      </c>
      <c r="D901" t="str">
        <f t="shared" si="97"/>
        <v>TOTAL_GHG_CO2_EMISSIONS</v>
      </c>
      <c r="E901" t="str">
        <f t="shared" si="98"/>
        <v>Dynamic</v>
      </c>
      <c r="F901" t="str">
        <f ca="1">IF(AND(ISNUMBER($F$1985),$B$1132=1),$F$1985,HLOOKUP(INDIRECT(ADDRESS(2,COLUMN())),OFFSET($K$2,0,0,ROW()-1,5),ROW()-1,FALSE))</f>
        <v/>
      </c>
      <c r="G901" t="str">
        <f ca="1">IF(AND(ISNUMBER($G$1985),$B$1132=1),$G$1985,HLOOKUP(INDIRECT(ADDRESS(2,COLUMN())),OFFSET($K$2,0,0,ROW()-1,5),ROW()-1,FALSE))</f>
        <v/>
      </c>
      <c r="H901" t="str">
        <f ca="1">IF(AND(ISNUMBER($H$1985),$B$1132=1),$H$1985,HLOOKUP(INDIRECT(ADDRESS(2,COLUMN())),OFFSET($K$2,0,0,ROW()-1,5),ROW()-1,FALSE))</f>
        <v/>
      </c>
      <c r="I901" t="str">
        <f ca="1">IF(AND(ISNUMBER($I$1985),$B$1132=1),$I$1985,HLOOKUP(INDIRECT(ADDRESS(2,COLUMN())),OFFSET($K$2,0,0,ROW()-1,5),ROW()-1,FALSE))</f>
        <v/>
      </c>
      <c r="J901" t="str">
        <f ca="1">IF(AND(ISNUMBER($J$1985),$B$1132=1),$J$1985,HLOOKUP(INDIRECT(ADDRESS(2,COLUMN())),OFFSET($K$2,0,0,ROW()-1,5),ROW()-1,FALSE))</f>
        <v/>
      </c>
      <c r="K901" t="str">
        <f>""</f>
        <v/>
      </c>
      <c r="L901" t="str">
        <f>""</f>
        <v/>
      </c>
      <c r="M901" t="str">
        <f>""</f>
        <v/>
      </c>
      <c r="N901" t="str">
        <f>""</f>
        <v/>
      </c>
      <c r="O901" t="str">
        <f>""</f>
        <v/>
      </c>
    </row>
    <row r="902" spans="1:15" x14ac:dyDescent="0.25">
      <c r="A902" t="str">
        <f>"                    McEwen Mining Inc"</f>
        <v xml:space="preserve">                    McEwen Mining Inc</v>
      </c>
      <c r="B902" t="str">
        <f>"MUX US Equity"</f>
        <v>MUX US Equity</v>
      </c>
      <c r="C902" t="str">
        <f t="shared" si="96"/>
        <v>F0946</v>
      </c>
      <c r="D902" t="str">
        <f t="shared" si="97"/>
        <v>TOTAL_GHG_CO2_EMISSIONS</v>
      </c>
      <c r="E902" t="str">
        <f t="shared" si="98"/>
        <v>Dynamic</v>
      </c>
      <c r="F902" t="str">
        <f ca="1">IF(AND(ISNUMBER($F$1986),$B$1132=1),$F$1986,HLOOKUP(INDIRECT(ADDRESS(2,COLUMN())),OFFSET($K$2,0,0,ROW()-1,5),ROW()-1,FALSE))</f>
        <v/>
      </c>
      <c r="G902" t="str">
        <f ca="1">IF(AND(ISNUMBER($G$1986),$B$1132=1),$G$1986,HLOOKUP(INDIRECT(ADDRESS(2,COLUMN())),OFFSET($K$2,0,0,ROW()-1,5),ROW()-1,FALSE))</f>
        <v/>
      </c>
      <c r="H902" t="str">
        <f ca="1">IF(AND(ISNUMBER($H$1986),$B$1132=1),$H$1986,HLOOKUP(INDIRECT(ADDRESS(2,COLUMN())),OFFSET($K$2,0,0,ROW()-1,5),ROW()-1,FALSE))</f>
        <v/>
      </c>
      <c r="I902" t="str">
        <f ca="1">IF(AND(ISNUMBER($I$1986),$B$1132=1),$I$1986,HLOOKUP(INDIRECT(ADDRESS(2,COLUMN())),OFFSET($K$2,0,0,ROW()-1,5),ROW()-1,FALSE))</f>
        <v/>
      </c>
      <c r="J902" t="str">
        <f ca="1">IF(AND(ISNUMBER($J$1986),$B$1132=1),$J$1986,HLOOKUP(INDIRECT(ADDRESS(2,COLUMN())),OFFSET($K$2,0,0,ROW()-1,5),ROW()-1,FALSE))</f>
        <v/>
      </c>
      <c r="K902" t="str">
        <f>""</f>
        <v/>
      </c>
      <c r="L902" t="str">
        <f>""</f>
        <v/>
      </c>
      <c r="M902" t="str">
        <f>""</f>
        <v/>
      </c>
      <c r="N902" t="str">
        <f>""</f>
        <v/>
      </c>
      <c r="O902" t="str">
        <f>""</f>
        <v/>
      </c>
    </row>
    <row r="903" spans="1:15" x14ac:dyDescent="0.25">
      <c r="A903" t="str">
        <f>"                    Minco Silver Corp"</f>
        <v xml:space="preserve">                    Minco Silver Corp</v>
      </c>
      <c r="B903" t="str">
        <f>"MSV CN Equity"</f>
        <v>MSV CN Equity</v>
      </c>
      <c r="C903" t="str">
        <f t="shared" si="96"/>
        <v>F0946</v>
      </c>
      <c r="D903" t="str">
        <f t="shared" si="97"/>
        <v>TOTAL_GHG_CO2_EMISSIONS</v>
      </c>
      <c r="E903" t="str">
        <f t="shared" si="98"/>
        <v>Dynamic</v>
      </c>
      <c r="F903" t="str">
        <f ca="1">IF(AND(ISNUMBER($F$1987),$B$1132=1),$F$1987,HLOOKUP(INDIRECT(ADDRESS(2,COLUMN())),OFFSET($K$2,0,0,ROW()-1,5),ROW()-1,FALSE))</f>
        <v/>
      </c>
      <c r="G903" t="str">
        <f ca="1">IF(AND(ISNUMBER($G$1987),$B$1132=1),$G$1987,HLOOKUP(INDIRECT(ADDRESS(2,COLUMN())),OFFSET($K$2,0,0,ROW()-1,5),ROW()-1,FALSE))</f>
        <v/>
      </c>
      <c r="H903" t="str">
        <f ca="1">IF(AND(ISNUMBER($H$1987),$B$1132=1),$H$1987,HLOOKUP(INDIRECT(ADDRESS(2,COLUMN())),OFFSET($K$2,0,0,ROW()-1,5),ROW()-1,FALSE))</f>
        <v/>
      </c>
      <c r="I903" t="str">
        <f ca="1">IF(AND(ISNUMBER($I$1987),$B$1132=1),$I$1987,HLOOKUP(INDIRECT(ADDRESS(2,COLUMN())),OFFSET($K$2,0,0,ROW()-1,5),ROW()-1,FALSE))</f>
        <v/>
      </c>
      <c r="J903" t="str">
        <f ca="1">IF(AND(ISNUMBER($J$1987),$B$1132=1),$J$1987,HLOOKUP(INDIRECT(ADDRESS(2,COLUMN())),OFFSET($K$2,0,0,ROW()-1,5),ROW()-1,FALSE))</f>
        <v/>
      </c>
      <c r="K903" t="str">
        <f>""</f>
        <v/>
      </c>
      <c r="L903" t="str">
        <f>""</f>
        <v/>
      </c>
      <c r="M903" t="str">
        <f>""</f>
        <v/>
      </c>
      <c r="N903" t="str">
        <f>""</f>
        <v/>
      </c>
      <c r="O903" t="str">
        <f>""</f>
        <v/>
      </c>
    </row>
    <row r="904" spans="1:15" x14ac:dyDescent="0.25">
      <c r="A904" t="str">
        <f>"                    Pan American Silver Corp"</f>
        <v xml:space="preserve">                    Pan American Silver Corp</v>
      </c>
      <c r="B904" t="str">
        <f>"PAAS CN Equity"</f>
        <v>PAAS CN Equity</v>
      </c>
      <c r="C904" t="str">
        <f t="shared" si="96"/>
        <v>F0946</v>
      </c>
      <c r="D904" t="str">
        <f t="shared" si="97"/>
        <v>TOTAL_GHG_CO2_EMISSIONS</v>
      </c>
      <c r="E904" t="str">
        <f t="shared" si="98"/>
        <v>Dynamic</v>
      </c>
      <c r="F904" t="str">
        <f ca="1">IF(AND(ISNUMBER($F$1988),$B$1132=1),$F$1988,HLOOKUP(INDIRECT(ADDRESS(2,COLUMN())),OFFSET($K$2,0,0,ROW()-1,5),ROW()-1,FALSE))</f>
        <v/>
      </c>
      <c r="G904">
        <f ca="1">IF(AND(ISNUMBER($G$1988),$B$1132=1),$G$1988,HLOOKUP(INDIRECT(ADDRESS(2,COLUMN())),OFFSET($K$2,0,0,ROW()-1,5),ROW()-1,FALSE))</f>
        <v>0.40205398599999997</v>
      </c>
      <c r="H904">
        <f ca="1">IF(AND(ISNUMBER($H$1988),$B$1132=1),$H$1988,HLOOKUP(INDIRECT(ADDRESS(2,COLUMN())),OFFSET($K$2,0,0,ROW()-1,5),ROW()-1,FALSE))</f>
        <v>0.38252999900000001</v>
      </c>
      <c r="I904">
        <f ca="1">IF(AND(ISNUMBER($I$1988),$B$1132=1),$I$1988,HLOOKUP(INDIRECT(ADDRESS(2,COLUMN())),OFFSET($K$2,0,0,ROW()-1,5),ROW()-1,FALSE))</f>
        <v>0.45060299700000001</v>
      </c>
      <c r="J904">
        <f ca="1">IF(AND(ISNUMBER($J$1988),$B$1132=1),$J$1988,HLOOKUP(INDIRECT(ADDRESS(2,COLUMN())),OFFSET($K$2,0,0,ROW()-1,5),ROW()-1,FALSE))</f>
        <v>0.28852600099999998</v>
      </c>
      <c r="K904" t="str">
        <f>""</f>
        <v/>
      </c>
      <c r="L904">
        <f>0.402053986</f>
        <v>0.40205398599999997</v>
      </c>
      <c r="M904">
        <f>0.382529999</f>
        <v>0.38252999900000001</v>
      </c>
      <c r="N904">
        <f>0.450602997</f>
        <v>0.45060299700000001</v>
      </c>
      <c r="O904">
        <f>0.288526001</f>
        <v>0.28852600099999998</v>
      </c>
    </row>
    <row r="905" spans="1:15" x14ac:dyDescent="0.25">
      <c r="A905" t="str">
        <f>"                    Silvercorp Metals Inc"</f>
        <v xml:space="preserve">                    Silvercorp Metals Inc</v>
      </c>
      <c r="B905" t="str">
        <f>"SVM CN Equity"</f>
        <v>SVM CN Equity</v>
      </c>
      <c r="C905" t="str">
        <f t="shared" si="96"/>
        <v>F0946</v>
      </c>
      <c r="D905" t="str">
        <f t="shared" si="97"/>
        <v>TOTAL_GHG_CO2_EMISSIONS</v>
      </c>
      <c r="E905" t="str">
        <f t="shared" si="98"/>
        <v>Dynamic</v>
      </c>
      <c r="F905" t="str">
        <f ca="1">IF(AND(ISNUMBER($F$1989),$B$1132=1),$F$1989,HLOOKUP(INDIRECT(ADDRESS(2,COLUMN())),OFFSET($K$2,0,0,ROW()-1,5),ROW()-1,FALSE))</f>
        <v/>
      </c>
      <c r="G905">
        <f ca="1">IF(AND(ISNUMBER($G$1989),$B$1132=1),$G$1989,HLOOKUP(INDIRECT(ADDRESS(2,COLUMN())),OFFSET($K$2,0,0,ROW()-1,5),ROW()-1,FALSE))</f>
        <v>6.5386001999999999E-2</v>
      </c>
      <c r="H905">
        <f ca="1">IF(AND(ISNUMBER($H$1989),$B$1132=1),$H$1989,HLOOKUP(INDIRECT(ADDRESS(2,COLUMN())),OFFSET($K$2,0,0,ROW()-1,5),ROW()-1,FALSE))</f>
        <v>6.4922996999999996E-2</v>
      </c>
      <c r="I905">
        <f ca="1">IF(AND(ISNUMBER($I$1989),$B$1132=1),$I$1989,HLOOKUP(INDIRECT(ADDRESS(2,COLUMN())),OFFSET($K$2,0,0,ROW()-1,5),ROW()-1,FALSE))</f>
        <v>8.4653998999999994E-2</v>
      </c>
      <c r="J905">
        <f ca="1">IF(AND(ISNUMBER($J$1989),$B$1132=1),$J$1989,HLOOKUP(INDIRECT(ADDRESS(2,COLUMN())),OFFSET($K$2,0,0,ROW()-1,5),ROW()-1,FALSE))</f>
        <v>8.2671996999999997E-2</v>
      </c>
      <c r="K905" t="str">
        <f>""</f>
        <v/>
      </c>
      <c r="L905">
        <f>0.065386002</f>
        <v>6.5386001999999999E-2</v>
      </c>
      <c r="M905">
        <f>0.064922997</f>
        <v>6.4922996999999996E-2</v>
      </c>
      <c r="N905">
        <f>0.084653999</f>
        <v>8.4653998999999994E-2</v>
      </c>
      <c r="O905">
        <f>0.082671997</f>
        <v>8.2671996999999997E-2</v>
      </c>
    </row>
    <row r="906" spans="1:15" x14ac:dyDescent="0.25">
      <c r="A906" t="str">
        <f>"                    Societe Metallurgique D'imiter"</f>
        <v xml:space="preserve">                    Societe Metallurgique D'imiter</v>
      </c>
      <c r="B906" t="str">
        <f>"SMI MC Equity"</f>
        <v>SMI MC Equity</v>
      </c>
      <c r="C906" t="str">
        <f t="shared" si="96"/>
        <v>F0946</v>
      </c>
      <c r="D906" t="str">
        <f t="shared" si="97"/>
        <v>TOTAL_GHG_CO2_EMISSIONS</v>
      </c>
      <c r="E906" t="str">
        <f t="shared" si="98"/>
        <v>Dynamic</v>
      </c>
      <c r="F906" t="str">
        <f ca="1">IF(AND(ISNUMBER($F$1990),$B$1132=1),$F$1990,HLOOKUP(INDIRECT(ADDRESS(2,COLUMN())),OFFSET($K$2,0,0,ROW()-1,5),ROW()-1,FALSE))</f>
        <v/>
      </c>
      <c r="G906" t="str">
        <f ca="1">IF(AND(ISNUMBER($G$1990),$B$1132=1),$G$1990,HLOOKUP(INDIRECT(ADDRESS(2,COLUMN())),OFFSET($K$2,0,0,ROW()-1,5),ROW()-1,FALSE))</f>
        <v/>
      </c>
      <c r="H906" t="str">
        <f ca="1">IF(AND(ISNUMBER($H$1990),$B$1132=1),$H$1990,HLOOKUP(INDIRECT(ADDRESS(2,COLUMN())),OFFSET($K$2,0,0,ROW()-1,5),ROW()-1,FALSE))</f>
        <v/>
      </c>
      <c r="I906" t="str">
        <f ca="1">IF(AND(ISNUMBER($I$1990),$B$1132=1),$I$1990,HLOOKUP(INDIRECT(ADDRESS(2,COLUMN())),OFFSET($K$2,0,0,ROW()-1,5),ROW()-1,FALSE))</f>
        <v/>
      </c>
      <c r="J906" t="str">
        <f ca="1">IF(AND(ISNUMBER($J$1990),$B$1132=1),$J$1990,HLOOKUP(INDIRECT(ADDRESS(2,COLUMN())),OFFSET($K$2,0,0,ROW()-1,5),ROW()-1,FALSE))</f>
        <v/>
      </c>
      <c r="K906" t="str">
        <f>""</f>
        <v/>
      </c>
      <c r="L906" t="str">
        <f>""</f>
        <v/>
      </c>
      <c r="M906" t="str">
        <f>""</f>
        <v/>
      </c>
      <c r="N906" t="str">
        <f>""</f>
        <v/>
      </c>
      <c r="O906" t="str">
        <f>""</f>
        <v/>
      </c>
    </row>
    <row r="907" spans="1:15" x14ac:dyDescent="0.25">
      <c r="A907" t="str">
        <f>"                    SSR Mining Inc"</f>
        <v xml:space="preserve">                    SSR Mining Inc</v>
      </c>
      <c r="B907" t="str">
        <f>"SSRM CN Equity"</f>
        <v>SSRM CN Equity</v>
      </c>
      <c r="C907" t="str">
        <f t="shared" si="96"/>
        <v>F0946</v>
      </c>
      <c r="D907" t="str">
        <f t="shared" si="97"/>
        <v>TOTAL_GHG_CO2_EMISSIONS</v>
      </c>
      <c r="E907" t="str">
        <f t="shared" si="98"/>
        <v>Dynamic</v>
      </c>
      <c r="F907">
        <f ca="1">IF(AND(ISNUMBER($F$1991),$B$1132=1),$F$1991,HLOOKUP(INDIRECT(ADDRESS(2,COLUMN())),OFFSET($K$2,0,0,ROW()-1,5),ROW()-1,FALSE))</f>
        <v>0.401279999</v>
      </c>
      <c r="G907">
        <f ca="1">IF(AND(ISNUMBER($G$1991),$B$1132=1),$G$1991,HLOOKUP(INDIRECT(ADDRESS(2,COLUMN())),OFFSET($K$2,0,0,ROW()-1,5),ROW()-1,FALSE))</f>
        <v>0.50352899200000001</v>
      </c>
      <c r="H907">
        <f ca="1">IF(AND(ISNUMBER($H$1991),$B$1132=1),$H$1991,HLOOKUP(INDIRECT(ADDRESS(2,COLUMN())),OFFSET($K$2,0,0,ROW()-1,5),ROW()-1,FALSE))</f>
        <v>0.46105300900000001</v>
      </c>
      <c r="I907">
        <f ca="1">IF(AND(ISNUMBER($I$1991),$B$1132=1),$I$1991,HLOOKUP(INDIRECT(ADDRESS(2,COLUMN())),OFFSET($K$2,0,0,ROW()-1,5),ROW()-1,FALSE))</f>
        <v>0.193742004</v>
      </c>
      <c r="J907">
        <f ca="1">IF(AND(ISNUMBER($J$1991),$B$1132=1),$J$1991,HLOOKUP(INDIRECT(ADDRESS(2,COLUMN())),OFFSET($K$2,0,0,ROW()-1,5),ROW()-1,FALSE))</f>
        <v>0.21430000299999999</v>
      </c>
      <c r="K907">
        <f>0.401279999</f>
        <v>0.401279999</v>
      </c>
      <c r="L907">
        <f>0.503528992</f>
        <v>0.50352899200000001</v>
      </c>
      <c r="M907">
        <f>0.461053009</f>
        <v>0.46105300900000001</v>
      </c>
      <c r="N907">
        <f>0.193742004</f>
        <v>0.193742004</v>
      </c>
      <c r="O907">
        <f>0.214300003</f>
        <v>0.21430000299999999</v>
      </c>
    </row>
    <row r="908" spans="1:15" x14ac:dyDescent="0.25">
      <c r="A908" t="str">
        <f>"                    Troilus Gold Corp"</f>
        <v xml:space="preserve">                    Troilus Gold Corp</v>
      </c>
      <c r="B908" t="str">
        <f>"TLG CN Equity"</f>
        <v>TLG CN Equity</v>
      </c>
      <c r="C908" t="str">
        <f t="shared" si="96"/>
        <v>F0946</v>
      </c>
      <c r="D908" t="str">
        <f t="shared" si="97"/>
        <v>TOTAL_GHG_CO2_EMISSIONS</v>
      </c>
      <c r="E908" t="str">
        <f t="shared" si="98"/>
        <v>Dynamic</v>
      </c>
      <c r="F908" t="str">
        <f ca="1">IF(AND(ISNUMBER($F$1992),$B$1132=1),$F$1992,HLOOKUP(INDIRECT(ADDRESS(2,COLUMN())),OFFSET($K$2,0,0,ROW()-1,5),ROW()-1,FALSE))</f>
        <v/>
      </c>
      <c r="G908" t="str">
        <f ca="1">IF(AND(ISNUMBER($G$1992),$B$1132=1),$G$1992,HLOOKUP(INDIRECT(ADDRESS(2,COLUMN())),OFFSET($K$2,0,0,ROW()-1,5),ROW()-1,FALSE))</f>
        <v/>
      </c>
      <c r="H908" t="str">
        <f ca="1">IF(AND(ISNUMBER($H$1992),$B$1132=1),$H$1992,HLOOKUP(INDIRECT(ADDRESS(2,COLUMN())),OFFSET($K$2,0,0,ROW()-1,5),ROW()-1,FALSE))</f>
        <v/>
      </c>
      <c r="I908" t="str">
        <f ca="1">IF(AND(ISNUMBER($I$1992),$B$1132=1),$I$1992,HLOOKUP(INDIRECT(ADDRESS(2,COLUMN())),OFFSET($K$2,0,0,ROW()-1,5),ROW()-1,FALSE))</f>
        <v/>
      </c>
      <c r="J908" t="str">
        <f ca="1">IF(AND(ISNUMBER($J$1992),$B$1132=1),$J$1992,HLOOKUP(INDIRECT(ADDRESS(2,COLUMN())),OFFSET($K$2,0,0,ROW()-1,5),ROW()-1,FALSE))</f>
        <v/>
      </c>
      <c r="K908" t="str">
        <f>""</f>
        <v/>
      </c>
      <c r="L908" t="str">
        <f>""</f>
        <v/>
      </c>
      <c r="M908" t="str">
        <f>""</f>
        <v/>
      </c>
      <c r="N908" t="str">
        <f>""</f>
        <v/>
      </c>
      <c r="O908" t="str">
        <f>""</f>
        <v/>
      </c>
    </row>
    <row r="909" spans="1:15" x14ac:dyDescent="0.25">
      <c r="A909" t="str">
        <f>"                    Wheaton Precious Metals Corp"</f>
        <v xml:space="preserve">                    Wheaton Precious Metals Corp</v>
      </c>
      <c r="B909" t="str">
        <f>"WPM CN Equity"</f>
        <v>WPM CN Equity</v>
      </c>
      <c r="C909" t="str">
        <f t="shared" si="96"/>
        <v>F0946</v>
      </c>
      <c r="D909" t="str">
        <f t="shared" si="97"/>
        <v>TOTAL_GHG_CO2_EMISSIONS</v>
      </c>
      <c r="E909" t="str">
        <f t="shared" si="98"/>
        <v>Dynamic</v>
      </c>
      <c r="F909">
        <f ca="1">IF(AND(ISNUMBER($F$1993),$B$1132=1),$F$1993,HLOOKUP(INDIRECT(ADDRESS(2,COLUMN())),OFFSET($K$2,0,0,ROW()-1,5),ROW()-1,FALSE))</f>
        <v>3.2030000000000003E-5</v>
      </c>
      <c r="G909">
        <f ca="1">IF(AND(ISNUMBER($G$1993),$B$1132=1),$G$1993,HLOOKUP(INDIRECT(ADDRESS(2,COLUMN())),OFFSET($K$2,0,0,ROW()-1,5),ROW()-1,FALSE))</f>
        <v>3.5099999999999999E-5</v>
      </c>
      <c r="H909">
        <f ca="1">IF(AND(ISNUMBER($H$1993),$B$1132=1),$H$1993,HLOOKUP(INDIRECT(ADDRESS(2,COLUMN())),OFFSET($K$2,0,0,ROW()-1,5),ROW()-1,FALSE))</f>
        <v>2.1549999999999999E-5</v>
      </c>
      <c r="I909">
        <f ca="1">IF(AND(ISNUMBER($I$1993),$B$1132=1),$I$1993,HLOOKUP(INDIRECT(ADDRESS(2,COLUMN())),OFFSET($K$2,0,0,ROW()-1,5),ROW()-1,FALSE))</f>
        <v>2.6800000000000001E-5</v>
      </c>
      <c r="J909">
        <f ca="1">IF(AND(ISNUMBER($J$1993),$B$1132=1),$J$1993,HLOOKUP(INDIRECT(ADDRESS(2,COLUMN())),OFFSET($K$2,0,0,ROW()-1,5),ROW()-1,FALSE))</f>
        <v>2.5930000000000001E-5</v>
      </c>
      <c r="K909">
        <f>0.00003203</f>
        <v>3.2030000000000003E-5</v>
      </c>
      <c r="L909">
        <f>0.0000351</f>
        <v>3.5099999999999999E-5</v>
      </c>
      <c r="M909">
        <f>0.00002155</f>
        <v>2.1549999999999999E-5</v>
      </c>
      <c r="N909">
        <f>0.0000268</f>
        <v>2.6800000000000001E-5</v>
      </c>
      <c r="O909">
        <f>0.00002593</f>
        <v>2.5930000000000001E-5</v>
      </c>
    </row>
    <row r="910" spans="1:15" x14ac:dyDescent="0.25">
      <c r="A910" t="str">
        <f>"                Platinum"</f>
        <v xml:space="preserve">                Platinum</v>
      </c>
      <c r="B910" t="str">
        <f>""</f>
        <v/>
      </c>
      <c r="E910" t="str">
        <f>"Sum"</f>
        <v>Sum</v>
      </c>
      <c r="F910">
        <f ca="1">IF(ISERROR(IF(SUM($F$911:$F$922) = 0, "", SUM($F$911:$F$922))), "", (IF(SUM($F$911:$F$922) = 0, "", SUM($F$911:$F$922))))</f>
        <v>24.645167374000003</v>
      </c>
      <c r="G910">
        <f ca="1">IF(ISERROR(IF(SUM($G$911:$G$922) = 0, "", SUM($G$911:$G$922))), "", (IF(SUM($G$911:$G$922) = 0, "", SUM($G$911:$G$922))))</f>
        <v>43.404270076999993</v>
      </c>
      <c r="H910">
        <f ca="1">IF(ISERROR(IF(SUM($H$911:$H$922) = 0, "", SUM($H$911:$H$922))), "", (IF(SUM($H$911:$H$922) = 0, "", SUM($H$911:$H$922))))</f>
        <v>42.323128815000004</v>
      </c>
      <c r="I910">
        <f ca="1">IF(ISERROR(IF(SUM($I$911:$I$922) = 0, "", SUM($I$911:$I$922))), "", (IF(SUM($I$911:$I$922) = 0, "", SUM($I$911:$I$922))))</f>
        <v>44.842033952000008</v>
      </c>
      <c r="J910">
        <f ca="1">IF(ISERROR(IF(SUM($J$911:$J$922) = 0, "", SUM($J$911:$J$922))), "", (IF(SUM($J$911:$J$922) = 0, "", SUM($J$911:$J$922))))</f>
        <v>41.290639006999989</v>
      </c>
      <c r="K910">
        <f>24.64516737</f>
        <v>24.645167369999999</v>
      </c>
      <c r="L910">
        <f>43.40427008</f>
        <v>43.404270080000003</v>
      </c>
      <c r="M910">
        <f>42.32312881</f>
        <v>42.32312881</v>
      </c>
      <c r="N910">
        <f>44.84203395</f>
        <v>44.842033950000001</v>
      </c>
      <c r="O910">
        <f>41.29063901</f>
        <v>41.29063901</v>
      </c>
    </row>
    <row r="911" spans="1:15" x14ac:dyDescent="0.25">
      <c r="A911" t="str">
        <f>"                    African Rainbow Minerals Ltd"</f>
        <v xml:space="preserve">                    African Rainbow Minerals Ltd</v>
      </c>
      <c r="B911" t="str">
        <f>"ARI SJ Equity"</f>
        <v>ARI SJ Equity</v>
      </c>
      <c r="C911" t="str">
        <f t="shared" ref="C911:C922" si="99">"F0946"</f>
        <v>F0946</v>
      </c>
      <c r="D911" t="str">
        <f t="shared" ref="D911:D922" si="100">"TOTAL_GHG_CO2_EMISSIONS"</f>
        <v>TOTAL_GHG_CO2_EMISSIONS</v>
      </c>
      <c r="E911" t="str">
        <f t="shared" ref="E911:E922" si="101">"Dynamic"</f>
        <v>Dynamic</v>
      </c>
      <c r="F911" t="str">
        <f ca="1">IF(AND(ISNUMBER($F$1994),$B$1132=1),$F$1994,HLOOKUP(INDIRECT(ADDRESS(2,COLUMN())),OFFSET($K$2,0,0,ROW()-1,5),ROW()-1,FALSE))</f>
        <v/>
      </c>
      <c r="G911">
        <f ca="1">IF(AND(ISNUMBER($G$1994),$B$1132=1),$G$1994,HLOOKUP(INDIRECT(ADDRESS(2,COLUMN())),OFFSET($K$2,0,0,ROW()-1,5),ROW()-1,FALSE))</f>
        <v>1.8794999999999999</v>
      </c>
      <c r="H911">
        <f ca="1">IF(AND(ISNUMBER($H$1994),$B$1132=1),$H$1994,HLOOKUP(INDIRECT(ADDRESS(2,COLUMN())),OFFSET($K$2,0,0,ROW()-1,5),ROW()-1,FALSE))</f>
        <v>0.99578802499999997</v>
      </c>
      <c r="I911">
        <f ca="1">IF(AND(ISNUMBER($I$1994),$B$1132=1),$I$1994,HLOOKUP(INDIRECT(ADDRESS(2,COLUMN())),OFFSET($K$2,0,0,ROW()-1,5),ROW()-1,FALSE))</f>
        <v>1.0162999880000001</v>
      </c>
      <c r="J911">
        <f ca="1">IF(AND(ISNUMBER($J$1994),$B$1132=1),$J$1994,HLOOKUP(INDIRECT(ADDRESS(2,COLUMN())),OFFSET($K$2,0,0,ROW()-1,5),ROW()-1,FALSE))</f>
        <v>1.1014999999999999</v>
      </c>
      <c r="K911" t="str">
        <f>""</f>
        <v/>
      </c>
      <c r="L911">
        <f>1.8795</f>
        <v>1.8794999999999999</v>
      </c>
      <c r="M911">
        <f>0.995788025</f>
        <v>0.99578802499999997</v>
      </c>
      <c r="N911">
        <f>1.016299988</f>
        <v>1.0162999880000001</v>
      </c>
      <c r="O911">
        <f>1.1015</f>
        <v>1.1014999999999999</v>
      </c>
    </row>
    <row r="912" spans="1:15" x14ac:dyDescent="0.25">
      <c r="A912" t="str">
        <f>"                    Anglo American PLC"</f>
        <v xml:space="preserve">                    Anglo American PLC</v>
      </c>
      <c r="B912" t="str">
        <f>"AAL LN Equity"</f>
        <v>AAL LN Equity</v>
      </c>
      <c r="C912" t="str">
        <f t="shared" si="99"/>
        <v>F0946</v>
      </c>
      <c r="D912" t="str">
        <f t="shared" si="100"/>
        <v>TOTAL_GHG_CO2_EMISSIONS</v>
      </c>
      <c r="E912" t="str">
        <f t="shared" si="101"/>
        <v>Dynamic</v>
      </c>
      <c r="F912">
        <f ca="1">IF(AND(ISNUMBER($F$1995),$B$1132=1),$F$1995,HLOOKUP(INDIRECT(ADDRESS(2,COLUMN())),OFFSET($K$2,0,0,ROW()-1,5),ROW()-1,FALSE))</f>
        <v>13.3</v>
      </c>
      <c r="G912">
        <f ca="1">IF(AND(ISNUMBER($G$1995),$B$1132=1),$G$1995,HLOOKUP(INDIRECT(ADDRESS(2,COLUMN())),OFFSET($K$2,0,0,ROW()-1,5),ROW()-1,FALSE))</f>
        <v>14.76</v>
      </c>
      <c r="H912">
        <f ca="1">IF(AND(ISNUMBER($H$1995),$B$1132=1),$H$1995,HLOOKUP(INDIRECT(ADDRESS(2,COLUMN())),OFFSET($K$2,0,0,ROW()-1,5),ROW()-1,FALSE))</f>
        <v>16.079999999999998</v>
      </c>
      <c r="I912">
        <f ca="1">IF(AND(ISNUMBER($I$1995),$B$1132=1),$I$1995,HLOOKUP(INDIRECT(ADDRESS(2,COLUMN())),OFFSET($K$2,0,0,ROW()-1,5),ROW()-1,FALSE))</f>
        <v>17.8</v>
      </c>
      <c r="J912">
        <f ca="1">IF(AND(ISNUMBER($J$1995),$B$1132=1),$J$1995,HLOOKUP(INDIRECT(ADDRESS(2,COLUMN())),OFFSET($K$2,0,0,ROW()-1,5),ROW()-1,FALSE))</f>
        <v>16.2</v>
      </c>
      <c r="K912">
        <f>13.3</f>
        <v>13.3</v>
      </c>
      <c r="L912">
        <f>14.76</f>
        <v>14.76</v>
      </c>
      <c r="M912">
        <f>16.08</f>
        <v>16.079999999999998</v>
      </c>
      <c r="N912">
        <f>17.8</f>
        <v>17.8</v>
      </c>
      <c r="O912">
        <f>16.2</f>
        <v>16.2</v>
      </c>
    </row>
    <row r="913" spans="1:15" x14ac:dyDescent="0.25">
      <c r="A913" t="str">
        <f>"                    Anglo American Platinum Ltd"</f>
        <v xml:space="preserve">                    Anglo American Platinum Ltd</v>
      </c>
      <c r="B913" t="str">
        <f>"AMS SJ Equity"</f>
        <v>AMS SJ Equity</v>
      </c>
      <c r="C913" t="str">
        <f t="shared" si="99"/>
        <v>F0946</v>
      </c>
      <c r="D913" t="str">
        <f t="shared" si="100"/>
        <v>TOTAL_GHG_CO2_EMISSIONS</v>
      </c>
      <c r="E913" t="str">
        <f t="shared" si="101"/>
        <v>Dynamic</v>
      </c>
      <c r="F913">
        <f ca="1">IF(AND(ISNUMBER($F$1996),$B$1132=1),$F$1996,HLOOKUP(INDIRECT(ADDRESS(2,COLUMN())),OFFSET($K$2,0,0,ROW()-1,5),ROW()-1,FALSE))</f>
        <v>4.0860000000000003</v>
      </c>
      <c r="G913">
        <f ca="1">IF(AND(ISNUMBER($G$1996),$B$1132=1),$G$1996,HLOOKUP(INDIRECT(ADDRESS(2,COLUMN())),OFFSET($K$2,0,0,ROW()-1,5),ROW()-1,FALSE))</f>
        <v>4.5220000000000002</v>
      </c>
      <c r="H913">
        <f ca="1">IF(AND(ISNUMBER($H$1996),$B$1132=1),$H$1996,HLOOKUP(INDIRECT(ADDRESS(2,COLUMN())),OFFSET($K$2,0,0,ROW()-1,5),ROW()-1,FALSE))</f>
        <v>3.9420000000000002</v>
      </c>
      <c r="I913">
        <f ca="1">IF(AND(ISNUMBER($I$1996),$B$1132=1),$I$1996,HLOOKUP(INDIRECT(ADDRESS(2,COLUMN())),OFFSET($K$2,0,0,ROW()-1,5),ROW()-1,FALSE))</f>
        <v>4.4355200200000002</v>
      </c>
      <c r="J913">
        <f ca="1">IF(AND(ISNUMBER($J$1996),$B$1132=1),$J$1996,HLOOKUP(INDIRECT(ADDRESS(2,COLUMN())),OFFSET($K$2,0,0,ROW()-1,5),ROW()-1,FALSE))</f>
        <v>4.1180000000000003</v>
      </c>
      <c r="K913">
        <f>4.086</f>
        <v>4.0860000000000003</v>
      </c>
      <c r="L913">
        <f>4.522</f>
        <v>4.5220000000000002</v>
      </c>
      <c r="M913">
        <f>3.942</f>
        <v>3.9420000000000002</v>
      </c>
      <c r="N913">
        <f>4.43552002</f>
        <v>4.4355200200000002</v>
      </c>
      <c r="O913">
        <f>4.118</f>
        <v>4.1180000000000003</v>
      </c>
    </row>
    <row r="914" spans="1:15" x14ac:dyDescent="0.25">
      <c r="A914" t="str">
        <f>"                    Eastern Platinum Ltd"</f>
        <v xml:space="preserve">                    Eastern Platinum Ltd</v>
      </c>
      <c r="B914" t="str">
        <f>"ELR CN Equity"</f>
        <v>ELR CN Equity</v>
      </c>
      <c r="C914" t="str">
        <f t="shared" si="99"/>
        <v>F0946</v>
      </c>
      <c r="D914" t="str">
        <f t="shared" si="100"/>
        <v>TOTAL_GHG_CO2_EMISSIONS</v>
      </c>
      <c r="E914" t="str">
        <f t="shared" si="101"/>
        <v>Dynamic</v>
      </c>
      <c r="F914" t="str">
        <f ca="1">IF(AND(ISNUMBER($F$1997),$B$1132=1),$F$1997,HLOOKUP(INDIRECT(ADDRESS(2,COLUMN())),OFFSET($K$2,0,0,ROW()-1,5),ROW()-1,FALSE))</f>
        <v/>
      </c>
      <c r="G914" t="str">
        <f ca="1">IF(AND(ISNUMBER($G$1997),$B$1132=1),$G$1997,HLOOKUP(INDIRECT(ADDRESS(2,COLUMN())),OFFSET($K$2,0,0,ROW()-1,5),ROW()-1,FALSE))</f>
        <v/>
      </c>
      <c r="H914" t="str">
        <f ca="1">IF(AND(ISNUMBER($H$1997),$B$1132=1),$H$1997,HLOOKUP(INDIRECT(ADDRESS(2,COLUMN())),OFFSET($K$2,0,0,ROW()-1,5),ROW()-1,FALSE))</f>
        <v/>
      </c>
      <c r="I914" t="str">
        <f ca="1">IF(AND(ISNUMBER($I$1997),$B$1132=1),$I$1997,HLOOKUP(INDIRECT(ADDRESS(2,COLUMN())),OFFSET($K$2,0,0,ROW()-1,5),ROW()-1,FALSE))</f>
        <v/>
      </c>
      <c r="J914" t="str">
        <f ca="1">IF(AND(ISNUMBER($J$1997),$B$1132=1),$J$1997,HLOOKUP(INDIRECT(ADDRESS(2,COLUMN())),OFFSET($K$2,0,0,ROW()-1,5),ROW()-1,FALSE))</f>
        <v/>
      </c>
      <c r="K914" t="str">
        <f>""</f>
        <v/>
      </c>
      <c r="L914" t="str">
        <f>""</f>
        <v/>
      </c>
      <c r="M914" t="str">
        <f>""</f>
        <v/>
      </c>
      <c r="N914" t="str">
        <f>""</f>
        <v/>
      </c>
      <c r="O914" t="str">
        <f>""</f>
        <v/>
      </c>
    </row>
    <row r="915" spans="1:15" x14ac:dyDescent="0.25">
      <c r="A915" t="str">
        <f>"                    Impala Platinum Holdings Ltd"</f>
        <v xml:space="preserve">                    Impala Platinum Holdings Ltd</v>
      </c>
      <c r="B915" t="str">
        <f>"IMP SJ Equity"</f>
        <v>IMP SJ Equity</v>
      </c>
      <c r="C915" t="str">
        <f t="shared" si="99"/>
        <v>F0946</v>
      </c>
      <c r="D915" t="str">
        <f t="shared" si="100"/>
        <v>TOTAL_GHG_CO2_EMISSIONS</v>
      </c>
      <c r="E915" t="str">
        <f t="shared" si="101"/>
        <v>Dynamic</v>
      </c>
      <c r="F915" t="str">
        <f ca="1">IF(AND(ISNUMBER($F$1998),$B$1132=1),$F$1998,HLOOKUP(INDIRECT(ADDRESS(2,COLUMN())),OFFSET($K$2,0,0,ROW()-1,5),ROW()-1,FALSE))</f>
        <v/>
      </c>
      <c r="G915">
        <f ca="1">IF(AND(ISNUMBER($G$1998),$B$1132=1),$G$1998,HLOOKUP(INDIRECT(ADDRESS(2,COLUMN())),OFFSET($K$2,0,0,ROW()-1,5),ROW()-1,FALSE))</f>
        <v>4.0709999999999997</v>
      </c>
      <c r="H915">
        <f ca="1">IF(AND(ISNUMBER($H$1998),$B$1132=1),$H$1998,HLOOKUP(INDIRECT(ADDRESS(2,COLUMN())),OFFSET($K$2,0,0,ROW()-1,5),ROW()-1,FALSE))</f>
        <v>4.1394301760000003</v>
      </c>
      <c r="I915">
        <f ca="1">IF(AND(ISNUMBER($I$1998),$B$1132=1),$I$1998,HLOOKUP(INDIRECT(ADDRESS(2,COLUMN())),OFFSET($K$2,0,0,ROW()-1,5),ROW()-1,FALSE))</f>
        <v>3.6449399410000001</v>
      </c>
      <c r="J915">
        <f ca="1">IF(AND(ISNUMBER($J$1998),$B$1132=1),$J$1998,HLOOKUP(INDIRECT(ADDRESS(2,COLUMN())),OFFSET($K$2,0,0,ROW()-1,5),ROW()-1,FALSE))</f>
        <v>3.8296599119999999</v>
      </c>
      <c r="K915" t="str">
        <f>""</f>
        <v/>
      </c>
      <c r="L915">
        <f>4.071</f>
        <v>4.0709999999999997</v>
      </c>
      <c r="M915">
        <f>4.139430176</f>
        <v>4.1394301760000003</v>
      </c>
      <c r="N915">
        <f>3.644939941</f>
        <v>3.6449399410000001</v>
      </c>
      <c r="O915">
        <f>3.829659912</f>
        <v>3.8296599119999999</v>
      </c>
    </row>
    <row r="916" spans="1:15" x14ac:dyDescent="0.25">
      <c r="A916" t="str">
        <f>"                    Jubilee Metals Group PLC"</f>
        <v xml:space="preserve">                    Jubilee Metals Group PLC</v>
      </c>
      <c r="B916" t="str">
        <f>"JLP LN Equity"</f>
        <v>JLP LN Equity</v>
      </c>
      <c r="C916" t="str">
        <f t="shared" si="99"/>
        <v>F0946</v>
      </c>
      <c r="D916" t="str">
        <f t="shared" si="100"/>
        <v>TOTAL_GHG_CO2_EMISSIONS</v>
      </c>
      <c r="E916" t="str">
        <f t="shared" si="101"/>
        <v>Dynamic</v>
      </c>
      <c r="F916" t="str">
        <f ca="1">IF(AND(ISNUMBER($F$1999),$B$1132=1),$F$1999,HLOOKUP(INDIRECT(ADDRESS(2,COLUMN())),OFFSET($K$2,0,0,ROW()-1,5),ROW()-1,FALSE))</f>
        <v/>
      </c>
      <c r="G916" t="str">
        <f ca="1">IF(AND(ISNUMBER($G$1999),$B$1132=1),$G$1999,HLOOKUP(INDIRECT(ADDRESS(2,COLUMN())),OFFSET($K$2,0,0,ROW()-1,5),ROW()-1,FALSE))</f>
        <v/>
      </c>
      <c r="H916" t="str">
        <f ca="1">IF(AND(ISNUMBER($H$1999),$B$1132=1),$H$1999,HLOOKUP(INDIRECT(ADDRESS(2,COLUMN())),OFFSET($K$2,0,0,ROW()-1,5),ROW()-1,FALSE))</f>
        <v/>
      </c>
      <c r="I916" t="str">
        <f ca="1">IF(AND(ISNUMBER($I$1999),$B$1132=1),$I$1999,HLOOKUP(INDIRECT(ADDRESS(2,COLUMN())),OFFSET($K$2,0,0,ROW()-1,5),ROW()-1,FALSE))</f>
        <v/>
      </c>
      <c r="J916" t="str">
        <f ca="1">IF(AND(ISNUMBER($J$1999),$B$1132=1),$J$1999,HLOOKUP(INDIRECT(ADDRESS(2,COLUMN())),OFFSET($K$2,0,0,ROW()-1,5),ROW()-1,FALSE))</f>
        <v/>
      </c>
      <c r="K916" t="str">
        <f>""</f>
        <v/>
      </c>
      <c r="L916" t="str">
        <f>""</f>
        <v/>
      </c>
      <c r="M916" t="str">
        <f>""</f>
        <v/>
      </c>
      <c r="N916" t="str">
        <f>""</f>
        <v/>
      </c>
      <c r="O916" t="str">
        <f>""</f>
        <v/>
      </c>
    </row>
    <row r="917" spans="1:15" x14ac:dyDescent="0.25">
      <c r="A917" t="str">
        <f>"                    MMC Norilsk Nickel PJSC"</f>
        <v xml:space="preserve">                    MMC Norilsk Nickel PJSC</v>
      </c>
      <c r="B917" t="str">
        <f>"GMKN RM Equity"</f>
        <v>GMKN RM Equity</v>
      </c>
      <c r="C917" t="str">
        <f t="shared" si="99"/>
        <v>F0946</v>
      </c>
      <c r="D917" t="str">
        <f t="shared" si="100"/>
        <v>TOTAL_GHG_CO2_EMISSIONS</v>
      </c>
      <c r="E917" t="str">
        <f t="shared" si="101"/>
        <v>Dynamic</v>
      </c>
      <c r="F917" t="str">
        <f ca="1">IF(AND(ISNUMBER($F$2000),$B$1132=1),$F$2000,HLOOKUP(INDIRECT(ADDRESS(2,COLUMN())),OFFSET($K$2,0,0,ROW()-1,5),ROW()-1,FALSE))</f>
        <v/>
      </c>
      <c r="G917">
        <f ca="1">IF(AND(ISNUMBER($G$2000),$B$1132=1),$G$2000,HLOOKUP(INDIRECT(ADDRESS(2,COLUMN())),OFFSET($K$2,0,0,ROW()-1,5),ROW()-1,FALSE))</f>
        <v>10.31</v>
      </c>
      <c r="H917">
        <f ca="1">IF(AND(ISNUMBER($H$2000),$B$1132=1),$H$2000,HLOOKUP(INDIRECT(ADDRESS(2,COLUMN())),OFFSET($K$2,0,0,ROW()-1,5),ROW()-1,FALSE))</f>
        <v>9.6985996090000004</v>
      </c>
      <c r="I917">
        <f ca="1">IF(AND(ISNUMBER($I$2000),$B$1132=1),$I$2000,HLOOKUP(INDIRECT(ADDRESS(2,COLUMN())),OFFSET($K$2,0,0,ROW()-1,5),ROW()-1,FALSE))</f>
        <v>9.9</v>
      </c>
      <c r="J917">
        <f ca="1">IF(AND(ISNUMBER($J$2000),$B$1132=1),$J$2000,HLOOKUP(INDIRECT(ADDRESS(2,COLUMN())),OFFSET($K$2,0,0,ROW()-1,5),ROW()-1,FALSE))</f>
        <v>10</v>
      </c>
      <c r="K917" t="str">
        <f>""</f>
        <v/>
      </c>
      <c r="L917">
        <f>10.31</f>
        <v>10.31</v>
      </c>
      <c r="M917">
        <f>9.698599609</f>
        <v>9.6985996090000004</v>
      </c>
      <c r="N917">
        <f>9.9</f>
        <v>9.9</v>
      </c>
      <c r="O917">
        <f>10</f>
        <v>10</v>
      </c>
    </row>
    <row r="918" spans="1:15" x14ac:dyDescent="0.25">
      <c r="A918" t="str">
        <f>"                    PolyMet Mining Corp"</f>
        <v xml:space="preserve">                    PolyMet Mining Corp</v>
      </c>
      <c r="B918" t="str">
        <f>"POM CN Equity"</f>
        <v>POM CN Equity</v>
      </c>
      <c r="C918" t="str">
        <f t="shared" si="99"/>
        <v>F0946</v>
      </c>
      <c r="D918" t="str">
        <f t="shared" si="100"/>
        <v>TOTAL_GHG_CO2_EMISSIONS</v>
      </c>
      <c r="E918" t="str">
        <f t="shared" si="101"/>
        <v>Dynamic</v>
      </c>
      <c r="F918" t="str">
        <f ca="1">IF(AND(ISNUMBER($F$2001),$B$1132=1),$F$2001,HLOOKUP(INDIRECT(ADDRESS(2,COLUMN())),OFFSET($K$2,0,0,ROW()-1,5),ROW()-1,FALSE))</f>
        <v/>
      </c>
      <c r="G918" t="str">
        <f ca="1">IF(AND(ISNUMBER($G$2001),$B$1132=1),$G$2001,HLOOKUP(INDIRECT(ADDRESS(2,COLUMN())),OFFSET($K$2,0,0,ROW()-1,5),ROW()-1,FALSE))</f>
        <v/>
      </c>
      <c r="H918" t="str">
        <f ca="1">IF(AND(ISNUMBER($H$2001),$B$1132=1),$H$2001,HLOOKUP(INDIRECT(ADDRESS(2,COLUMN())),OFFSET($K$2,0,0,ROW()-1,5),ROW()-1,FALSE))</f>
        <v/>
      </c>
      <c r="I918" t="str">
        <f ca="1">IF(AND(ISNUMBER($I$2001),$B$1132=1),$I$2001,HLOOKUP(INDIRECT(ADDRESS(2,COLUMN())),OFFSET($K$2,0,0,ROW()-1,5),ROW()-1,FALSE))</f>
        <v/>
      </c>
      <c r="J918" t="str">
        <f ca="1">IF(AND(ISNUMBER($J$2001),$B$1132=1),$J$2001,HLOOKUP(INDIRECT(ADDRESS(2,COLUMN())),OFFSET($K$2,0,0,ROW()-1,5),ROW()-1,FALSE))</f>
        <v/>
      </c>
      <c r="K918" t="str">
        <f>""</f>
        <v/>
      </c>
      <c r="L918" t="str">
        <f>""</f>
        <v/>
      </c>
      <c r="M918" t="str">
        <f>""</f>
        <v/>
      </c>
      <c r="N918" t="str">
        <f>""</f>
        <v/>
      </c>
      <c r="O918" t="str">
        <f>""</f>
        <v/>
      </c>
    </row>
    <row r="919" spans="1:15" x14ac:dyDescent="0.25">
      <c r="A919" t="str">
        <f>"                    Royal Bafokeng Platinum Ltd"</f>
        <v xml:space="preserve">                    Royal Bafokeng Platinum Ltd</v>
      </c>
      <c r="B919" t="str">
        <f>"RBP SJ Equity"</f>
        <v>RBP SJ Equity</v>
      </c>
      <c r="C919" t="str">
        <f t="shared" si="99"/>
        <v>F0946</v>
      </c>
      <c r="D919" t="str">
        <f t="shared" si="100"/>
        <v>TOTAL_GHG_CO2_EMISSIONS</v>
      </c>
      <c r="E919" t="str">
        <f t="shared" si="101"/>
        <v>Dynamic</v>
      </c>
      <c r="F919">
        <f ca="1">IF(AND(ISNUMBER($F$2002),$B$1132=1),$F$2002,HLOOKUP(INDIRECT(ADDRESS(2,COLUMN())),OFFSET($K$2,0,0,ROW()-1,5),ROW()-1,FALSE))</f>
        <v>0.557547974</v>
      </c>
      <c r="G919">
        <f ca="1">IF(AND(ISNUMBER($G$2002),$B$1132=1),$G$2002,HLOOKUP(INDIRECT(ADDRESS(2,COLUMN())),OFFSET($K$2,0,0,ROW()-1,5),ROW()-1,FALSE))</f>
        <v>0.51392199699999996</v>
      </c>
      <c r="H919">
        <f ca="1">IF(AND(ISNUMBER($H$2002),$B$1132=1),$H$2002,HLOOKUP(INDIRECT(ADDRESS(2,COLUMN())),OFFSET($K$2,0,0,ROW()-1,5),ROW()-1,FALSE))</f>
        <v>0.45031100499999999</v>
      </c>
      <c r="I919">
        <f ca="1">IF(AND(ISNUMBER($I$2002),$B$1132=1),$I$2002,HLOOKUP(INDIRECT(ADDRESS(2,COLUMN())),OFFSET($K$2,0,0,ROW()-1,5),ROW()-1,FALSE))</f>
        <v>0.42763299599999999</v>
      </c>
      <c r="J919">
        <f ca="1">IF(AND(ISNUMBER($J$2002),$B$1132=1),$J$2002,HLOOKUP(INDIRECT(ADDRESS(2,COLUMN())),OFFSET($K$2,0,0,ROW()-1,5),ROW()-1,FALSE))</f>
        <v>0.341744995</v>
      </c>
      <c r="K919">
        <f>0.557547974</f>
        <v>0.557547974</v>
      </c>
      <c r="L919">
        <f>0.513921997</f>
        <v>0.51392199699999996</v>
      </c>
      <c r="M919">
        <f>0.450311005</f>
        <v>0.45031100499999999</v>
      </c>
      <c r="N919">
        <f>0.427632996</f>
        <v>0.42763299599999999</v>
      </c>
      <c r="O919">
        <f>0.341744995</f>
        <v>0.341744995</v>
      </c>
    </row>
    <row r="920" spans="1:15" x14ac:dyDescent="0.25">
      <c r="A920" t="str">
        <f>"                    Sibanye Stillwater Ltd"</f>
        <v xml:space="preserve">                    Sibanye Stillwater Ltd</v>
      </c>
      <c r="B920" t="str">
        <f>"SSW SJ Equity"</f>
        <v>SSW SJ Equity</v>
      </c>
      <c r="C920" t="str">
        <f t="shared" si="99"/>
        <v>F0946</v>
      </c>
      <c r="D920" t="str">
        <f t="shared" si="100"/>
        <v>TOTAL_GHG_CO2_EMISSIONS</v>
      </c>
      <c r="E920" t="str">
        <f t="shared" si="101"/>
        <v>Dynamic</v>
      </c>
      <c r="F920">
        <f ca="1">IF(AND(ISNUMBER($F$2003),$B$1132=1),$F$2003,HLOOKUP(INDIRECT(ADDRESS(2,COLUMN())),OFFSET($K$2,0,0,ROW()-1,5),ROW()-1,FALSE))</f>
        <v>6.6520000000000001</v>
      </c>
      <c r="G920">
        <f ca="1">IF(AND(ISNUMBER($G$2003),$B$1132=1),$G$2003,HLOOKUP(INDIRECT(ADDRESS(2,COLUMN())),OFFSET($K$2,0,0,ROW()-1,5),ROW()-1,FALSE))</f>
        <v>7.3018300780000001</v>
      </c>
      <c r="H920">
        <f ca="1">IF(AND(ISNUMBER($H$2003),$B$1132=1),$H$2003,HLOOKUP(INDIRECT(ADDRESS(2,COLUMN())),OFFSET($K$2,0,0,ROW()-1,5),ROW()-1,FALSE))</f>
        <v>7.0170000000000003</v>
      </c>
      <c r="I920">
        <f ca="1">IF(AND(ISNUMBER($I$2003),$B$1132=1),$I$2003,HLOOKUP(INDIRECT(ADDRESS(2,COLUMN())),OFFSET($K$2,0,0,ROW()-1,5),ROW()-1,FALSE))</f>
        <v>7.4080000000000004</v>
      </c>
      <c r="J920">
        <f ca="1">IF(AND(ISNUMBER($J$2003),$B$1132=1),$J$2003,HLOOKUP(INDIRECT(ADDRESS(2,COLUMN())),OFFSET($K$2,0,0,ROW()-1,5),ROW()-1,FALSE))</f>
        <v>5.6660000000000004</v>
      </c>
      <c r="K920">
        <f>6.652</f>
        <v>6.6520000000000001</v>
      </c>
      <c r="L920">
        <f>7.301830078</f>
        <v>7.3018300780000001</v>
      </c>
      <c r="M920">
        <f>7.017</f>
        <v>7.0170000000000003</v>
      </c>
      <c r="N920">
        <f>7.408</f>
        <v>7.4080000000000004</v>
      </c>
      <c r="O920">
        <f>5.666</f>
        <v>5.6660000000000004</v>
      </c>
    </row>
    <row r="921" spans="1:15" x14ac:dyDescent="0.25">
      <c r="A921" t="str">
        <f>"                    Wesizwe Platinum Ltd"</f>
        <v xml:space="preserve">                    Wesizwe Platinum Ltd</v>
      </c>
      <c r="B921" t="str">
        <f>"WEZ SJ Equity"</f>
        <v>WEZ SJ Equity</v>
      </c>
      <c r="C921" t="str">
        <f t="shared" si="99"/>
        <v>F0946</v>
      </c>
      <c r="D921" t="str">
        <f t="shared" si="100"/>
        <v>TOTAL_GHG_CO2_EMISSIONS</v>
      </c>
      <c r="E921" t="str">
        <f t="shared" si="101"/>
        <v>Dynamic</v>
      </c>
      <c r="F921">
        <f ca="1">IF(AND(ISNUMBER($F$2004),$B$1132=1),$F$2004,HLOOKUP(INDIRECT(ADDRESS(2,COLUMN())),OFFSET($K$2,0,0,ROW()-1,5),ROW()-1,FALSE))</f>
        <v>4.9619400000000001E-2</v>
      </c>
      <c r="G921">
        <f ca="1">IF(AND(ISNUMBER($G$2004),$B$1132=1),$G$2004,HLOOKUP(INDIRECT(ADDRESS(2,COLUMN())),OFFSET($K$2,0,0,ROW()-1,5),ROW()-1,FALSE))</f>
        <v>4.6018002000000002E-2</v>
      </c>
      <c r="H921" t="str">
        <f ca="1">IF(AND(ISNUMBER($H$2004),$B$1132=1),$H$2004,HLOOKUP(INDIRECT(ADDRESS(2,COLUMN())),OFFSET($K$2,0,0,ROW()-1,5),ROW()-1,FALSE))</f>
        <v/>
      </c>
      <c r="I921">
        <f ca="1">IF(AND(ISNUMBER($I$2004),$B$1132=1),$I$2004,HLOOKUP(INDIRECT(ADDRESS(2,COLUMN())),OFFSET($K$2,0,0,ROW()-1,5),ROW()-1,FALSE))</f>
        <v>0.20964100699999999</v>
      </c>
      <c r="J921">
        <f ca="1">IF(AND(ISNUMBER($J$2004),$B$1132=1),$J$2004,HLOOKUP(INDIRECT(ADDRESS(2,COLUMN())),OFFSET($K$2,0,0,ROW()-1,5),ROW()-1,FALSE))</f>
        <v>3.3734100000000003E-2</v>
      </c>
      <c r="K921">
        <f>0.0496194</f>
        <v>4.9619400000000001E-2</v>
      </c>
      <c r="L921">
        <f>0.046018002</f>
        <v>4.6018002000000002E-2</v>
      </c>
      <c r="M921" t="str">
        <f>""</f>
        <v/>
      </c>
      <c r="N921">
        <f>0.209641007</f>
        <v>0.20964100699999999</v>
      </c>
      <c r="O921">
        <f>0.0337341</f>
        <v>3.3734100000000003E-2</v>
      </c>
    </row>
    <row r="922" spans="1:15" x14ac:dyDescent="0.25">
      <c r="A922" t="str">
        <f>"                    Zimplats Holdings Ltd"</f>
        <v xml:space="preserve">                    Zimplats Holdings Ltd</v>
      </c>
      <c r="B922" t="str">
        <f>"ZIM AU Equity"</f>
        <v>ZIM AU Equity</v>
      </c>
      <c r="C922" t="str">
        <f t="shared" si="99"/>
        <v>F0946</v>
      </c>
      <c r="D922" t="str">
        <f t="shared" si="100"/>
        <v>TOTAL_GHG_CO2_EMISSIONS</v>
      </c>
      <c r="E922" t="str">
        <f t="shared" si="101"/>
        <v>Dynamic</v>
      </c>
      <c r="F922" t="str">
        <f ca="1">IF(AND(ISNUMBER($F$2005),$B$1132=1),$F$2005,HLOOKUP(INDIRECT(ADDRESS(2,COLUMN())),OFFSET($K$2,0,0,ROW()-1,5),ROW()-1,FALSE))</f>
        <v/>
      </c>
      <c r="G922" t="str">
        <f ca="1">IF(AND(ISNUMBER($G$2005),$B$1132=1),$G$2005,HLOOKUP(INDIRECT(ADDRESS(2,COLUMN())),OFFSET($K$2,0,0,ROW()-1,5),ROW()-1,FALSE))</f>
        <v/>
      </c>
      <c r="H922" t="str">
        <f ca="1">IF(AND(ISNUMBER($H$2005),$B$1132=1),$H$2005,HLOOKUP(INDIRECT(ADDRESS(2,COLUMN())),OFFSET($K$2,0,0,ROW()-1,5),ROW()-1,FALSE))</f>
        <v/>
      </c>
      <c r="I922" t="str">
        <f ca="1">IF(AND(ISNUMBER($I$2005),$B$1132=1),$I$2005,HLOOKUP(INDIRECT(ADDRESS(2,COLUMN())),OFFSET($K$2,0,0,ROW()-1,5),ROW()-1,FALSE))</f>
        <v/>
      </c>
      <c r="J922" t="str">
        <f ca="1">IF(AND(ISNUMBER($J$2005),$B$1132=1),$J$2005,HLOOKUP(INDIRECT(ADDRESS(2,COLUMN())),OFFSET($K$2,0,0,ROW()-1,5),ROW()-1,FALSE))</f>
        <v/>
      </c>
      <c r="K922" t="str">
        <f>""</f>
        <v/>
      </c>
      <c r="L922" t="str">
        <f>""</f>
        <v/>
      </c>
      <c r="M922" t="str">
        <f>""</f>
        <v/>
      </c>
      <c r="N922" t="str">
        <f>""</f>
        <v/>
      </c>
      <c r="O922" t="str">
        <f>""</f>
        <v/>
      </c>
    </row>
    <row r="923" spans="1:15" x14ac:dyDescent="0.25">
      <c r="A923" t="str">
        <f>"                Iron"</f>
        <v xml:space="preserve">                Iron</v>
      </c>
      <c r="B923" t="str">
        <f>""</f>
        <v/>
      </c>
      <c r="E923" t="str">
        <f>"Sum"</f>
        <v>Sum</v>
      </c>
      <c r="F923">
        <f ca="1">IF(ISERROR(IF(SUM($F$924:$F$929) = 0, "", SUM($F$924:$F$929))), "", (IF(SUM($F$924:$F$929) = 0, "", SUM($F$924:$F$929))))</f>
        <v>31.858000000000001</v>
      </c>
      <c r="G923">
        <f ca="1">IF(ISERROR(IF(SUM($G$924:$G$929) = 0, "", SUM($G$924:$G$929))), "", (IF(SUM($G$924:$G$929) = 0, "", SUM($G$924:$G$929))))</f>
        <v>50.472689940999999</v>
      </c>
      <c r="H923">
        <f ca="1">IF(ISERROR(IF(SUM($H$924:$H$929) = 0, "", SUM($H$924:$H$929))), "", (IF(SUM($H$924:$H$929) = 0, "", SUM($H$924:$H$929))))</f>
        <v>45.300318054000002</v>
      </c>
      <c r="I923">
        <f ca="1">IF(ISERROR(IF(SUM($I$924:$I$929) = 0, "", SUM($I$924:$I$929))), "", (IF(SUM($I$924:$I$929) = 0, "", SUM($I$924:$I$929))))</f>
        <v>46.026269959000004</v>
      </c>
      <c r="J923">
        <f ca="1">IF(ISERROR(IF(SUM($J$924:$J$929) = 0, "", SUM($J$924:$J$929))), "", (IF(SUM($J$924:$J$929) = 0, "", SUM($J$924:$J$929))))</f>
        <v>46.718050048999999</v>
      </c>
      <c r="K923">
        <f>31.858</f>
        <v>31.858000000000001</v>
      </c>
      <c r="L923">
        <f>50.47268994</f>
        <v>50.472689940000002</v>
      </c>
      <c r="M923">
        <f>45.30031805</f>
        <v>45.300318050000001</v>
      </c>
      <c r="N923">
        <f>46.02626996</f>
        <v>46.02626996</v>
      </c>
      <c r="O923">
        <f>46.71805005</f>
        <v>46.718050050000002</v>
      </c>
    </row>
    <row r="924" spans="1:15" x14ac:dyDescent="0.25">
      <c r="A924" t="str">
        <f>"                    African Rainbow Minerals Ltd"</f>
        <v xml:space="preserve">                    African Rainbow Minerals Ltd</v>
      </c>
      <c r="B924" t="str">
        <f>"ARI SJ Equity"</f>
        <v>ARI SJ Equity</v>
      </c>
      <c r="C924" t="str">
        <f t="shared" ref="C924:C929" si="102">"F0946"</f>
        <v>F0946</v>
      </c>
      <c r="D924" t="str">
        <f t="shared" ref="D924:D929" si="103">"TOTAL_GHG_CO2_EMISSIONS"</f>
        <v>TOTAL_GHG_CO2_EMISSIONS</v>
      </c>
      <c r="E924" t="str">
        <f t="shared" ref="E924:E929" si="104">"Dynamic"</f>
        <v>Dynamic</v>
      </c>
      <c r="F924" t="str">
        <f ca="1">IF(AND(ISNUMBER($F$2006),$B$1132=1),$F$2006,HLOOKUP(INDIRECT(ADDRESS(2,COLUMN())),OFFSET($K$2,0,0,ROW()-1,5),ROW()-1,FALSE))</f>
        <v/>
      </c>
      <c r="G924">
        <f ca="1">IF(AND(ISNUMBER($G$2006),$B$1132=1),$G$2006,HLOOKUP(INDIRECT(ADDRESS(2,COLUMN())),OFFSET($K$2,0,0,ROW()-1,5),ROW()-1,FALSE))</f>
        <v>1.8794999999999999</v>
      </c>
      <c r="H924">
        <f ca="1">IF(AND(ISNUMBER($H$2006),$B$1132=1),$H$2006,HLOOKUP(INDIRECT(ADDRESS(2,COLUMN())),OFFSET($K$2,0,0,ROW()-1,5),ROW()-1,FALSE))</f>
        <v>0.99578802499999997</v>
      </c>
      <c r="I924">
        <f ca="1">IF(AND(ISNUMBER($I$2006),$B$1132=1),$I$2006,HLOOKUP(INDIRECT(ADDRESS(2,COLUMN())),OFFSET($K$2,0,0,ROW()-1,5),ROW()-1,FALSE))</f>
        <v>1.0162999880000001</v>
      </c>
      <c r="J924">
        <f ca="1">IF(AND(ISNUMBER($J$2006),$B$1132=1),$J$2006,HLOOKUP(INDIRECT(ADDRESS(2,COLUMN())),OFFSET($K$2,0,0,ROW()-1,5),ROW()-1,FALSE))</f>
        <v>1.1014999999999999</v>
      </c>
      <c r="K924" t="str">
        <f>""</f>
        <v/>
      </c>
      <c r="L924">
        <f>1.8795</f>
        <v>1.8794999999999999</v>
      </c>
      <c r="M924">
        <f>0.995788025</f>
        <v>0.99578802499999997</v>
      </c>
      <c r="N924">
        <f>1.016299988</f>
        <v>1.0162999880000001</v>
      </c>
      <c r="O924">
        <f>1.1015</f>
        <v>1.1014999999999999</v>
      </c>
    </row>
    <row r="925" spans="1:15" x14ac:dyDescent="0.25">
      <c r="A925" t="str">
        <f>"                    BHP Group Ltd"</f>
        <v xml:space="preserve">                    BHP Group Ltd</v>
      </c>
      <c r="B925" t="str">
        <f>"BHP AU Equity"</f>
        <v>BHP AU Equity</v>
      </c>
      <c r="C925" t="str">
        <f t="shared" si="102"/>
        <v>F0946</v>
      </c>
      <c r="D925" t="str">
        <f t="shared" si="103"/>
        <v>TOTAL_GHG_CO2_EMISSIONS</v>
      </c>
      <c r="E925" t="str">
        <f t="shared" si="104"/>
        <v>Dynamic</v>
      </c>
      <c r="F925" t="str">
        <f ca="1">IF(AND(ISNUMBER($F$2007),$B$1132=1),$F$2007,HLOOKUP(INDIRECT(ADDRESS(2,COLUMN())),OFFSET($K$2,0,0,ROW()-1,5),ROW()-1,FALSE))</f>
        <v/>
      </c>
      <c r="G925">
        <f ca="1">IF(AND(ISNUMBER($G$2007),$B$1132=1),$G$2007,HLOOKUP(INDIRECT(ADDRESS(2,COLUMN())),OFFSET($K$2,0,0,ROW()-1,5),ROW()-1,FALSE))</f>
        <v>14</v>
      </c>
      <c r="H925">
        <f ca="1">IF(AND(ISNUMBER($H$2007),$B$1132=1),$H$2007,HLOOKUP(INDIRECT(ADDRESS(2,COLUMN())),OFFSET($K$2,0,0,ROW()-1,5),ROW()-1,FALSE))</f>
        <v>15</v>
      </c>
      <c r="I925">
        <f ca="1">IF(AND(ISNUMBER($I$2007),$B$1132=1),$I$2007,HLOOKUP(INDIRECT(ADDRESS(2,COLUMN())),OFFSET($K$2,0,0,ROW()-1,5),ROW()-1,FALSE))</f>
        <v>14.6</v>
      </c>
      <c r="J925">
        <f ca="1">IF(AND(ISNUMBER($J$2007),$B$1132=1),$J$2007,HLOOKUP(INDIRECT(ADDRESS(2,COLUMN())),OFFSET($K$2,0,0,ROW()-1,5),ROW()-1,FALSE))</f>
        <v>14.824</v>
      </c>
      <c r="K925" t="str">
        <f>""</f>
        <v/>
      </c>
      <c r="L925">
        <f>14</f>
        <v>14</v>
      </c>
      <c r="M925">
        <f>15</f>
        <v>15</v>
      </c>
      <c r="N925">
        <f>14.6</f>
        <v>14.6</v>
      </c>
      <c r="O925">
        <f>14.824</f>
        <v>14.824</v>
      </c>
    </row>
    <row r="926" spans="1:15" x14ac:dyDescent="0.25">
      <c r="A926" t="str">
        <f>"                    Ferrexpo PLC"</f>
        <v xml:space="preserve">                    Ferrexpo PLC</v>
      </c>
      <c r="B926" t="str">
        <f>"FXPO LN Equity"</f>
        <v>FXPO LN Equity</v>
      </c>
      <c r="C926" t="str">
        <f t="shared" si="102"/>
        <v>F0946</v>
      </c>
      <c r="D926" t="str">
        <f t="shared" si="103"/>
        <v>TOTAL_GHG_CO2_EMISSIONS</v>
      </c>
      <c r="E926" t="str">
        <f t="shared" si="104"/>
        <v>Dynamic</v>
      </c>
      <c r="F926">
        <f ca="1">IF(AND(ISNUMBER($F$2008),$B$1132=1),$F$2008,HLOOKUP(INDIRECT(ADDRESS(2,COLUMN())),OFFSET($K$2,0,0,ROW()-1,5),ROW()-1,FALSE))</f>
        <v>0.56399999999999995</v>
      </c>
      <c r="G926">
        <f ca="1">IF(AND(ISNUMBER($G$2008),$B$1132=1),$G$2008,HLOOKUP(INDIRECT(ADDRESS(2,COLUMN())),OFFSET($K$2,0,0,ROW()-1,5),ROW()-1,FALSE))</f>
        <v>1.0531899410000001</v>
      </c>
      <c r="H926">
        <f ca="1">IF(AND(ISNUMBER($H$2008),$B$1132=1),$H$2008,HLOOKUP(INDIRECT(ADDRESS(2,COLUMN())),OFFSET($K$2,0,0,ROW()-1,5),ROW()-1,FALSE))</f>
        <v>1.2625300290000001</v>
      </c>
      <c r="I926">
        <f ca="1">IF(AND(ISNUMBER($I$2008),$B$1132=1),$I$2008,HLOOKUP(INDIRECT(ADDRESS(2,COLUMN())),OFFSET($K$2,0,0,ROW()-1,5),ROW()-1,FALSE))</f>
        <v>2.5199699710000001</v>
      </c>
      <c r="J926">
        <f ca="1">IF(AND(ISNUMBER($J$2008),$B$1132=1),$J$2008,HLOOKUP(INDIRECT(ADDRESS(2,COLUMN())),OFFSET($K$2,0,0,ROW()-1,5),ROW()-1,FALSE))</f>
        <v>2.4925500490000001</v>
      </c>
      <c r="K926">
        <f>0.564</f>
        <v>0.56399999999999995</v>
      </c>
      <c r="L926">
        <f>1.053189941</f>
        <v>1.0531899410000001</v>
      </c>
      <c r="M926">
        <f>1.262530029</f>
        <v>1.2625300290000001</v>
      </c>
      <c r="N926">
        <f>2.519969971</f>
        <v>2.5199699710000001</v>
      </c>
      <c r="O926">
        <f>2.492550049</f>
        <v>2.4925500490000001</v>
      </c>
    </row>
    <row r="927" spans="1:15" x14ac:dyDescent="0.25">
      <c r="A927" t="str">
        <f>"                    Fortescue Metals Group Ltd"</f>
        <v xml:space="preserve">                    Fortescue Metals Group Ltd</v>
      </c>
      <c r="B927" t="str">
        <f>"FMG AU Equity"</f>
        <v>FMG AU Equity</v>
      </c>
      <c r="C927" t="str">
        <f t="shared" si="102"/>
        <v>F0946</v>
      </c>
      <c r="D927" t="str">
        <f t="shared" si="103"/>
        <v>TOTAL_GHG_CO2_EMISSIONS</v>
      </c>
      <c r="E927" t="str">
        <f t="shared" si="104"/>
        <v>Dynamic</v>
      </c>
      <c r="F927" t="str">
        <f ca="1">IF(AND(ISNUMBER($F$2009),$B$1132=1),$F$2009,HLOOKUP(INDIRECT(ADDRESS(2,COLUMN())),OFFSET($K$2,0,0,ROW()-1,5),ROW()-1,FALSE))</f>
        <v/>
      </c>
      <c r="G927">
        <f ca="1">IF(AND(ISNUMBER($G$2009),$B$1132=1),$G$2009,HLOOKUP(INDIRECT(ADDRESS(2,COLUMN())),OFFSET($K$2,0,0,ROW()-1,5),ROW()-1,FALSE))</f>
        <v>2.5499999999999998</v>
      </c>
      <c r="H927">
        <f ca="1">IF(AND(ISNUMBER($H$2009),$B$1132=1),$H$2009,HLOOKUP(INDIRECT(ADDRESS(2,COLUMN())),OFFSET($K$2,0,0,ROW()-1,5),ROW()-1,FALSE))</f>
        <v>2.2200000000000002</v>
      </c>
      <c r="I927">
        <f ca="1">IF(AND(ISNUMBER($I$2009),$B$1132=1),$I$2009,HLOOKUP(INDIRECT(ADDRESS(2,COLUMN())),OFFSET($K$2,0,0,ROW()-1,5),ROW()-1,FALSE))</f>
        <v>2.09</v>
      </c>
      <c r="J927">
        <f ca="1">IF(AND(ISNUMBER($J$2009),$B$1132=1),$J$2009,HLOOKUP(INDIRECT(ADDRESS(2,COLUMN())),OFFSET($K$2,0,0,ROW()-1,5),ROW()-1,FALSE))</f>
        <v>1.84</v>
      </c>
      <c r="K927" t="str">
        <f>""</f>
        <v/>
      </c>
      <c r="L927">
        <f>2.55</f>
        <v>2.5499999999999998</v>
      </c>
      <c r="M927">
        <f>2.22</f>
        <v>2.2200000000000002</v>
      </c>
      <c r="N927">
        <f>2.09</f>
        <v>2.09</v>
      </c>
      <c r="O927">
        <f>1.84</f>
        <v>1.84</v>
      </c>
    </row>
    <row r="928" spans="1:15" x14ac:dyDescent="0.25">
      <c r="A928" t="str">
        <f>"                    Kumba Iron Ore Ltd"</f>
        <v xml:space="preserve">                    Kumba Iron Ore Ltd</v>
      </c>
      <c r="B928" t="str">
        <f>"KIO SJ Equity"</f>
        <v>KIO SJ Equity</v>
      </c>
      <c r="C928" t="str">
        <f t="shared" si="102"/>
        <v>F0946</v>
      </c>
      <c r="D928" t="str">
        <f t="shared" si="103"/>
        <v>TOTAL_GHG_CO2_EMISSIONS</v>
      </c>
      <c r="E928" t="str">
        <f t="shared" si="104"/>
        <v>Dynamic</v>
      </c>
      <c r="F928">
        <f ca="1">IF(AND(ISNUMBER($F$2010),$B$1132=1),$F$2010,HLOOKUP(INDIRECT(ADDRESS(2,COLUMN())),OFFSET($K$2,0,0,ROW()-1,5),ROW()-1,FALSE))</f>
        <v>0.99399999999999999</v>
      </c>
      <c r="G928">
        <f ca="1">IF(AND(ISNUMBER($G$2010),$B$1132=1),$G$2010,HLOOKUP(INDIRECT(ADDRESS(2,COLUMN())),OFFSET($K$2,0,0,ROW()-1,5),ROW()-1,FALSE))</f>
        <v>0.99</v>
      </c>
      <c r="H928">
        <f ca="1">IF(AND(ISNUMBER($H$2010),$B$1132=1),$H$2010,HLOOKUP(INDIRECT(ADDRESS(2,COLUMN())),OFFSET($K$2,0,0,ROW()-1,5),ROW()-1,FALSE))</f>
        <v>0.91</v>
      </c>
      <c r="I928">
        <f ca="1">IF(AND(ISNUMBER($I$2010),$B$1132=1),$I$2010,HLOOKUP(INDIRECT(ADDRESS(2,COLUMN())),OFFSET($K$2,0,0,ROW()-1,5),ROW()-1,FALSE))</f>
        <v>1</v>
      </c>
      <c r="J928">
        <f ca="1">IF(AND(ISNUMBER($J$2010),$B$1132=1),$J$2010,HLOOKUP(INDIRECT(ADDRESS(2,COLUMN())),OFFSET($K$2,0,0,ROW()-1,5),ROW()-1,FALSE))</f>
        <v>0.96</v>
      </c>
      <c r="K928">
        <f>0.994</f>
        <v>0.99399999999999999</v>
      </c>
      <c r="L928">
        <f>0.99</f>
        <v>0.99</v>
      </c>
      <c r="M928">
        <f>0.91</f>
        <v>0.91</v>
      </c>
      <c r="N928">
        <f>1</f>
        <v>1</v>
      </c>
      <c r="O928">
        <f>0.96</f>
        <v>0.96</v>
      </c>
    </row>
    <row r="929" spans="1:15" x14ac:dyDescent="0.25">
      <c r="A929" t="str">
        <f>"                    Rio Tinto PLC"</f>
        <v xml:space="preserve">                    Rio Tinto PLC</v>
      </c>
      <c r="B929" t="str">
        <f>"RIO LN Equity"</f>
        <v>RIO LN Equity</v>
      </c>
      <c r="C929" t="str">
        <f t="shared" si="102"/>
        <v>F0946</v>
      </c>
      <c r="D929" t="str">
        <f t="shared" si="103"/>
        <v>TOTAL_GHG_CO2_EMISSIONS</v>
      </c>
      <c r="E929" t="str">
        <f t="shared" si="104"/>
        <v>Dynamic</v>
      </c>
      <c r="F929">
        <f ca="1">IF(AND(ISNUMBER($F$2011),$B$1132=1),$F$2011,HLOOKUP(INDIRECT(ADDRESS(2,COLUMN())),OFFSET($K$2,0,0,ROW()-1,5),ROW()-1,FALSE))</f>
        <v>30.3</v>
      </c>
      <c r="G929">
        <f ca="1">IF(AND(ISNUMBER($G$2011),$B$1132=1),$G$2011,HLOOKUP(INDIRECT(ADDRESS(2,COLUMN())),OFFSET($K$2,0,0,ROW()-1,5),ROW()-1,FALSE))</f>
        <v>30</v>
      </c>
      <c r="H929">
        <f ca="1">IF(AND(ISNUMBER($H$2011),$B$1132=1),$H$2011,HLOOKUP(INDIRECT(ADDRESS(2,COLUMN())),OFFSET($K$2,0,0,ROW()-1,5),ROW()-1,FALSE))</f>
        <v>24.911999999999999</v>
      </c>
      <c r="I929">
        <f ca="1">IF(AND(ISNUMBER($I$2011),$B$1132=1),$I$2011,HLOOKUP(INDIRECT(ADDRESS(2,COLUMN())),OFFSET($K$2,0,0,ROW()-1,5),ROW()-1,FALSE))</f>
        <v>24.8</v>
      </c>
      <c r="J929">
        <f ca="1">IF(AND(ISNUMBER($J$2011),$B$1132=1),$J$2011,HLOOKUP(INDIRECT(ADDRESS(2,COLUMN())),OFFSET($K$2,0,0,ROW()-1,5),ROW()-1,FALSE))</f>
        <v>25.5</v>
      </c>
      <c r="K929">
        <f>30.3</f>
        <v>30.3</v>
      </c>
      <c r="L929">
        <f>30</f>
        <v>30</v>
      </c>
      <c r="M929">
        <f>24.912</f>
        <v>24.911999999999999</v>
      </c>
      <c r="N929">
        <f>24.8</f>
        <v>24.8</v>
      </c>
      <c r="O929">
        <f>25.5</f>
        <v>25.5</v>
      </c>
    </row>
    <row r="930" spans="1:15" x14ac:dyDescent="0.25">
      <c r="A930" t="str">
        <f>"            Construction Materials"</f>
        <v xml:space="preserve">            Construction Materials</v>
      </c>
      <c r="B930" t="str">
        <f>""</f>
        <v/>
      </c>
      <c r="E930" t="str">
        <f>"Sum"</f>
        <v>Sum</v>
      </c>
      <c r="F930">
        <f ca="1">IF(ISERROR(IF(SUM($F$931:$F$931) = 0, "", SUM($F$931:$F$931))), "", (IF(SUM($F$931:$F$931) = 0, "", SUM($F$931:$F$931))))</f>
        <v>218.80118994099999</v>
      </c>
      <c r="G930">
        <f ca="1">IF(ISERROR(IF(SUM($G$931:$G$931) = 0, "", SUM($G$931:$G$931))), "", (IF(SUM($G$931:$G$931) = 0, "", SUM($G$931:$G$931))))</f>
        <v>363.77601366600004</v>
      </c>
      <c r="H930">
        <f ca="1">IF(ISERROR(IF(SUM($H$931:$H$931) = 0, "", SUM($H$931:$H$931))), "", (IF(SUM($H$931:$H$931) = 0, "", SUM($H$931:$H$931))))</f>
        <v>350.57361816700001</v>
      </c>
      <c r="I930">
        <f ca="1">IF(ISERROR(IF(SUM($I$931:$I$931) = 0, "", SUM($I$931:$I$931))), "", (IF(SUM($I$931:$I$931) = 0, "", SUM($I$931:$I$931))))</f>
        <v>366.11809033200007</v>
      </c>
      <c r="J930">
        <f ca="1">IF(ISERROR(IF(SUM($J$931:$J$931) = 0, "", SUM($J$931:$J$931))), "", (IF(SUM($J$931:$J$931) = 0, "", SUM($J$931:$J$931))))</f>
        <v>387.19677880999996</v>
      </c>
      <c r="K930" t="str">
        <f>""</f>
        <v/>
      </c>
      <c r="L930">
        <f>363.7760137</f>
        <v>363.77601370000002</v>
      </c>
      <c r="M930">
        <f>350.5736182</f>
        <v>350.5736182</v>
      </c>
      <c r="N930">
        <f>366.1180903</f>
        <v>366.11809030000001</v>
      </c>
      <c r="O930">
        <f>387.1967788</f>
        <v>387.1967788</v>
      </c>
    </row>
    <row r="931" spans="1:15" x14ac:dyDescent="0.25">
      <c r="A931" t="str">
        <f>"                Building Materials"</f>
        <v xml:space="preserve">                Building Materials</v>
      </c>
      <c r="B931" t="str">
        <f>""</f>
        <v/>
      </c>
      <c r="E931" t="str">
        <f>"Sum"</f>
        <v>Sum</v>
      </c>
      <c r="F931">
        <f ca="1">IF(ISERROR(IF(SUM($F$932:$F$941) = 0, "", SUM($F$932:$F$941))), "", (IF(SUM($F$932:$F$941) = 0, "", SUM($F$932:$F$941))))</f>
        <v>218.80118994099999</v>
      </c>
      <c r="G931">
        <f ca="1">IF(ISERROR(IF(SUM($G$932:$G$941) = 0, "", SUM($G$932:$G$941))), "", (IF(SUM($G$932:$G$941) = 0, "", SUM($G$932:$G$941))))</f>
        <v>363.77601366600004</v>
      </c>
      <c r="H931">
        <f ca="1">IF(ISERROR(IF(SUM($H$932:$H$941) = 0, "", SUM($H$932:$H$941))), "", (IF(SUM($H$932:$H$941) = 0, "", SUM($H$932:$H$941))))</f>
        <v>350.57361816700001</v>
      </c>
      <c r="I931">
        <f ca="1">IF(ISERROR(IF(SUM($I$932:$I$941) = 0, "", SUM($I$932:$I$941))), "", (IF(SUM($I$932:$I$941) = 0, "", SUM($I$932:$I$941))))</f>
        <v>366.11809033200007</v>
      </c>
      <c r="J931">
        <f ca="1">IF(ISERROR(IF(SUM($J$932:$J$941) = 0, "", SUM($J$932:$J$941))), "", (IF(SUM($J$932:$J$941) = 0, "", SUM($J$932:$J$941))))</f>
        <v>387.19677880999996</v>
      </c>
      <c r="K931" t="str">
        <f>""</f>
        <v/>
      </c>
      <c r="L931">
        <f>363.7760137</f>
        <v>363.77601370000002</v>
      </c>
      <c r="M931">
        <f>350.5736182</f>
        <v>350.5736182</v>
      </c>
      <c r="N931">
        <f>366.1180903</f>
        <v>366.11809030000001</v>
      </c>
      <c r="O931">
        <f>387.1967788</f>
        <v>387.1967788</v>
      </c>
    </row>
    <row r="932" spans="1:15" x14ac:dyDescent="0.25">
      <c r="A932" t="str">
        <f>"                    Buzzi Unicem SpA"</f>
        <v xml:space="preserve">                    Buzzi Unicem SpA</v>
      </c>
      <c r="B932" t="str">
        <f>"BZU IM Equity"</f>
        <v>BZU IM Equity</v>
      </c>
      <c r="C932" t="str">
        <f t="shared" ref="C932:C941" si="105">"F0946"</f>
        <v>F0946</v>
      </c>
      <c r="D932" t="str">
        <f t="shared" ref="D932:D941" si="106">"TOTAL_GHG_CO2_EMISSIONS"</f>
        <v>TOTAL_GHG_CO2_EMISSIONS</v>
      </c>
      <c r="E932" t="str">
        <f t="shared" ref="E932:E941" si="107">"Dynamic"</f>
        <v>Dynamic</v>
      </c>
      <c r="F932" t="str">
        <f ca="1">IF(AND(ISNUMBER($F$2012),$B$1132=1),$F$2012,HLOOKUP(INDIRECT(ADDRESS(2,COLUMN())),OFFSET($K$2,0,0,ROW()-1,5),ROW()-1,FALSE))</f>
        <v/>
      </c>
      <c r="G932">
        <f ca="1">IF(AND(ISNUMBER($G$2012),$B$1132=1),$G$2012,HLOOKUP(INDIRECT(ADDRESS(2,COLUMN())),OFFSET($K$2,0,0,ROW()-1,5),ROW()-1,FALSE))</f>
        <v>22.186</v>
      </c>
      <c r="H932">
        <f ca="1">IF(AND(ISNUMBER($H$2012),$B$1132=1),$H$2012,HLOOKUP(INDIRECT(ADDRESS(2,COLUMN())),OFFSET($K$2,0,0,ROW()-1,5),ROW()-1,FALSE))</f>
        <v>21.321699219999999</v>
      </c>
      <c r="I932">
        <f ca="1">IF(AND(ISNUMBER($I$2012),$B$1132=1),$I$2012,HLOOKUP(INDIRECT(ADDRESS(2,COLUMN())),OFFSET($K$2,0,0,ROW()-1,5),ROW()-1,FALSE))</f>
        <v>21.63369922</v>
      </c>
      <c r="J932">
        <f ca="1">IF(AND(ISNUMBER($J$2012),$B$1132=1),$J$2012,HLOOKUP(INDIRECT(ADDRESS(2,COLUMN())),OFFSET($K$2,0,0,ROW()-1,5),ROW()-1,FALSE))</f>
        <v>20.62080078</v>
      </c>
      <c r="K932" t="str">
        <f>""</f>
        <v/>
      </c>
      <c r="L932">
        <f>22.186</f>
        <v>22.186</v>
      </c>
      <c r="M932">
        <f>21.32169922</f>
        <v>21.321699219999999</v>
      </c>
      <c r="N932">
        <f>21.63369922</f>
        <v>21.63369922</v>
      </c>
      <c r="O932">
        <f>20.62080078</f>
        <v>20.62080078</v>
      </c>
    </row>
    <row r="933" spans="1:15" x14ac:dyDescent="0.25">
      <c r="A933" t="str">
        <f>"                    Cementos Argos SA"</f>
        <v xml:space="preserve">                    Cementos Argos SA</v>
      </c>
      <c r="B933" t="str">
        <f>"CEMARGOS CB Equity"</f>
        <v>CEMARGOS CB Equity</v>
      </c>
      <c r="C933" t="str">
        <f t="shared" si="105"/>
        <v>F0946</v>
      </c>
      <c r="D933" t="str">
        <f t="shared" si="106"/>
        <v>TOTAL_GHG_CO2_EMISSIONS</v>
      </c>
      <c r="E933" t="str">
        <f t="shared" si="107"/>
        <v>Dynamic</v>
      </c>
      <c r="F933" t="str">
        <f ca="1">IF(AND(ISNUMBER($F$2013),$B$1132=1),$F$2013,HLOOKUP(INDIRECT(ADDRESS(2,COLUMN())),OFFSET($K$2,0,0,ROW()-1,5),ROW()-1,FALSE))</f>
        <v/>
      </c>
      <c r="G933">
        <f ca="1">IF(AND(ISNUMBER($G$2013),$B$1132=1),$G$2013,HLOOKUP(INDIRECT(ADDRESS(2,COLUMN())),OFFSET($K$2,0,0,ROW()-1,5),ROW()-1,FALSE))</f>
        <v>9.2090800779999995</v>
      </c>
      <c r="H933">
        <f ca="1">IF(AND(ISNUMBER($H$2013),$B$1132=1),$H$2013,HLOOKUP(INDIRECT(ADDRESS(2,COLUMN())),OFFSET($K$2,0,0,ROW()-1,5),ROW()-1,FALSE))</f>
        <v>8.1872001950000008</v>
      </c>
      <c r="I933">
        <f ca="1">IF(AND(ISNUMBER($I$2013),$B$1132=1),$I$2013,HLOOKUP(INDIRECT(ADDRESS(2,COLUMN())),OFFSET($K$2,0,0,ROW()-1,5),ROW()-1,FALSE))</f>
        <v>9.1599501950000004</v>
      </c>
      <c r="J933">
        <f ca="1">IF(AND(ISNUMBER($J$2013),$B$1132=1),$J$2013,HLOOKUP(INDIRECT(ADDRESS(2,COLUMN())),OFFSET($K$2,0,0,ROW()-1,5),ROW()-1,FALSE))</f>
        <v>8.7505595700000001</v>
      </c>
      <c r="K933" t="str">
        <f>""</f>
        <v/>
      </c>
      <c r="L933">
        <f>9.209080078</f>
        <v>9.2090800779999995</v>
      </c>
      <c r="M933">
        <f>8.187200195</f>
        <v>8.1872001950000008</v>
      </c>
      <c r="N933">
        <f>9.159950195</f>
        <v>9.1599501950000004</v>
      </c>
      <c r="O933">
        <f>8.75055957</f>
        <v>8.7505595700000001</v>
      </c>
    </row>
    <row r="934" spans="1:15" x14ac:dyDescent="0.25">
      <c r="A934" t="str">
        <f>"                    CRH PLC"</f>
        <v xml:space="preserve">                    CRH PLC</v>
      </c>
      <c r="B934" t="str">
        <f>"CRH ID Equity"</f>
        <v>CRH ID Equity</v>
      </c>
      <c r="C934" t="str">
        <f t="shared" si="105"/>
        <v>F0946</v>
      </c>
      <c r="D934" t="str">
        <f t="shared" si="106"/>
        <v>TOTAL_GHG_CO2_EMISSIONS</v>
      </c>
      <c r="E934" t="str">
        <f t="shared" si="107"/>
        <v>Dynamic</v>
      </c>
      <c r="F934" t="str">
        <f ca="1">IF(AND(ISNUMBER($F$2014),$B$1132=1),$F$2014,HLOOKUP(INDIRECT(ADDRESS(2,COLUMN())),OFFSET($K$2,0,0,ROW()-1,5),ROW()-1,FALSE))</f>
        <v/>
      </c>
      <c r="G934">
        <f ca="1">IF(AND(ISNUMBER($G$2014),$B$1132=1),$G$2014,HLOOKUP(INDIRECT(ADDRESS(2,COLUMN())),OFFSET($K$2,0,0,ROW()-1,5),ROW()-1,FALSE))</f>
        <v>36</v>
      </c>
      <c r="H934">
        <f ca="1">IF(AND(ISNUMBER($H$2014),$B$1132=1),$H$2014,HLOOKUP(INDIRECT(ADDRESS(2,COLUMN())),OFFSET($K$2,0,0,ROW()-1,5),ROW()-1,FALSE))</f>
        <v>35</v>
      </c>
      <c r="I934">
        <f ca="1">IF(AND(ISNUMBER($I$2014),$B$1132=1),$I$2014,HLOOKUP(INDIRECT(ADDRESS(2,COLUMN())),OFFSET($K$2,0,0,ROW()-1,5),ROW()-1,FALSE))</f>
        <v>36.5</v>
      </c>
      <c r="J934">
        <f ca="1">IF(AND(ISNUMBER($J$2014),$B$1132=1),$J$2014,HLOOKUP(INDIRECT(ADDRESS(2,COLUMN())),OFFSET($K$2,0,0,ROW()-1,5),ROW()-1,FALSE))</f>
        <v>38.1</v>
      </c>
      <c r="K934" t="str">
        <f>""</f>
        <v/>
      </c>
      <c r="L934">
        <f>36</f>
        <v>36</v>
      </c>
      <c r="M934">
        <f>35</f>
        <v>35</v>
      </c>
      <c r="N934">
        <f>36.5</f>
        <v>36.5</v>
      </c>
      <c r="O934">
        <f>38.1</f>
        <v>38.1</v>
      </c>
    </row>
    <row r="935" spans="1:15" x14ac:dyDescent="0.25">
      <c r="A935" t="str">
        <f>"                    Cementir Holding NV"</f>
        <v xml:space="preserve">                    Cementir Holding NV</v>
      </c>
      <c r="B935" t="str">
        <f>"CEM IM Equity"</f>
        <v>CEM IM Equity</v>
      </c>
      <c r="C935" t="str">
        <f t="shared" si="105"/>
        <v>F0946</v>
      </c>
      <c r="D935" t="str">
        <f t="shared" si="106"/>
        <v>TOTAL_GHG_CO2_EMISSIONS</v>
      </c>
      <c r="E935" t="str">
        <f t="shared" si="107"/>
        <v>Dynamic</v>
      </c>
      <c r="F935">
        <f ca="1">IF(AND(ISNUMBER($F$2015),$B$1132=1),$F$2015,HLOOKUP(INDIRECT(ADDRESS(2,COLUMN())),OFFSET($K$2,0,0,ROW()-1,5),ROW()-1,FALSE))</f>
        <v>7.7111899409999998</v>
      </c>
      <c r="G935">
        <f ca="1">IF(AND(ISNUMBER($G$2015),$B$1132=1),$G$2015,HLOOKUP(INDIRECT(ADDRESS(2,COLUMN())),OFFSET($K$2,0,0,ROW()-1,5),ROW()-1,FALSE))</f>
        <v>8.7139296880000003</v>
      </c>
      <c r="H935">
        <f ca="1">IF(AND(ISNUMBER($H$2015),$B$1132=1),$H$2015,HLOOKUP(INDIRECT(ADDRESS(2,COLUMN())),OFFSET($K$2,0,0,ROW()-1,5),ROW()-1,FALSE))</f>
        <v>8.4974199220000006</v>
      </c>
      <c r="I935">
        <f ca="1">IF(AND(ISNUMBER($I$2015),$B$1132=1),$I$2015,HLOOKUP(INDIRECT(ADDRESS(2,COLUMN())),OFFSET($K$2,0,0,ROW()-1,5),ROW()-1,FALSE))</f>
        <v>7.7061401370000002</v>
      </c>
      <c r="J935">
        <f ca="1">IF(AND(ISNUMBER($J$2015),$B$1132=1),$J$2015,HLOOKUP(INDIRECT(ADDRESS(2,COLUMN())),OFFSET($K$2,0,0,ROW()-1,5),ROW()-1,FALSE))</f>
        <v>8.0795200200000004</v>
      </c>
      <c r="K935">
        <f>7.711189941</f>
        <v>7.7111899409999998</v>
      </c>
      <c r="L935">
        <f>8.713929688</f>
        <v>8.7139296880000003</v>
      </c>
      <c r="M935">
        <f>8.497419922</f>
        <v>8.4974199220000006</v>
      </c>
      <c r="N935">
        <f>7.706140137</f>
        <v>7.7061401370000002</v>
      </c>
      <c r="O935">
        <f>8.07952002</f>
        <v>8.0795200200000004</v>
      </c>
    </row>
    <row r="936" spans="1:15" x14ac:dyDescent="0.25">
      <c r="A936" t="str">
        <f>"                    Cemex SAB de CV"</f>
        <v xml:space="preserve">                    Cemex SAB de CV</v>
      </c>
      <c r="B936" t="str">
        <f>"CEMEXCPO MM Equity"</f>
        <v>CEMEXCPO MM Equity</v>
      </c>
      <c r="C936" t="str">
        <f t="shared" si="105"/>
        <v>F0946</v>
      </c>
      <c r="D936" t="str">
        <f t="shared" si="106"/>
        <v>TOTAL_GHG_CO2_EMISSIONS</v>
      </c>
      <c r="E936" t="str">
        <f t="shared" si="107"/>
        <v>Dynamic</v>
      </c>
      <c r="F936">
        <f ca="1">IF(AND(ISNUMBER($F$2016),$B$1132=1),$F$2016,HLOOKUP(INDIRECT(ADDRESS(2,COLUMN())),OFFSET($K$2,0,0,ROW()-1,5),ROW()-1,FALSE))</f>
        <v>39.299999999999997</v>
      </c>
      <c r="G936">
        <f ca="1">IF(AND(ISNUMBER($G$2016),$B$1132=1),$G$2016,HLOOKUP(INDIRECT(ADDRESS(2,COLUMN())),OFFSET($K$2,0,0,ROW()-1,5),ROW()-1,FALSE))</f>
        <v>41.832300779999997</v>
      </c>
      <c r="H936">
        <f ca="1">IF(AND(ISNUMBER($H$2016),$B$1132=1),$H$2016,HLOOKUP(INDIRECT(ADDRESS(2,COLUMN())),OFFSET($K$2,0,0,ROW()-1,5),ROW()-1,FALSE))</f>
        <v>40.977898439999997</v>
      </c>
      <c r="I936">
        <f ca="1">IF(AND(ISNUMBER($I$2016),$B$1132=1),$I$2016,HLOOKUP(INDIRECT(ADDRESS(2,COLUMN())),OFFSET($K$2,0,0,ROW()-1,5),ROW()-1,FALSE))</f>
        <v>42.463300779999997</v>
      </c>
      <c r="J936">
        <f ca="1">IF(AND(ISNUMBER($J$2016),$B$1132=1),$J$2016,HLOOKUP(INDIRECT(ADDRESS(2,COLUMN())),OFFSET($K$2,0,0,ROW()-1,5),ROW()-1,FALSE))</f>
        <v>47.025898439999999</v>
      </c>
      <c r="K936">
        <f>39.3</f>
        <v>39.299999999999997</v>
      </c>
      <c r="L936">
        <f>41.83230078</f>
        <v>41.832300779999997</v>
      </c>
      <c r="M936">
        <f>40.97789844</f>
        <v>40.977898439999997</v>
      </c>
      <c r="N936">
        <f>42.46330078</f>
        <v>42.463300779999997</v>
      </c>
      <c r="O936">
        <f>47.02589844</f>
        <v>47.025898439999999</v>
      </c>
    </row>
    <row r="937" spans="1:15" x14ac:dyDescent="0.25">
      <c r="A937" t="str">
        <f>"                    GCC SAB de CV"</f>
        <v xml:space="preserve">                    GCC SAB de CV</v>
      </c>
      <c r="B937" t="str">
        <f>"GCC* MM Equity"</f>
        <v>GCC* MM Equity</v>
      </c>
      <c r="C937" t="str">
        <f t="shared" si="105"/>
        <v>F0946</v>
      </c>
      <c r="D937" t="str">
        <f t="shared" si="106"/>
        <v>TOTAL_GHG_CO2_EMISSIONS</v>
      </c>
      <c r="E937" t="str">
        <f t="shared" si="107"/>
        <v>Dynamic</v>
      </c>
      <c r="F937" t="str">
        <f ca="1">IF(AND(ISNUMBER($F$2017),$B$1132=1),$F$2017,HLOOKUP(INDIRECT(ADDRESS(2,COLUMN())),OFFSET($K$2,0,0,ROW()-1,5),ROW()-1,FALSE))</f>
        <v/>
      </c>
      <c r="G937">
        <f ca="1">IF(AND(ISNUMBER($G$2017),$B$1132=1),$G$2017,HLOOKUP(INDIRECT(ADDRESS(2,COLUMN())),OFFSET($K$2,0,0,ROW()-1,5),ROW()-1,FALSE))</f>
        <v>3.8279999999999998</v>
      </c>
      <c r="H937">
        <f ca="1">IF(AND(ISNUMBER($H$2017),$B$1132=1),$H$2017,HLOOKUP(INDIRECT(ADDRESS(2,COLUMN())),OFFSET($K$2,0,0,ROW()-1,5),ROW()-1,FALSE))</f>
        <v>3.544</v>
      </c>
      <c r="I937">
        <f ca="1">IF(AND(ISNUMBER($I$2017),$B$1132=1),$I$2017,HLOOKUP(INDIRECT(ADDRESS(2,COLUMN())),OFFSET($K$2,0,0,ROW()-1,5),ROW()-1,FALSE))</f>
        <v>3.4830000000000001</v>
      </c>
      <c r="J937">
        <f ca="1">IF(AND(ISNUMBER($J$2017),$B$1132=1),$J$2017,HLOOKUP(INDIRECT(ADDRESS(2,COLUMN())),OFFSET($K$2,0,0,ROW()-1,5),ROW()-1,FALSE))</f>
        <v>3.3580000000000001</v>
      </c>
      <c r="K937" t="str">
        <f>""</f>
        <v/>
      </c>
      <c r="L937">
        <f>3.828</f>
        <v>3.8279999999999998</v>
      </c>
      <c r="M937">
        <f>3.544</f>
        <v>3.544</v>
      </c>
      <c r="N937">
        <f>3.483</f>
        <v>3.4830000000000001</v>
      </c>
      <c r="O937">
        <f>3.358</f>
        <v>3.3580000000000001</v>
      </c>
    </row>
    <row r="938" spans="1:15" x14ac:dyDescent="0.25">
      <c r="A938" t="str">
        <f>"                    HeidelbergCement AG"</f>
        <v xml:space="preserve">                    HeidelbergCement AG</v>
      </c>
      <c r="B938" t="str">
        <f>"HEI GR Equity"</f>
        <v>HEI GR Equity</v>
      </c>
      <c r="C938" t="str">
        <f t="shared" si="105"/>
        <v>F0946</v>
      </c>
      <c r="D938" t="str">
        <f t="shared" si="106"/>
        <v>TOTAL_GHG_CO2_EMISSIONS</v>
      </c>
      <c r="E938" t="str">
        <f t="shared" si="107"/>
        <v>Dynamic</v>
      </c>
      <c r="F938">
        <f ca="1">IF(AND(ISNUMBER($F$2018),$B$1132=1),$F$2018,HLOOKUP(INDIRECT(ADDRESS(2,COLUMN())),OFFSET($K$2,0,0,ROW()-1,5),ROW()-1,FALSE))</f>
        <v>70.69</v>
      </c>
      <c r="G938">
        <f ca="1">IF(AND(ISNUMBER($G$2018),$B$1132=1),$G$2018,HLOOKUP(INDIRECT(ADDRESS(2,COLUMN())),OFFSET($K$2,0,0,ROW()-1,5),ROW()-1,FALSE))</f>
        <v>74.224101559999994</v>
      </c>
      <c r="H938">
        <f ca="1">IF(AND(ISNUMBER($H$2018),$B$1132=1),$H$2018,HLOOKUP(INDIRECT(ADDRESS(2,COLUMN())),OFFSET($K$2,0,0,ROW()-1,5),ROW()-1,FALSE))</f>
        <v>75.739999999999995</v>
      </c>
      <c r="I938">
        <f ca="1">IF(AND(ISNUMBER($I$2018),$B$1132=1),$I$2018,HLOOKUP(INDIRECT(ADDRESS(2,COLUMN())),OFFSET($K$2,0,0,ROW()-1,5),ROW()-1,FALSE))</f>
        <v>77</v>
      </c>
      <c r="J938">
        <f ca="1">IF(AND(ISNUMBER($J$2018),$B$1132=1),$J$2018,HLOOKUP(INDIRECT(ADDRESS(2,COLUMN())),OFFSET($K$2,0,0,ROW()-1,5),ROW()-1,FALSE))</f>
        <v>76.7</v>
      </c>
      <c r="K938">
        <f>70.69</f>
        <v>70.69</v>
      </c>
      <c r="L938">
        <f>74.22410156</f>
        <v>74.224101559999994</v>
      </c>
      <c r="M938">
        <f>75.74</f>
        <v>75.739999999999995</v>
      </c>
      <c r="N938">
        <f>77</f>
        <v>77</v>
      </c>
      <c r="O938">
        <f>76.7</f>
        <v>76.7</v>
      </c>
    </row>
    <row r="939" spans="1:15" x14ac:dyDescent="0.25">
      <c r="A939" t="str">
        <f>"                    Holcim AG"</f>
        <v xml:space="preserve">                    Holcim AG</v>
      </c>
      <c r="B939" t="str">
        <f>"HOLN SW Equity"</f>
        <v>HOLN SW Equity</v>
      </c>
      <c r="C939" t="str">
        <f t="shared" si="105"/>
        <v>F0946</v>
      </c>
      <c r="D939" t="str">
        <f t="shared" si="106"/>
        <v>TOTAL_GHG_CO2_EMISSIONS</v>
      </c>
      <c r="E939" t="str">
        <f t="shared" si="107"/>
        <v>Dynamic</v>
      </c>
      <c r="F939">
        <f ca="1">IF(AND(ISNUMBER($F$2019),$B$1132=1),$F$2019,HLOOKUP(INDIRECT(ADDRESS(2,COLUMN())),OFFSET($K$2,0,0,ROW()-1,5),ROW()-1,FALSE))</f>
        <v>83</v>
      </c>
      <c r="G939">
        <f ca="1">IF(AND(ISNUMBER($G$2019),$B$1132=1),$G$2019,HLOOKUP(INDIRECT(ADDRESS(2,COLUMN())),OFFSET($K$2,0,0,ROW()-1,5),ROW()-1,FALSE))</f>
        <v>126.444</v>
      </c>
      <c r="H939">
        <f ca="1">IF(AND(ISNUMBER($H$2019),$B$1132=1),$H$2019,HLOOKUP(INDIRECT(ADDRESS(2,COLUMN())),OFFSET($K$2,0,0,ROW()-1,5),ROW()-1,FALSE))</f>
        <v>115.896</v>
      </c>
      <c r="I939">
        <f ca="1">IF(AND(ISNUMBER($I$2019),$B$1132=1),$I$2019,HLOOKUP(INDIRECT(ADDRESS(2,COLUMN())),OFFSET($K$2,0,0,ROW()-1,5),ROW()-1,FALSE))</f>
        <v>127.693</v>
      </c>
      <c r="J939">
        <f ca="1">IF(AND(ISNUMBER($J$2019),$B$1132=1),$J$2019,HLOOKUP(INDIRECT(ADDRESS(2,COLUMN())),OFFSET($K$2,0,0,ROW()-1,5),ROW()-1,FALSE))</f>
        <v>142.87799999999999</v>
      </c>
      <c r="K939">
        <f>83</f>
        <v>83</v>
      </c>
      <c r="L939">
        <f>126.444</f>
        <v>126.444</v>
      </c>
      <c r="M939">
        <f>115.896</f>
        <v>115.896</v>
      </c>
      <c r="N939">
        <f>127.693</f>
        <v>127.693</v>
      </c>
      <c r="O939">
        <f>142.878</f>
        <v>142.87799999999999</v>
      </c>
    </row>
    <row r="940" spans="1:15" x14ac:dyDescent="0.25">
      <c r="A940" t="str">
        <f>"                    Taiheiyo Cement Corp"</f>
        <v xml:space="preserve">                    Taiheiyo Cement Corp</v>
      </c>
      <c r="B940" t="str">
        <f>"5233 JP Equity"</f>
        <v>5233 JP Equity</v>
      </c>
      <c r="C940" t="str">
        <f t="shared" si="105"/>
        <v>F0946</v>
      </c>
      <c r="D940" t="str">
        <f t="shared" si="106"/>
        <v>TOTAL_GHG_CO2_EMISSIONS</v>
      </c>
      <c r="E940" t="str">
        <f t="shared" si="107"/>
        <v>Dynamic</v>
      </c>
      <c r="F940" t="str">
        <f ca="1">IF(AND(ISNUMBER($F$2020),$B$1132=1),$F$2020,HLOOKUP(INDIRECT(ADDRESS(2,COLUMN())),OFFSET($K$2,0,0,ROW()-1,5),ROW()-1,FALSE))</f>
        <v/>
      </c>
      <c r="G940">
        <f ca="1">IF(AND(ISNUMBER($G$2020),$B$1132=1),$G$2020,HLOOKUP(INDIRECT(ADDRESS(2,COLUMN())),OFFSET($K$2,0,0,ROW()-1,5),ROW()-1,FALSE))</f>
        <v>22.621800780000001</v>
      </c>
      <c r="H940">
        <f ca="1">IF(AND(ISNUMBER($H$2020),$B$1132=1),$H$2020,HLOOKUP(INDIRECT(ADDRESS(2,COLUMN())),OFFSET($K$2,0,0,ROW()-1,5),ROW()-1,FALSE))</f>
        <v>24.85240039</v>
      </c>
      <c r="I940">
        <f ca="1">IF(AND(ISNUMBER($I$2020),$B$1132=1),$I$2020,HLOOKUP(INDIRECT(ADDRESS(2,COLUMN())),OFFSET($K$2,0,0,ROW()-1,5),ROW()-1,FALSE))</f>
        <v>25.896000000000001</v>
      </c>
      <c r="J940">
        <f ca="1">IF(AND(ISNUMBER($J$2020),$B$1132=1),$J$2020,HLOOKUP(INDIRECT(ADDRESS(2,COLUMN())),OFFSET($K$2,0,0,ROW()-1,5),ROW()-1,FALSE))</f>
        <v>25.763000000000002</v>
      </c>
      <c r="K940" t="str">
        <f>""</f>
        <v/>
      </c>
      <c r="L940">
        <f>22.62180078</f>
        <v>22.621800780000001</v>
      </c>
      <c r="M940">
        <f>24.85240039</f>
        <v>24.85240039</v>
      </c>
      <c r="N940">
        <f>25.896</f>
        <v>25.896000000000001</v>
      </c>
      <c r="O940">
        <f>25.763</f>
        <v>25.763000000000002</v>
      </c>
    </row>
    <row r="941" spans="1:15" x14ac:dyDescent="0.25">
      <c r="A941" t="str">
        <f>"                    Vicat SA"</f>
        <v xml:space="preserve">                    Vicat SA</v>
      </c>
      <c r="B941" t="str">
        <f>"VCT FP Equity"</f>
        <v>VCT FP Equity</v>
      </c>
      <c r="C941" t="str">
        <f t="shared" si="105"/>
        <v>F0946</v>
      </c>
      <c r="D941" t="str">
        <f t="shared" si="106"/>
        <v>TOTAL_GHG_CO2_EMISSIONS</v>
      </c>
      <c r="E941" t="str">
        <f t="shared" si="107"/>
        <v>Dynamic</v>
      </c>
      <c r="F941">
        <f ca="1">IF(AND(ISNUMBER($F$2021),$B$1132=1),$F$2021,HLOOKUP(INDIRECT(ADDRESS(2,COLUMN())),OFFSET($K$2,0,0,ROW()-1,5),ROW()-1,FALSE))</f>
        <v>18.100000000000001</v>
      </c>
      <c r="G941">
        <f ca="1">IF(AND(ISNUMBER($G$2021),$B$1132=1),$G$2021,HLOOKUP(INDIRECT(ADDRESS(2,COLUMN())),OFFSET($K$2,0,0,ROW()-1,5),ROW()-1,FALSE))</f>
        <v>18.71680078</v>
      </c>
      <c r="H941">
        <f ca="1">IF(AND(ISNUMBER($H$2021),$B$1132=1),$H$2021,HLOOKUP(INDIRECT(ADDRESS(2,COLUMN())),OFFSET($K$2,0,0,ROW()-1,5),ROW()-1,FALSE))</f>
        <v>16.556999999999999</v>
      </c>
      <c r="I941">
        <f ca="1">IF(AND(ISNUMBER($I$2021),$B$1132=1),$I$2021,HLOOKUP(INDIRECT(ADDRESS(2,COLUMN())),OFFSET($K$2,0,0,ROW()-1,5),ROW()-1,FALSE))</f>
        <v>14.583</v>
      </c>
      <c r="J941">
        <f ca="1">IF(AND(ISNUMBER($J$2021),$B$1132=1),$J$2021,HLOOKUP(INDIRECT(ADDRESS(2,COLUMN())),OFFSET($K$2,0,0,ROW()-1,5),ROW()-1,FALSE))</f>
        <v>15.920999999999999</v>
      </c>
      <c r="K941">
        <f>18.1</f>
        <v>18.100000000000001</v>
      </c>
      <c r="L941">
        <f>18.71680078</f>
        <v>18.71680078</v>
      </c>
      <c r="M941">
        <f>16.557</f>
        <v>16.556999999999999</v>
      </c>
      <c r="N941">
        <f>14.583</f>
        <v>14.583</v>
      </c>
      <c r="O941">
        <f>15.921</f>
        <v>15.920999999999999</v>
      </c>
    </row>
    <row r="942" spans="1:15" x14ac:dyDescent="0.25">
      <c r="A942" t="str">
        <f>"            Steel"</f>
        <v xml:space="preserve">            Steel</v>
      </c>
      <c r="B942" t="str">
        <f>""</f>
        <v/>
      </c>
      <c r="E942" t="str">
        <f>"Static"</f>
        <v>Static</v>
      </c>
      <c r="F942" t="str">
        <f ca="1">HLOOKUP(INDIRECT(ADDRESS(2,COLUMN())),OFFSET($K$2,0,0,ROW()-1,5),ROW()-1,FALSE)</f>
        <v/>
      </c>
      <c r="G942" t="str">
        <f ca="1">HLOOKUP(INDIRECT(ADDRESS(2,COLUMN())),OFFSET($K$2,0,0,ROW()-1,5),ROW()-1,FALSE)</f>
        <v/>
      </c>
      <c r="H942" t="str">
        <f ca="1">HLOOKUP(INDIRECT(ADDRESS(2,COLUMN())),OFFSET($K$2,0,0,ROW()-1,5),ROW()-1,FALSE)</f>
        <v/>
      </c>
      <c r="I942" t="str">
        <f ca="1">HLOOKUP(INDIRECT(ADDRESS(2,COLUMN())),OFFSET($K$2,0,0,ROW()-1,5),ROW()-1,FALSE)</f>
        <v/>
      </c>
      <c r="J942" t="str">
        <f ca="1">HLOOKUP(INDIRECT(ADDRESS(2,COLUMN())),OFFSET($K$2,0,0,ROW()-1,5),ROW()-1,FALSE)</f>
        <v/>
      </c>
      <c r="K942" t="str">
        <f>""</f>
        <v/>
      </c>
      <c r="L942" t="str">
        <f>""</f>
        <v/>
      </c>
      <c r="M942" t="str">
        <f>""</f>
        <v/>
      </c>
      <c r="N942" t="str">
        <f>""</f>
        <v/>
      </c>
      <c r="O942" t="str">
        <f>""</f>
        <v/>
      </c>
    </row>
    <row r="943" spans="1:15" x14ac:dyDescent="0.25">
      <c r="A943" t="str">
        <f>"        Technology"</f>
        <v xml:space="preserve">        Technology</v>
      </c>
      <c r="B943" t="str">
        <f>""</f>
        <v/>
      </c>
      <c r="E943" t="str">
        <f>"Sum"</f>
        <v>Sum</v>
      </c>
      <c r="F943">
        <f ca="1">IF(ISERROR(IF(SUM($F$944,$F$980) = 0, "", SUM($F$944,$F$980))), "", (IF(SUM($F$944,$F$980) = 0, "", SUM($F$944,$F$980))))</f>
        <v>3.011713453</v>
      </c>
      <c r="G943">
        <f ca="1">IF(ISERROR(IF(SUM($G$944,$G$980) = 0, "", SUM($G$944,$G$980))), "", (IF(SUM($G$944,$G$980) = 0, "", SUM($G$944,$G$980))))</f>
        <v>69.109365233999995</v>
      </c>
      <c r="H943">
        <f ca="1">IF(ISERROR(IF(SUM($H$944,$H$980) = 0, "", SUM($H$944,$H$980))), "", (IF(SUM($H$944,$H$980) = 0, "", SUM($H$944,$H$980))))</f>
        <v>68.647926597999998</v>
      </c>
      <c r="I943">
        <f ca="1">IF(ISERROR(IF(SUM($I$944,$I$980) = 0, "", SUM($I$944,$I$980))), "", (IF(SUM($I$944,$I$980) = 0, "", SUM($I$944,$I$980))))</f>
        <v>65.903344274000005</v>
      </c>
      <c r="J943">
        <f ca="1">IF(ISERROR(IF(SUM($J$944,$J$980) = 0, "", SUM($J$944,$J$980))), "", (IF(SUM($J$944,$J$980) = 0, "", SUM($J$944,$J$980))))</f>
        <v>63.692310579000001</v>
      </c>
      <c r="K943" t="str">
        <f>""</f>
        <v/>
      </c>
      <c r="L943">
        <f>69.10936524</f>
        <v>69.109365240000002</v>
      </c>
      <c r="M943">
        <f>68.6479266</f>
        <v>68.647926600000005</v>
      </c>
      <c r="N943">
        <f>65.90334427</f>
        <v>65.903344270000005</v>
      </c>
      <c r="O943">
        <f>63.69231058</f>
        <v>63.692310579999997</v>
      </c>
    </row>
    <row r="944" spans="1:15" x14ac:dyDescent="0.25">
      <c r="A944" t="str">
        <f>"            Computer Hardware &amp; Storage"</f>
        <v xml:space="preserve">            Computer Hardware &amp; Storage</v>
      </c>
      <c r="B944" t="str">
        <f>""</f>
        <v/>
      </c>
      <c r="E944" t="str">
        <f>"Sum"</f>
        <v>Sum</v>
      </c>
      <c r="F944">
        <f ca="1">IF(ISERROR(IF(SUM($F$945,$F$963) = 0, "", SUM($F$945,$F$963))), "", (IF(SUM($F$945,$F$963) = 0, "", SUM($F$945,$F$963))))</f>
        <v>1.7923261880000001</v>
      </c>
      <c r="G944">
        <f ca="1">IF(ISERROR(IF(SUM($G$945,$G$963) = 0, "", SUM($G$945,$G$963))), "", (IF(SUM($G$945,$G$963) = 0, "", SUM($G$945,$G$963))))</f>
        <v>36.760806670000001</v>
      </c>
      <c r="H944">
        <f ca="1">IF(ISERROR(IF(SUM($H$945,$H$963) = 0, "", SUM($H$945,$H$963))), "", (IF(SUM($H$945,$H$963) = 0, "", SUM($H$945,$H$963))))</f>
        <v>34.960203307</v>
      </c>
      <c r="I944">
        <f ca="1">IF(ISERROR(IF(SUM($I$945,$I$963) = 0, "", SUM($I$945,$I$963))), "", (IF(SUM($I$945,$I$963) = 0, "", SUM($I$945,$I$963))))</f>
        <v>35.266109592000007</v>
      </c>
      <c r="J944">
        <f ca="1">IF(ISERROR(IF(SUM($J$945,$J$963) = 0, "", SUM($J$945,$J$963))), "", (IF(SUM($J$945,$J$963) = 0, "", SUM($J$945,$J$963))))</f>
        <v>35.099922515999999</v>
      </c>
      <c r="K944" t="str">
        <f>""</f>
        <v/>
      </c>
      <c r="L944">
        <f>36.76080667</f>
        <v>36.760806670000001</v>
      </c>
      <c r="M944">
        <f>34.96020331</f>
        <v>34.960203309999997</v>
      </c>
      <c r="N944">
        <f>35.26610959</f>
        <v>35.266109589999999</v>
      </c>
      <c r="O944">
        <f>35.09992252</f>
        <v>35.09992252</v>
      </c>
    </row>
    <row r="945" spans="1:15" x14ac:dyDescent="0.25">
      <c r="A945" t="str">
        <f>"                Personal Computer"</f>
        <v xml:space="preserve">                Personal Computer</v>
      </c>
      <c r="B945" t="str">
        <f>""</f>
        <v/>
      </c>
      <c r="E945" t="str">
        <f>"Sum"</f>
        <v>Sum</v>
      </c>
      <c r="F945">
        <f ca="1">IF(ISERROR(IF(SUM($F$946:$F$962) = 0, "", SUM($F$946:$F$962))), "", (IF(SUM($F$946:$F$962) = 0, "", SUM($F$946:$F$962))))</f>
        <v>1.157359078</v>
      </c>
      <c r="G945">
        <f ca="1">IF(ISERROR(IF(SUM($G$946:$G$962) = 0, "", SUM($G$946:$G$962))), "", (IF(SUM($G$946:$G$962) = 0, "", SUM($G$946:$G$962))))</f>
        <v>28.413885302000004</v>
      </c>
      <c r="H945">
        <f ca="1">IF(ISERROR(IF(SUM($H$946:$H$962) = 0, "", SUM($H$946:$H$962))), "", (IF(SUM($H$946:$H$962) = 0, "", SUM($H$946:$H$962))))</f>
        <v>26.207975899000001</v>
      </c>
      <c r="I945">
        <f ca="1">IF(ISERROR(IF(SUM($I$946:$I$962) = 0, "", SUM($I$946:$I$962))), "", (IF(SUM($I$946:$I$962) = 0, "", SUM($I$946:$I$962))))</f>
        <v>25.212909642000003</v>
      </c>
      <c r="J945">
        <f ca="1">IF(ISERROR(IF(SUM($J$946:$J$962) = 0, "", SUM($J$946:$J$962))), "", (IF(SUM($J$946:$J$962) = 0, "", SUM($J$946:$J$962))))</f>
        <v>24.592177249999999</v>
      </c>
      <c r="K945" t="str">
        <f>""</f>
        <v/>
      </c>
      <c r="L945">
        <f>28.4138853</f>
        <v>28.4138853</v>
      </c>
      <c r="M945">
        <f>26.2079759</f>
        <v>26.207975900000001</v>
      </c>
      <c r="N945">
        <f>25.21290964</f>
        <v>25.212909639999999</v>
      </c>
      <c r="O945">
        <f>24.59217725</f>
        <v>24.592177249999999</v>
      </c>
    </row>
    <row r="946" spans="1:15" x14ac:dyDescent="0.25">
      <c r="A946" t="str">
        <f>"                    Apple Inc"</f>
        <v xml:space="preserve">                    Apple Inc</v>
      </c>
      <c r="B946" t="str">
        <f>"AAPL US Equity"</f>
        <v>AAPL US Equity</v>
      </c>
      <c r="C946" t="str">
        <f t="shared" ref="C946:C962" si="108">"F0946"</f>
        <v>F0946</v>
      </c>
      <c r="D946" t="str">
        <f t="shared" ref="D946:D962" si="109">"TOTAL_GHG_CO2_EMISSIONS"</f>
        <v>TOTAL_GHG_CO2_EMISSIONS</v>
      </c>
      <c r="E946" t="str">
        <f t="shared" ref="E946:E962" si="110">"Dynamic"</f>
        <v>Dynamic</v>
      </c>
      <c r="F946">
        <f ca="1">IF(AND(ISNUMBER($F$2022),$B$1132=1),$F$2022,HLOOKUP(INDIRECT(ADDRESS(2,COLUMN())),OFFSET($K$2,0,0,ROW()-1,5),ROW()-1,FALSE))</f>
        <v>1.1205999760000001</v>
      </c>
      <c r="G946">
        <f ca="1">IF(AND(ISNUMBER($G$2022),$B$1132=1),$G$2022,HLOOKUP(INDIRECT(ADDRESS(2,COLUMN())),OFFSET($K$2,0,0,ROW()-1,5),ROW()-1,FALSE))</f>
        <v>1.0584499510000001</v>
      </c>
      <c r="H946">
        <f ca="1">IF(AND(ISNUMBER($H$2022),$B$1132=1),$H$2022,HLOOKUP(INDIRECT(ADDRESS(2,COLUMN())),OFFSET($K$2,0,0,ROW()-1,5),ROW()-1,FALSE))</f>
        <v>0.93763000500000004</v>
      </c>
      <c r="I946">
        <f ca="1">IF(AND(ISNUMBER($I$2022),$B$1132=1),$I$2022,HLOOKUP(INDIRECT(ADDRESS(2,COLUMN())),OFFSET($K$2,0,0,ROW()-1,5),ROW()-1,FALSE))</f>
        <v>0.912676025</v>
      </c>
      <c r="J946">
        <f ca="1">IF(AND(ISNUMBER($J$2022),$B$1132=1),$J$2022,HLOOKUP(INDIRECT(ADDRESS(2,COLUMN())),OFFSET($K$2,0,0,ROW()-1,5),ROW()-1,FALSE))</f>
        <v>0.83109002700000001</v>
      </c>
      <c r="K946">
        <f>1.120599976</f>
        <v>1.1205999760000001</v>
      </c>
      <c r="L946">
        <f>1.058449951</f>
        <v>1.0584499510000001</v>
      </c>
      <c r="M946">
        <f>0.937630005</f>
        <v>0.93763000500000004</v>
      </c>
      <c r="N946">
        <f>0.912676025</f>
        <v>0.912676025</v>
      </c>
      <c r="O946">
        <f>0.831090027</f>
        <v>0.83109002700000001</v>
      </c>
    </row>
    <row r="947" spans="1:15" x14ac:dyDescent="0.25">
      <c r="A947" t="str">
        <f>"                    Asustek Computer Inc"</f>
        <v xml:space="preserve">                    Asustek Computer Inc</v>
      </c>
      <c r="B947" t="str">
        <f>"2357 TT Equity"</f>
        <v>2357 TT Equity</v>
      </c>
      <c r="C947" t="str">
        <f t="shared" si="108"/>
        <v>F0946</v>
      </c>
      <c r="D947" t="str">
        <f t="shared" si="109"/>
        <v>TOTAL_GHG_CO2_EMISSIONS</v>
      </c>
      <c r="E947" t="str">
        <f t="shared" si="110"/>
        <v>Dynamic</v>
      </c>
      <c r="F947" t="str">
        <f ca="1">IF(AND(ISNUMBER($F$2023),$B$1132=1),$F$2023,HLOOKUP(INDIRECT(ADDRESS(2,COLUMN())),OFFSET($K$2,0,0,ROW()-1,5),ROW()-1,FALSE))</f>
        <v/>
      </c>
      <c r="G947">
        <f ca="1">IF(AND(ISNUMBER($G$2023),$B$1132=1),$G$2023,HLOOKUP(INDIRECT(ADDRESS(2,COLUMN())),OFFSET($K$2,0,0,ROW()-1,5),ROW()-1,FALSE))</f>
        <v>1.7254999E-2</v>
      </c>
      <c r="H947">
        <f ca="1">IF(AND(ISNUMBER($H$2023),$B$1132=1),$H$2023,HLOOKUP(INDIRECT(ADDRESS(2,COLUMN())),OFFSET($K$2,0,0,ROW()-1,5),ROW()-1,FALSE))</f>
        <v>2.0429899000000001E-2</v>
      </c>
      <c r="I947" t="str">
        <f ca="1">IF(AND(ISNUMBER($I$2023),$B$1132=1),$I$2023,HLOOKUP(INDIRECT(ADDRESS(2,COLUMN())),OFFSET($K$2,0,0,ROW()-1,5),ROW()-1,FALSE))</f>
        <v/>
      </c>
      <c r="J947" t="str">
        <f ca="1">IF(AND(ISNUMBER($J$2023),$B$1132=1),$J$2023,HLOOKUP(INDIRECT(ADDRESS(2,COLUMN())),OFFSET($K$2,0,0,ROW()-1,5),ROW()-1,FALSE))</f>
        <v/>
      </c>
      <c r="K947" t="str">
        <f>""</f>
        <v/>
      </c>
      <c r="L947">
        <f>0.017254999</f>
        <v>1.7254999E-2</v>
      </c>
      <c r="M947">
        <f>0.020429899</f>
        <v>2.0429899000000001E-2</v>
      </c>
      <c r="N947" t="str">
        <f>""</f>
        <v/>
      </c>
      <c r="O947" t="str">
        <f>""</f>
        <v/>
      </c>
    </row>
    <row r="948" spans="1:15" x14ac:dyDescent="0.25">
      <c r="A948" t="str">
        <f>"                    Acer Inc"</f>
        <v xml:space="preserve">                    Acer Inc</v>
      </c>
      <c r="B948" t="str">
        <f>"2353 TT Equity"</f>
        <v>2353 TT Equity</v>
      </c>
      <c r="C948" t="str">
        <f t="shared" si="108"/>
        <v>F0946</v>
      </c>
      <c r="D948" t="str">
        <f t="shared" si="109"/>
        <v>TOTAL_GHG_CO2_EMISSIONS</v>
      </c>
      <c r="E948" t="str">
        <f t="shared" si="110"/>
        <v>Dynamic</v>
      </c>
      <c r="F948" t="str">
        <f ca="1">IF(AND(ISNUMBER($F$2024),$B$1132=1),$F$2024,HLOOKUP(INDIRECT(ADDRESS(2,COLUMN())),OFFSET($K$2,0,0,ROW()-1,5),ROW()-1,FALSE))</f>
        <v/>
      </c>
      <c r="G948">
        <f ca="1">IF(AND(ISNUMBER($G$2024),$B$1132=1),$G$2024,HLOOKUP(INDIRECT(ADDRESS(2,COLUMN())),OFFSET($K$2,0,0,ROW()-1,5),ROW()-1,FALSE))</f>
        <v>1.9368099E-2</v>
      </c>
      <c r="H948">
        <f ca="1">IF(AND(ISNUMBER($H$2024),$B$1132=1),$H$2024,HLOOKUP(INDIRECT(ADDRESS(2,COLUMN())),OFFSET($K$2,0,0,ROW()-1,5),ROW()-1,FALSE))</f>
        <v>1.8118400999999999E-2</v>
      </c>
      <c r="I948">
        <f ca="1">IF(AND(ISNUMBER($I$2024),$B$1132=1),$I$2024,HLOOKUP(INDIRECT(ADDRESS(2,COLUMN())),OFFSET($K$2,0,0,ROW()-1,5),ROW()-1,FALSE))</f>
        <v>2.0292899999999999E-2</v>
      </c>
      <c r="J948">
        <f ca="1">IF(AND(ISNUMBER($J$2024),$B$1132=1),$J$2024,HLOOKUP(INDIRECT(ADDRESS(2,COLUMN())),OFFSET($K$2,0,0,ROW()-1,5),ROW()-1,FALSE))</f>
        <v>2.2191200000000001E-2</v>
      </c>
      <c r="K948" t="str">
        <f>""</f>
        <v/>
      </c>
      <c r="L948">
        <f>0.019368099</f>
        <v>1.9368099E-2</v>
      </c>
      <c r="M948">
        <f>0.018118401</f>
        <v>1.8118400999999999E-2</v>
      </c>
      <c r="N948">
        <f>0.0202929</f>
        <v>2.0292899999999999E-2</v>
      </c>
      <c r="O948">
        <f>0.0221912</f>
        <v>2.2191200000000001E-2</v>
      </c>
    </row>
    <row r="949" spans="1:15" x14ac:dyDescent="0.25">
      <c r="A949" t="str">
        <f>"                    Founder Technology Group Corp"</f>
        <v xml:space="preserve">                    Founder Technology Group Corp</v>
      </c>
      <c r="B949" t="str">
        <f>"600601 CH Equity"</f>
        <v>600601 CH Equity</v>
      </c>
      <c r="C949" t="str">
        <f t="shared" si="108"/>
        <v>F0946</v>
      </c>
      <c r="D949" t="str">
        <f t="shared" si="109"/>
        <v>TOTAL_GHG_CO2_EMISSIONS</v>
      </c>
      <c r="E949" t="str">
        <f t="shared" si="110"/>
        <v>Dynamic</v>
      </c>
      <c r="F949" t="str">
        <f ca="1">IF(AND(ISNUMBER($F$2025),$B$1132=1),$F$2025,HLOOKUP(INDIRECT(ADDRESS(2,COLUMN())),OFFSET($K$2,0,0,ROW()-1,5),ROW()-1,FALSE))</f>
        <v/>
      </c>
      <c r="G949">
        <f ca="1">IF(AND(ISNUMBER($G$2025),$B$1132=1),$G$2025,HLOOKUP(INDIRECT(ADDRESS(2,COLUMN())),OFFSET($K$2,0,0,ROW()-1,5),ROW()-1,FALSE))</f>
        <v>3.9687E-2</v>
      </c>
      <c r="H949" t="str">
        <f ca="1">IF(AND(ISNUMBER($H$2025),$B$1132=1),$H$2025,HLOOKUP(INDIRECT(ADDRESS(2,COLUMN())),OFFSET($K$2,0,0,ROW()-1,5),ROW()-1,FALSE))</f>
        <v/>
      </c>
      <c r="I949" t="str">
        <f ca="1">IF(AND(ISNUMBER($I$2025),$B$1132=1),$I$2025,HLOOKUP(INDIRECT(ADDRESS(2,COLUMN())),OFFSET($K$2,0,0,ROW()-1,5),ROW()-1,FALSE))</f>
        <v/>
      </c>
      <c r="J949" t="str">
        <f ca="1">IF(AND(ISNUMBER($J$2025),$B$1132=1),$J$2025,HLOOKUP(INDIRECT(ADDRESS(2,COLUMN())),OFFSET($K$2,0,0,ROW()-1,5),ROW()-1,FALSE))</f>
        <v/>
      </c>
      <c r="K949" t="str">
        <f>""</f>
        <v/>
      </c>
      <c r="L949">
        <f>0.039687</f>
        <v>3.9687E-2</v>
      </c>
      <c r="M949" t="str">
        <f>""</f>
        <v/>
      </c>
      <c r="N949" t="str">
        <f>""</f>
        <v/>
      </c>
      <c r="O949" t="str">
        <f>""</f>
        <v/>
      </c>
    </row>
    <row r="950" spans="1:15" x14ac:dyDescent="0.25">
      <c r="A950" t="str">
        <f>"                    Fujitsu Ltd"</f>
        <v xml:space="preserve">                    Fujitsu Ltd</v>
      </c>
      <c r="B950" t="str">
        <f>"6702 JP Equity"</f>
        <v>6702 JP Equity</v>
      </c>
      <c r="C950" t="str">
        <f t="shared" si="108"/>
        <v>F0946</v>
      </c>
      <c r="D950" t="str">
        <f t="shared" si="109"/>
        <v>TOTAL_GHG_CO2_EMISSIONS</v>
      </c>
      <c r="E950" t="str">
        <f t="shared" si="110"/>
        <v>Dynamic</v>
      </c>
      <c r="F950" t="str">
        <f ca="1">IF(AND(ISNUMBER($F$2026),$B$1132=1),$F$2026,HLOOKUP(INDIRECT(ADDRESS(2,COLUMN())),OFFSET($K$2,0,0,ROW()-1,5),ROW()-1,FALSE))</f>
        <v/>
      </c>
      <c r="G950">
        <f ca="1">IF(AND(ISNUMBER($G$2026),$B$1132=1),$G$2026,HLOOKUP(INDIRECT(ADDRESS(2,COLUMN())),OFFSET($K$2,0,0,ROW()-1,5),ROW()-1,FALSE))</f>
        <v>0.6</v>
      </c>
      <c r="H950">
        <f ca="1">IF(AND(ISNUMBER($H$2026),$B$1132=1),$H$2026,HLOOKUP(INDIRECT(ADDRESS(2,COLUMN())),OFFSET($K$2,0,0,ROW()-1,5),ROW()-1,FALSE))</f>
        <v>0.65800000000000003</v>
      </c>
      <c r="I950">
        <f ca="1">IF(AND(ISNUMBER($I$2026),$B$1132=1),$I$2026,HLOOKUP(INDIRECT(ADDRESS(2,COLUMN())),OFFSET($K$2,0,0,ROW()-1,5),ROW()-1,FALSE))</f>
        <v>0.80200000000000005</v>
      </c>
      <c r="J950">
        <f ca="1">IF(AND(ISNUMBER($J$2026),$B$1132=1),$J$2026,HLOOKUP(INDIRECT(ADDRESS(2,COLUMN())),OFFSET($K$2,0,0,ROW()-1,5),ROW()-1,FALSE))</f>
        <v>0.95499999999999996</v>
      </c>
      <c r="K950" t="str">
        <f>""</f>
        <v/>
      </c>
      <c r="L950">
        <f>0.6</f>
        <v>0.6</v>
      </c>
      <c r="M950">
        <f>0.658</f>
        <v>0.65800000000000003</v>
      </c>
      <c r="N950">
        <f>0.802</f>
        <v>0.80200000000000005</v>
      </c>
      <c r="O950">
        <f>0.955</f>
        <v>0.95499999999999996</v>
      </c>
    </row>
    <row r="951" spans="1:15" x14ac:dyDescent="0.25">
      <c r="A951" t="str">
        <f>"                    HCL Technologies Ltd"</f>
        <v xml:space="preserve">                    HCL Technologies Ltd</v>
      </c>
      <c r="B951" t="str">
        <f>"HCLT IN Equity"</f>
        <v>HCLT IN Equity</v>
      </c>
      <c r="C951" t="str">
        <f t="shared" si="108"/>
        <v>F0946</v>
      </c>
      <c r="D951" t="str">
        <f t="shared" si="109"/>
        <v>TOTAL_GHG_CO2_EMISSIONS</v>
      </c>
      <c r="E951" t="str">
        <f t="shared" si="110"/>
        <v>Dynamic</v>
      </c>
      <c r="F951" t="str">
        <f ca="1">IF(AND(ISNUMBER($F$2027),$B$1132=1),$F$2027,HLOOKUP(INDIRECT(ADDRESS(2,COLUMN())),OFFSET($K$2,0,0,ROW()-1,5),ROW()-1,FALSE))</f>
        <v/>
      </c>
      <c r="G951">
        <f ca="1">IF(AND(ISNUMBER($G$2027),$B$1132=1),$G$2027,HLOOKUP(INDIRECT(ADDRESS(2,COLUMN())),OFFSET($K$2,0,0,ROW()-1,5),ROW()-1,FALSE))</f>
        <v>0.15584100300000001</v>
      </c>
      <c r="H951">
        <f ca="1">IF(AND(ISNUMBER($H$2027),$B$1132=1),$H$2027,HLOOKUP(INDIRECT(ADDRESS(2,COLUMN())),OFFSET($K$2,0,0,ROW()-1,5),ROW()-1,FALSE))</f>
        <v>0.15186999500000001</v>
      </c>
      <c r="I951">
        <f ca="1">IF(AND(ISNUMBER($I$2027),$B$1132=1),$I$2027,HLOOKUP(INDIRECT(ADDRESS(2,COLUMN())),OFFSET($K$2,0,0,ROW()-1,5),ROW()-1,FALSE))</f>
        <v>0.20441599999999999</v>
      </c>
      <c r="J951" t="str">
        <f ca="1">IF(AND(ISNUMBER($J$2027),$B$1132=1),$J$2027,HLOOKUP(INDIRECT(ADDRESS(2,COLUMN())),OFFSET($K$2,0,0,ROW()-1,5),ROW()-1,FALSE))</f>
        <v/>
      </c>
      <c r="K951" t="str">
        <f>""</f>
        <v/>
      </c>
      <c r="L951">
        <f>0.155841003</f>
        <v>0.15584100300000001</v>
      </c>
      <c r="M951">
        <f>0.151869995</f>
        <v>0.15186999500000001</v>
      </c>
      <c r="N951">
        <f>0.204416</f>
        <v>0.20441599999999999</v>
      </c>
      <c r="O951" t="str">
        <f>""</f>
        <v/>
      </c>
    </row>
    <row r="952" spans="1:15" x14ac:dyDescent="0.25">
      <c r="A952" t="str">
        <f>"                    HP Inc"</f>
        <v xml:space="preserve">                    HP Inc</v>
      </c>
      <c r="B952" t="str">
        <f>"HPQ US Equity"</f>
        <v>HPQ US Equity</v>
      </c>
      <c r="C952" t="str">
        <f t="shared" si="108"/>
        <v>F0946</v>
      </c>
      <c r="D952" t="str">
        <f t="shared" si="109"/>
        <v>TOTAL_GHG_CO2_EMISSIONS</v>
      </c>
      <c r="E952" t="str">
        <f t="shared" si="110"/>
        <v>Dynamic</v>
      </c>
      <c r="F952" t="str">
        <f ca="1">IF(AND(ISNUMBER($F$2028),$B$1132=1),$F$2028,HLOOKUP(INDIRECT(ADDRESS(2,COLUMN())),OFFSET($K$2,0,0,ROW()-1,5),ROW()-1,FALSE))</f>
        <v/>
      </c>
      <c r="G952">
        <f ca="1">IF(AND(ISNUMBER($G$2028),$B$1132=1),$G$2028,HLOOKUP(INDIRECT(ADDRESS(2,COLUMN())),OFFSET($K$2,0,0,ROW()-1,5),ROW()-1,FALSE))</f>
        <v>0.24689999400000001</v>
      </c>
      <c r="H952">
        <f ca="1">IF(AND(ISNUMBER($H$2028),$B$1132=1),$H$2028,HLOOKUP(INDIRECT(ADDRESS(2,COLUMN())),OFFSET($K$2,0,0,ROW()-1,5),ROW()-1,FALSE))</f>
        <v>0.25419999700000001</v>
      </c>
      <c r="I952">
        <f ca="1">IF(AND(ISNUMBER($I$2028),$B$1132=1),$I$2028,HLOOKUP(INDIRECT(ADDRESS(2,COLUMN())),OFFSET($K$2,0,0,ROW()-1,5),ROW()-1,FALSE))</f>
        <v>0.28829998800000001</v>
      </c>
      <c r="J952">
        <f ca="1">IF(AND(ISNUMBER($J$2028),$B$1132=1),$J$2028,HLOOKUP(INDIRECT(ADDRESS(2,COLUMN())),OFFSET($K$2,0,0,ROW()-1,5),ROW()-1,FALSE))</f>
        <v>0.31820001199999998</v>
      </c>
      <c r="K952" t="str">
        <f>""</f>
        <v/>
      </c>
      <c r="L952">
        <f>0.246899994</f>
        <v>0.24689999400000001</v>
      </c>
      <c r="M952">
        <f>0.254199997</f>
        <v>0.25419999700000001</v>
      </c>
      <c r="N952">
        <f>0.288299988</f>
        <v>0.28829998800000001</v>
      </c>
      <c r="O952">
        <f>0.318200012</f>
        <v>0.31820001199999998</v>
      </c>
    </row>
    <row r="953" spans="1:15" x14ac:dyDescent="0.25">
      <c r="A953" t="str">
        <f>"                    Inspur Electronic Information"</f>
        <v xml:space="preserve">                    Inspur Electronic Information</v>
      </c>
      <c r="B953" t="str">
        <f>"000977 CH Equity"</f>
        <v>000977 CH Equity</v>
      </c>
      <c r="C953" t="str">
        <f t="shared" si="108"/>
        <v>F0946</v>
      </c>
      <c r="D953" t="str">
        <f t="shared" si="109"/>
        <v>TOTAL_GHG_CO2_EMISSIONS</v>
      </c>
      <c r="E953" t="str">
        <f t="shared" si="110"/>
        <v>Dynamic</v>
      </c>
      <c r="F953">
        <f ca="1">IF(AND(ISNUMBER($F$2029),$B$1132=1),$F$2029,HLOOKUP(INDIRECT(ADDRESS(2,COLUMN())),OFFSET($K$2,0,0,ROW()-1,5),ROW()-1,FALSE))</f>
        <v>3.6759102000000002E-2</v>
      </c>
      <c r="G953">
        <f ca="1">IF(AND(ISNUMBER($G$2029),$B$1132=1),$G$2029,HLOOKUP(INDIRECT(ADDRESS(2,COLUMN())),OFFSET($K$2,0,0,ROW()-1,5),ROW()-1,FALSE))</f>
        <v>2.72003E-2</v>
      </c>
      <c r="H953" t="str">
        <f ca="1">IF(AND(ISNUMBER($H$2029),$B$1132=1),$H$2029,HLOOKUP(INDIRECT(ADDRESS(2,COLUMN())),OFFSET($K$2,0,0,ROW()-1,5),ROW()-1,FALSE))</f>
        <v/>
      </c>
      <c r="I953" t="str">
        <f ca="1">IF(AND(ISNUMBER($I$2029),$B$1132=1),$I$2029,HLOOKUP(INDIRECT(ADDRESS(2,COLUMN())),OFFSET($K$2,0,0,ROW()-1,5),ROW()-1,FALSE))</f>
        <v/>
      </c>
      <c r="J953" t="str">
        <f ca="1">IF(AND(ISNUMBER($J$2029),$B$1132=1),$J$2029,HLOOKUP(INDIRECT(ADDRESS(2,COLUMN())),OFFSET($K$2,0,0,ROW()-1,5),ROW()-1,FALSE))</f>
        <v/>
      </c>
      <c r="K953">
        <f>0.036759102</f>
        <v>3.6759102000000002E-2</v>
      </c>
      <c r="L953">
        <f>0.0272003</f>
        <v>2.72003E-2</v>
      </c>
      <c r="M953" t="str">
        <f>""</f>
        <v/>
      </c>
      <c r="N953" t="str">
        <f>""</f>
        <v/>
      </c>
      <c r="O953" t="str">
        <f>""</f>
        <v/>
      </c>
    </row>
    <row r="954" spans="1:15" x14ac:dyDescent="0.25">
      <c r="A954" t="str">
        <f>"                    Lenovo Group Ltd"</f>
        <v xml:space="preserve">                    Lenovo Group Ltd</v>
      </c>
      <c r="B954" t="str">
        <f>"992 HK Equity"</f>
        <v>992 HK Equity</v>
      </c>
      <c r="C954" t="str">
        <f t="shared" si="108"/>
        <v>F0946</v>
      </c>
      <c r="D954" t="str">
        <f t="shared" si="109"/>
        <v>TOTAL_GHG_CO2_EMISSIONS</v>
      </c>
      <c r="E954" t="str">
        <f t="shared" si="110"/>
        <v>Dynamic</v>
      </c>
      <c r="F954" t="str">
        <f ca="1">IF(AND(ISNUMBER($F$2030),$B$1132=1),$F$2030,HLOOKUP(INDIRECT(ADDRESS(2,COLUMN())),OFFSET($K$2,0,0,ROW()-1,5),ROW()-1,FALSE))</f>
        <v/>
      </c>
      <c r="G954">
        <f ca="1">IF(AND(ISNUMBER($G$2030),$B$1132=1),$G$2030,HLOOKUP(INDIRECT(ADDRESS(2,COLUMN())),OFFSET($K$2,0,0,ROW()-1,5),ROW()-1,FALSE))</f>
        <v>0.197847</v>
      </c>
      <c r="H954">
        <f ca="1">IF(AND(ISNUMBER($H$2030),$B$1132=1),$H$2030,HLOOKUP(INDIRECT(ADDRESS(2,COLUMN())),OFFSET($K$2,0,0,ROW()-1,5),ROW()-1,FALSE))</f>
        <v>0.184947006</v>
      </c>
      <c r="I954">
        <f ca="1">IF(AND(ISNUMBER($I$2030),$B$1132=1),$I$2030,HLOOKUP(INDIRECT(ADDRESS(2,COLUMN())),OFFSET($K$2,0,0,ROW()-1,5),ROW()-1,FALSE))</f>
        <v>0.17036300700000001</v>
      </c>
      <c r="J954">
        <f ca="1">IF(AND(ISNUMBER($J$2030),$B$1132=1),$J$2030,HLOOKUP(INDIRECT(ADDRESS(2,COLUMN())),OFFSET($K$2,0,0,ROW()-1,5),ROW()-1,FALSE))</f>
        <v>0.20735200500000001</v>
      </c>
      <c r="K954" t="str">
        <f>""</f>
        <v/>
      </c>
      <c r="L954">
        <f>0.197847</f>
        <v>0.197847</v>
      </c>
      <c r="M954">
        <f>0.184947006</f>
        <v>0.184947006</v>
      </c>
      <c r="N954">
        <f>0.170363007</f>
        <v>0.17036300700000001</v>
      </c>
      <c r="O954">
        <f>0.207352005</f>
        <v>0.20735200500000001</v>
      </c>
    </row>
    <row r="955" spans="1:15" x14ac:dyDescent="0.25">
      <c r="A955" t="str">
        <f>"                    LG Electronics Inc"</f>
        <v xml:space="preserve">                    LG Electronics Inc</v>
      </c>
      <c r="B955" t="str">
        <f>"066570 KS Equity"</f>
        <v>066570 KS Equity</v>
      </c>
      <c r="C955" t="str">
        <f t="shared" si="108"/>
        <v>F0946</v>
      </c>
      <c r="D955" t="str">
        <f t="shared" si="109"/>
        <v>TOTAL_GHG_CO2_EMISSIONS</v>
      </c>
      <c r="E955" t="str">
        <f t="shared" si="110"/>
        <v>Dynamic</v>
      </c>
      <c r="F955" t="str">
        <f ca="1">IF(AND(ISNUMBER($F$2031),$B$1132=1),$F$2031,HLOOKUP(INDIRECT(ADDRESS(2,COLUMN())),OFFSET($K$2,0,0,ROW()-1,5),ROW()-1,FALSE))</f>
        <v/>
      </c>
      <c r="G955">
        <f ca="1">IF(AND(ISNUMBER($G$2031),$B$1132=1),$G$2031,HLOOKUP(INDIRECT(ADDRESS(2,COLUMN())),OFFSET($K$2,0,0,ROW()-1,5),ROW()-1,FALSE))</f>
        <v>1.1519999999999999</v>
      </c>
      <c r="H955">
        <f ca="1">IF(AND(ISNUMBER($H$2031),$B$1132=1),$H$2031,HLOOKUP(INDIRECT(ADDRESS(2,COLUMN())),OFFSET($K$2,0,0,ROW()-1,5),ROW()-1,FALSE))</f>
        <v>1.294</v>
      </c>
      <c r="I955">
        <f ca="1">IF(AND(ISNUMBER($I$2031),$B$1132=1),$I$2031,HLOOKUP(INDIRECT(ADDRESS(2,COLUMN())),OFFSET($K$2,0,0,ROW()-1,5),ROW()-1,FALSE))</f>
        <v>1.4690000000000001</v>
      </c>
      <c r="J955">
        <f ca="1">IF(AND(ISNUMBER($J$2031),$B$1132=1),$J$2031,HLOOKUP(INDIRECT(ADDRESS(2,COLUMN())),OFFSET($K$2,0,0,ROW()-1,5),ROW()-1,FALSE))</f>
        <v>1.637</v>
      </c>
      <c r="K955" t="str">
        <f>""</f>
        <v/>
      </c>
      <c r="L955">
        <f>1.152</f>
        <v>1.1519999999999999</v>
      </c>
      <c r="M955">
        <f>1.294</f>
        <v>1.294</v>
      </c>
      <c r="N955">
        <f>1.469</f>
        <v>1.4690000000000001</v>
      </c>
      <c r="O955">
        <f>1.637</f>
        <v>1.637</v>
      </c>
    </row>
    <row r="956" spans="1:15" x14ac:dyDescent="0.25">
      <c r="A956" t="str">
        <f>"                    Medion AG"</f>
        <v xml:space="preserve">                    Medion AG</v>
      </c>
      <c r="B956" t="str">
        <f>"MDN GR Equity"</f>
        <v>MDN GR Equity</v>
      </c>
      <c r="C956" t="str">
        <f t="shared" si="108"/>
        <v>F0946</v>
      </c>
      <c r="D956" t="str">
        <f t="shared" si="109"/>
        <v>TOTAL_GHG_CO2_EMISSIONS</v>
      </c>
      <c r="E956" t="str">
        <f t="shared" si="110"/>
        <v>Dynamic</v>
      </c>
      <c r="F956" t="str">
        <f ca="1">IF(AND(ISNUMBER($F$2032),$B$1132=1),$F$2032,HLOOKUP(INDIRECT(ADDRESS(2,COLUMN())),OFFSET($K$2,0,0,ROW()-1,5),ROW()-1,FALSE))</f>
        <v/>
      </c>
      <c r="G956">
        <f ca="1">IF(AND(ISNUMBER($G$2032),$B$1132=1),$G$2032,HLOOKUP(INDIRECT(ADDRESS(2,COLUMN())),OFFSET($K$2,0,0,ROW()-1,5),ROW()-1,FALSE))</f>
        <v>3.5500000000000001E-4</v>
      </c>
      <c r="H956">
        <f ca="1">IF(AND(ISNUMBER($H$2032),$B$1132=1),$H$2032,HLOOKUP(INDIRECT(ADDRESS(2,COLUMN())),OFFSET($K$2,0,0,ROW()-1,5),ROW()-1,FALSE))</f>
        <v>3.1599999999999998E-4</v>
      </c>
      <c r="I956" t="str">
        <f ca="1">IF(AND(ISNUMBER($I$2032),$B$1132=1),$I$2032,HLOOKUP(INDIRECT(ADDRESS(2,COLUMN())),OFFSET($K$2,0,0,ROW()-1,5),ROW()-1,FALSE))</f>
        <v/>
      </c>
      <c r="J956" t="str">
        <f ca="1">IF(AND(ISNUMBER($J$2032),$B$1132=1),$J$2032,HLOOKUP(INDIRECT(ADDRESS(2,COLUMN())),OFFSET($K$2,0,0,ROW()-1,5),ROW()-1,FALSE))</f>
        <v/>
      </c>
      <c r="K956" t="str">
        <f>""</f>
        <v/>
      </c>
      <c r="L956">
        <f>0.000355</f>
        <v>3.5500000000000001E-4</v>
      </c>
      <c r="M956">
        <f>0.000316</f>
        <v>3.1599999999999998E-4</v>
      </c>
      <c r="N956" t="str">
        <f>""</f>
        <v/>
      </c>
      <c r="O956" t="str">
        <f>""</f>
        <v/>
      </c>
    </row>
    <row r="957" spans="1:15" x14ac:dyDescent="0.25">
      <c r="A957" t="str">
        <f>"                    Micro-Star International Co Lt"</f>
        <v xml:space="preserve">                    Micro-Star International Co Lt</v>
      </c>
      <c r="B957" t="str">
        <f>"2377 TT Equity"</f>
        <v>2377 TT Equity</v>
      </c>
      <c r="C957" t="str">
        <f t="shared" si="108"/>
        <v>F0946</v>
      </c>
      <c r="D957" t="str">
        <f t="shared" si="109"/>
        <v>TOTAL_GHG_CO2_EMISSIONS</v>
      </c>
      <c r="E957" t="str">
        <f t="shared" si="110"/>
        <v>Dynamic</v>
      </c>
      <c r="F957" t="str">
        <f ca="1">IF(AND(ISNUMBER($F$2033),$B$1132=1),$F$2033,HLOOKUP(INDIRECT(ADDRESS(2,COLUMN())),OFFSET($K$2,0,0,ROW()-1,5),ROW()-1,FALSE))</f>
        <v/>
      </c>
      <c r="G957">
        <f ca="1">IF(AND(ISNUMBER($G$2033),$B$1132=1),$G$2033,HLOOKUP(INDIRECT(ADDRESS(2,COLUMN())),OFFSET($K$2,0,0,ROW()-1,5),ROW()-1,FALSE))</f>
        <v>5.9152000000000003E-2</v>
      </c>
      <c r="H957">
        <f ca="1">IF(AND(ISNUMBER($H$2033),$B$1132=1),$H$2033,HLOOKUP(INDIRECT(ADDRESS(2,COLUMN())),OFFSET($K$2,0,0,ROW()-1,5),ROW()-1,FALSE))</f>
        <v>6.1344600999999999E-2</v>
      </c>
      <c r="I957">
        <f ca="1">IF(AND(ISNUMBER($I$2033),$B$1132=1),$I$2033,HLOOKUP(INDIRECT(ADDRESS(2,COLUMN())),OFFSET($K$2,0,0,ROW()-1,5),ROW()-1,FALSE))</f>
        <v>5.9091702000000003E-2</v>
      </c>
      <c r="J957">
        <f ca="1">IF(AND(ISNUMBER($J$2033),$B$1132=1),$J$2033,HLOOKUP(INDIRECT(ADDRESS(2,COLUMN())),OFFSET($K$2,0,0,ROW()-1,5),ROW()-1,FALSE))</f>
        <v>6.2714001000000005E-2</v>
      </c>
      <c r="K957" t="str">
        <f>""</f>
        <v/>
      </c>
      <c r="L957">
        <f>0.059152</f>
        <v>5.9152000000000003E-2</v>
      </c>
      <c r="M957">
        <f>0.061344601</f>
        <v>6.1344600999999999E-2</v>
      </c>
      <c r="N957">
        <f>0.059091702</f>
        <v>5.9091702000000003E-2</v>
      </c>
      <c r="O957">
        <f>0.062714001</f>
        <v>6.2714001000000005E-2</v>
      </c>
    </row>
    <row r="958" spans="1:15" x14ac:dyDescent="0.25">
      <c r="A958" t="str">
        <f>"                    NEC Corp"</f>
        <v xml:space="preserve">                    NEC Corp</v>
      </c>
      <c r="B958" t="str">
        <f>"6701 JP Equity"</f>
        <v>6701 JP Equity</v>
      </c>
      <c r="C958" t="str">
        <f t="shared" si="108"/>
        <v>F0946</v>
      </c>
      <c r="D958" t="str">
        <f t="shared" si="109"/>
        <v>TOTAL_GHG_CO2_EMISSIONS</v>
      </c>
      <c r="E958" t="str">
        <f t="shared" si="110"/>
        <v>Dynamic</v>
      </c>
      <c r="F958" t="str">
        <f ca="1">IF(AND(ISNUMBER($F$2034),$B$1132=1),$F$2034,HLOOKUP(INDIRECT(ADDRESS(2,COLUMN())),OFFSET($K$2,0,0,ROW()-1,5),ROW()-1,FALSE))</f>
        <v/>
      </c>
      <c r="G958">
        <f ca="1">IF(AND(ISNUMBER($G$2034),$B$1132=1),$G$2034,HLOOKUP(INDIRECT(ADDRESS(2,COLUMN())),OFFSET($K$2,0,0,ROW()-1,5),ROW()-1,FALSE))</f>
        <v>0.32400000000000001</v>
      </c>
      <c r="H958">
        <f ca="1">IF(AND(ISNUMBER($H$2034),$B$1132=1),$H$2034,HLOOKUP(INDIRECT(ADDRESS(2,COLUMN())),OFFSET($K$2,0,0,ROW()-1,5),ROW()-1,FALSE))</f>
        <v>0.32700000000000001</v>
      </c>
      <c r="I958">
        <f ca="1">IF(AND(ISNUMBER($I$2034),$B$1132=1),$I$2034,HLOOKUP(INDIRECT(ADDRESS(2,COLUMN())),OFFSET($K$2,0,0,ROW()-1,5),ROW()-1,FALSE))</f>
        <v>0.373</v>
      </c>
      <c r="J958">
        <f ca="1">IF(AND(ISNUMBER($J$2034),$B$1132=1),$J$2034,HLOOKUP(INDIRECT(ADDRESS(2,COLUMN())),OFFSET($K$2,0,0,ROW()-1,5),ROW()-1,FALSE))</f>
        <v>0.32900000000000001</v>
      </c>
      <c r="K958" t="str">
        <f>""</f>
        <v/>
      </c>
      <c r="L958">
        <f>0.324</f>
        <v>0.32400000000000001</v>
      </c>
      <c r="M958">
        <f>0.327</f>
        <v>0.32700000000000001</v>
      </c>
      <c r="N958">
        <f>0.373</f>
        <v>0.373</v>
      </c>
      <c r="O958">
        <f>0.329</f>
        <v>0.32900000000000001</v>
      </c>
    </row>
    <row r="959" spans="1:15" x14ac:dyDescent="0.25">
      <c r="A959" t="str">
        <f>"                    Panasonic Holdings Corp"</f>
        <v xml:space="preserve">                    Panasonic Holdings Corp</v>
      </c>
      <c r="B959" t="str">
        <f>"6752 JP Equity"</f>
        <v>6752 JP Equity</v>
      </c>
      <c r="C959" t="str">
        <f t="shared" si="108"/>
        <v>F0946</v>
      </c>
      <c r="D959" t="str">
        <f t="shared" si="109"/>
        <v>TOTAL_GHG_CO2_EMISSIONS</v>
      </c>
      <c r="E959" t="str">
        <f t="shared" si="110"/>
        <v>Dynamic</v>
      </c>
      <c r="F959" t="str">
        <f ca="1">IF(AND(ISNUMBER($F$2035),$B$1132=1),$F$2035,HLOOKUP(INDIRECT(ADDRESS(2,COLUMN())),OFFSET($K$2,0,0,ROW()-1,5),ROW()-1,FALSE))</f>
        <v/>
      </c>
      <c r="G959">
        <f ca="1">IF(AND(ISNUMBER($G$2035),$B$1132=1),$G$2035,HLOOKUP(INDIRECT(ADDRESS(2,COLUMN())),OFFSET($K$2,0,0,ROW()-1,5),ROW()-1,FALSE))</f>
        <v>2.06</v>
      </c>
      <c r="H959">
        <f ca="1">IF(AND(ISNUMBER($H$2035),$B$1132=1),$H$2035,HLOOKUP(INDIRECT(ADDRESS(2,COLUMN())),OFFSET($K$2,0,0,ROW()-1,5),ROW()-1,FALSE))</f>
        <v>2.2000000000000002</v>
      </c>
      <c r="I959">
        <f ca="1">IF(AND(ISNUMBER($I$2035),$B$1132=1),$I$2035,HLOOKUP(INDIRECT(ADDRESS(2,COLUMN())),OFFSET($K$2,0,0,ROW()-1,5),ROW()-1,FALSE))</f>
        <v>2.3199999999999998</v>
      </c>
      <c r="J959">
        <f ca="1">IF(AND(ISNUMBER($J$2035),$B$1132=1),$J$2035,HLOOKUP(INDIRECT(ADDRESS(2,COLUMN())),OFFSET($K$2,0,0,ROW()-1,5),ROW()-1,FALSE))</f>
        <v>2.44</v>
      </c>
      <c r="K959" t="str">
        <f>""</f>
        <v/>
      </c>
      <c r="L959">
        <f>2.06</f>
        <v>2.06</v>
      </c>
      <c r="M959">
        <f>2.2</f>
        <v>2.2000000000000002</v>
      </c>
      <c r="N959">
        <f>2.32</f>
        <v>2.3199999999999998</v>
      </c>
      <c r="O959">
        <f>2.44</f>
        <v>2.44</v>
      </c>
    </row>
    <row r="960" spans="1:15" x14ac:dyDescent="0.25">
      <c r="A960" t="str">
        <f>"                    Samsung Electronics Co Ltd"</f>
        <v xml:space="preserve">                    Samsung Electronics Co Ltd</v>
      </c>
      <c r="B960" t="str">
        <f>"005930 KS Equity"</f>
        <v>005930 KS Equity</v>
      </c>
      <c r="C960" t="str">
        <f t="shared" si="108"/>
        <v>F0946</v>
      </c>
      <c r="D960" t="str">
        <f t="shared" si="109"/>
        <v>TOTAL_GHG_CO2_EMISSIONS</v>
      </c>
      <c r="E960" t="str">
        <f t="shared" si="110"/>
        <v>Dynamic</v>
      </c>
      <c r="F960" t="str">
        <f ca="1">IF(AND(ISNUMBER($F$2036),$B$1132=1),$F$2036,HLOOKUP(INDIRECT(ADDRESS(2,COLUMN())),OFFSET($K$2,0,0,ROW()-1,5),ROW()-1,FALSE))</f>
        <v/>
      </c>
      <c r="G960">
        <f ca="1">IF(AND(ISNUMBER($G$2036),$B$1132=1),$G$2036,HLOOKUP(INDIRECT(ADDRESS(2,COLUMN())),OFFSET($K$2,0,0,ROW()-1,5),ROW()-1,FALSE))</f>
        <v>20.170000000000002</v>
      </c>
      <c r="H960">
        <f ca="1">IF(AND(ISNUMBER($H$2036),$B$1132=1),$H$2036,HLOOKUP(INDIRECT(ADDRESS(2,COLUMN())),OFFSET($K$2,0,0,ROW()-1,5),ROW()-1,FALSE))</f>
        <v>17.579000000000001</v>
      </c>
      <c r="I960">
        <f ca="1">IF(AND(ISNUMBER($I$2036),$B$1132=1),$I$2036,HLOOKUP(INDIRECT(ADDRESS(2,COLUMN())),OFFSET($K$2,0,0,ROW()-1,5),ROW()-1,FALSE))</f>
        <v>16.065000000000001</v>
      </c>
      <c r="J960">
        <f ca="1">IF(AND(ISNUMBER($J$2036),$B$1132=1),$J$2036,HLOOKUP(INDIRECT(ADDRESS(2,COLUMN())),OFFSET($K$2,0,0,ROW()-1,5),ROW()-1,FALSE))</f>
        <v>15.173</v>
      </c>
      <c r="K960" t="str">
        <f>""</f>
        <v/>
      </c>
      <c r="L960">
        <f>20.17</f>
        <v>20.170000000000002</v>
      </c>
      <c r="M960">
        <f>17.579</f>
        <v>17.579000000000001</v>
      </c>
      <c r="N960">
        <f>16.065</f>
        <v>16.065000000000001</v>
      </c>
      <c r="O960">
        <f>15.173</f>
        <v>15.173</v>
      </c>
    </row>
    <row r="961" spans="1:15" x14ac:dyDescent="0.25">
      <c r="A961" t="str">
        <f>"                    Sony Group Corp"</f>
        <v xml:space="preserve">                    Sony Group Corp</v>
      </c>
      <c r="B961" t="str">
        <f>"6758 JP Equity"</f>
        <v>6758 JP Equity</v>
      </c>
      <c r="C961" t="str">
        <f t="shared" si="108"/>
        <v>F0946</v>
      </c>
      <c r="D961" t="str">
        <f t="shared" si="109"/>
        <v>TOTAL_GHG_CO2_EMISSIONS</v>
      </c>
      <c r="E961" t="str">
        <f t="shared" si="110"/>
        <v>Dynamic</v>
      </c>
      <c r="F961" t="str">
        <f ca="1">IF(AND(ISNUMBER($F$2037),$B$1132=1),$F$2037,HLOOKUP(INDIRECT(ADDRESS(2,COLUMN())),OFFSET($K$2,0,0,ROW()-1,5),ROW()-1,FALSE))</f>
        <v/>
      </c>
      <c r="G961">
        <f ca="1">IF(AND(ISNUMBER($G$2037),$B$1132=1),$G$2037,HLOOKUP(INDIRECT(ADDRESS(2,COLUMN())),OFFSET($K$2,0,0,ROW()-1,5),ROW()-1,FALSE))</f>
        <v>1.262969971</v>
      </c>
      <c r="H961">
        <f ca="1">IF(AND(ISNUMBER($H$2037),$B$1132=1),$H$2037,HLOOKUP(INDIRECT(ADDRESS(2,COLUMN())),OFFSET($K$2,0,0,ROW()-1,5),ROW()-1,FALSE))</f>
        <v>1.471119995</v>
      </c>
      <c r="I961">
        <f ca="1">IF(AND(ISNUMBER($I$2037),$B$1132=1),$I$2037,HLOOKUP(INDIRECT(ADDRESS(2,COLUMN())),OFFSET($K$2,0,0,ROW()-1,5),ROW()-1,FALSE))</f>
        <v>1.3887700199999999</v>
      </c>
      <c r="J961">
        <f ca="1">IF(AND(ISNUMBER($J$2037),$B$1132=1),$J$2037,HLOOKUP(INDIRECT(ADDRESS(2,COLUMN())),OFFSET($K$2,0,0,ROW()-1,5),ROW()-1,FALSE))</f>
        <v>1.376630005</v>
      </c>
      <c r="K961" t="str">
        <f>""</f>
        <v/>
      </c>
      <c r="L961">
        <f>1.262969971</f>
        <v>1.262969971</v>
      </c>
      <c r="M961">
        <f>1.471119995</f>
        <v>1.471119995</v>
      </c>
      <c r="N961">
        <f>1.38877002</f>
        <v>1.3887700199999999</v>
      </c>
      <c r="O961">
        <f>1.376630005</f>
        <v>1.376630005</v>
      </c>
    </row>
    <row r="962" spans="1:15" x14ac:dyDescent="0.25">
      <c r="A962" t="str">
        <f>"                    Toshiba Corp"</f>
        <v xml:space="preserve">                    Toshiba Corp</v>
      </c>
      <c r="B962" t="str">
        <f>"6502 JP Equity"</f>
        <v>6502 JP Equity</v>
      </c>
      <c r="C962" t="str">
        <f t="shared" si="108"/>
        <v>F0946</v>
      </c>
      <c r="D962" t="str">
        <f t="shared" si="109"/>
        <v>TOTAL_GHG_CO2_EMISSIONS</v>
      </c>
      <c r="E962" t="str">
        <f t="shared" si="110"/>
        <v>Dynamic</v>
      </c>
      <c r="F962" t="str">
        <f ca="1">IF(AND(ISNUMBER($F$2038),$B$1132=1),$F$2038,HLOOKUP(INDIRECT(ADDRESS(2,COLUMN())),OFFSET($K$2,0,0,ROW()-1,5),ROW()-1,FALSE))</f>
        <v/>
      </c>
      <c r="G962">
        <f ca="1">IF(AND(ISNUMBER($G$2038),$B$1132=1),$G$2038,HLOOKUP(INDIRECT(ADDRESS(2,COLUMN())),OFFSET($K$2,0,0,ROW()-1,5),ROW()-1,FALSE))</f>
        <v>1.022859985</v>
      </c>
      <c r="H962">
        <f ca="1">IF(AND(ISNUMBER($H$2038),$B$1132=1),$H$2038,HLOOKUP(INDIRECT(ADDRESS(2,COLUMN())),OFFSET($K$2,0,0,ROW()-1,5),ROW()-1,FALSE))</f>
        <v>1.05</v>
      </c>
      <c r="I962">
        <f ca="1">IF(AND(ISNUMBER($I$2038),$B$1132=1),$I$2038,HLOOKUP(INDIRECT(ADDRESS(2,COLUMN())),OFFSET($K$2,0,0,ROW()-1,5),ROW()-1,FALSE))</f>
        <v>1.1399999999999999</v>
      </c>
      <c r="J962">
        <f ca="1">IF(AND(ISNUMBER($J$2038),$B$1132=1),$J$2038,HLOOKUP(INDIRECT(ADDRESS(2,COLUMN())),OFFSET($K$2,0,0,ROW()-1,5),ROW()-1,FALSE))</f>
        <v>1.24</v>
      </c>
      <c r="K962" t="str">
        <f>""</f>
        <v/>
      </c>
      <c r="L962">
        <f>1.022859985</f>
        <v>1.022859985</v>
      </c>
      <c r="M962">
        <f>1.05</f>
        <v>1.05</v>
      </c>
      <c r="N962">
        <f>1.14</f>
        <v>1.1399999999999999</v>
      </c>
      <c r="O962">
        <f>1.24</f>
        <v>1.24</v>
      </c>
    </row>
    <row r="963" spans="1:15" x14ac:dyDescent="0.25">
      <c r="A963" t="str">
        <f>"                Servers"</f>
        <v xml:space="preserve">                Servers</v>
      </c>
      <c r="B963" t="str">
        <f>""</f>
        <v/>
      </c>
      <c r="E963" t="str">
        <f>"Sum"</f>
        <v>Sum</v>
      </c>
      <c r="F963">
        <f ca="1">IF(ISERROR(IF(SUM($F$964:$F$979) = 0, "", SUM($F$964:$F$979))), "", (IF(SUM($F$964:$F$979) = 0, "", SUM($F$964:$F$979))))</f>
        <v>0.63496710999999995</v>
      </c>
      <c r="G963">
        <f ca="1">IF(ISERROR(IF(SUM($G$964:$G$979) = 0, "", SUM($G$964:$G$979))), "", (IF(SUM($G$964:$G$979) = 0, "", SUM($G$964:$G$979))))</f>
        <v>8.3469213679999985</v>
      </c>
      <c r="H963">
        <f ca="1">IF(ISERROR(IF(SUM($H$964:$H$979) = 0, "", SUM($H$964:$H$979))), "", (IF(SUM($H$964:$H$979) = 0, "", SUM($H$964:$H$979))))</f>
        <v>8.7522274079999995</v>
      </c>
      <c r="I963">
        <f ca="1">IF(ISERROR(IF(SUM($I$964:$I$979) = 0, "", SUM($I$964:$I$979))), "", (IF(SUM($I$964:$I$979) = 0, "", SUM($I$964:$I$979))))</f>
        <v>10.05319995</v>
      </c>
      <c r="J963">
        <f ca="1">IF(ISERROR(IF(SUM($J$964:$J$979) = 0, "", SUM($J$964:$J$979))), "", (IF(SUM($J$964:$J$979) = 0, "", SUM($J$964:$J$979))))</f>
        <v>10.507745266000001</v>
      </c>
      <c r="K963" t="str">
        <f>""</f>
        <v/>
      </c>
      <c r="L963">
        <f>8.346921369</f>
        <v>8.3469213690000004</v>
      </c>
      <c r="M963">
        <f>8.752227407</f>
        <v>8.7522274069999995</v>
      </c>
      <c r="N963">
        <f>10.05319995</f>
        <v>10.05319995</v>
      </c>
      <c r="O963">
        <f>10.50774527</f>
        <v>10.507745269999999</v>
      </c>
    </row>
    <row r="964" spans="1:15" x14ac:dyDescent="0.25">
      <c r="A964" t="str">
        <f>"                    Acer Inc"</f>
        <v xml:space="preserve">                    Acer Inc</v>
      </c>
      <c r="B964" t="str">
        <f>"2353 TT Equity"</f>
        <v>2353 TT Equity</v>
      </c>
      <c r="C964" t="str">
        <f t="shared" ref="C964:C979" si="111">"F0946"</f>
        <v>F0946</v>
      </c>
      <c r="D964" t="str">
        <f t="shared" ref="D964:D979" si="112">"TOTAL_GHG_CO2_EMISSIONS"</f>
        <v>TOTAL_GHG_CO2_EMISSIONS</v>
      </c>
      <c r="E964" t="str">
        <f t="shared" ref="E964:E979" si="113">"Dynamic"</f>
        <v>Dynamic</v>
      </c>
      <c r="F964" t="str">
        <f ca="1">IF(AND(ISNUMBER($F$2039),$B$1132=1),$F$2039,HLOOKUP(INDIRECT(ADDRESS(2,COLUMN())),OFFSET($K$2,0,0,ROW()-1,5),ROW()-1,FALSE))</f>
        <v/>
      </c>
      <c r="G964">
        <f ca="1">IF(AND(ISNUMBER($G$2039),$B$1132=1),$G$2039,HLOOKUP(INDIRECT(ADDRESS(2,COLUMN())),OFFSET($K$2,0,0,ROW()-1,5),ROW()-1,FALSE))</f>
        <v>1.9368099E-2</v>
      </c>
      <c r="H964">
        <f ca="1">IF(AND(ISNUMBER($H$2039),$B$1132=1),$H$2039,HLOOKUP(INDIRECT(ADDRESS(2,COLUMN())),OFFSET($K$2,0,0,ROW()-1,5),ROW()-1,FALSE))</f>
        <v>1.8118400999999999E-2</v>
      </c>
      <c r="I964">
        <f ca="1">IF(AND(ISNUMBER($I$2039),$B$1132=1),$I$2039,HLOOKUP(INDIRECT(ADDRESS(2,COLUMN())),OFFSET($K$2,0,0,ROW()-1,5),ROW()-1,FALSE))</f>
        <v>2.0292899999999999E-2</v>
      </c>
      <c r="J964">
        <f ca="1">IF(AND(ISNUMBER($J$2039),$B$1132=1),$J$2039,HLOOKUP(INDIRECT(ADDRESS(2,COLUMN())),OFFSET($K$2,0,0,ROW()-1,5),ROW()-1,FALSE))</f>
        <v>2.2191200000000001E-2</v>
      </c>
      <c r="K964" t="str">
        <f>""</f>
        <v/>
      </c>
      <c r="L964">
        <f>0.019368099</f>
        <v>1.9368099E-2</v>
      </c>
      <c r="M964">
        <f>0.018118401</f>
        <v>1.8118400999999999E-2</v>
      </c>
      <c r="N964">
        <f>0.0202929</f>
        <v>2.0292899999999999E-2</v>
      </c>
      <c r="O964">
        <f>0.0221912</f>
        <v>2.2191200000000001E-2</v>
      </c>
    </row>
    <row r="965" spans="1:15" x14ac:dyDescent="0.25">
      <c r="A965" t="str">
        <f>"                    Cisco Systems Inc"</f>
        <v xml:space="preserve">                    Cisco Systems Inc</v>
      </c>
      <c r="B965" t="str">
        <f>"CSCO US Equity"</f>
        <v>CSCO US Equity</v>
      </c>
      <c r="C965" t="str">
        <f t="shared" si="111"/>
        <v>F0946</v>
      </c>
      <c r="D965" t="str">
        <f t="shared" si="112"/>
        <v>TOTAL_GHG_CO2_EMISSIONS</v>
      </c>
      <c r="E965" t="str">
        <f t="shared" si="113"/>
        <v>Dynamic</v>
      </c>
      <c r="F965">
        <f ca="1">IF(AND(ISNUMBER($F$2040),$B$1132=1),$F$2040,HLOOKUP(INDIRECT(ADDRESS(2,COLUMN())),OFFSET($K$2,0,0,ROW()-1,5),ROW()-1,FALSE))</f>
        <v>0.59820800799999996</v>
      </c>
      <c r="G965">
        <f ca="1">IF(AND(ISNUMBER($G$2040),$B$1132=1),$G$2040,HLOOKUP(INDIRECT(ADDRESS(2,COLUMN())),OFFSET($K$2,0,0,ROW()-1,5),ROW()-1,FALSE))</f>
        <v>0.60613897699999997</v>
      </c>
      <c r="H965">
        <f ca="1">IF(AND(ISNUMBER($H$2040),$B$1132=1),$H$2040,HLOOKUP(INDIRECT(ADDRESS(2,COLUMN())),OFFSET($K$2,0,0,ROW()-1,5),ROW()-1,FALSE))</f>
        <v>0.64719201699999995</v>
      </c>
      <c r="I965">
        <f ca="1">IF(AND(ISNUMBER($I$2040),$B$1132=1),$I$2040,HLOOKUP(INDIRECT(ADDRESS(2,COLUMN())),OFFSET($K$2,0,0,ROW()-1,5),ROW()-1,FALSE))</f>
        <v>0.692512024</v>
      </c>
      <c r="J965">
        <f ca="1">IF(AND(ISNUMBER($J$2040),$B$1132=1),$J$2040,HLOOKUP(INDIRECT(ADDRESS(2,COLUMN())),OFFSET($K$2,0,0,ROW()-1,5),ROW()-1,FALSE))</f>
        <v>0.71221600299999999</v>
      </c>
      <c r="K965">
        <f>0.598208008</f>
        <v>0.59820800799999996</v>
      </c>
      <c r="L965">
        <f>0.606138977</f>
        <v>0.60613897699999997</v>
      </c>
      <c r="M965">
        <f>0.647192017</f>
        <v>0.64719201699999995</v>
      </c>
      <c r="N965">
        <f>0.692512024</f>
        <v>0.692512024</v>
      </c>
      <c r="O965">
        <f>0.712216003</f>
        <v>0.71221600299999999</v>
      </c>
    </row>
    <row r="966" spans="1:15" x14ac:dyDescent="0.25">
      <c r="A966" t="str">
        <f>"                    Fujitsu Ltd"</f>
        <v xml:space="preserve">                    Fujitsu Ltd</v>
      </c>
      <c r="B966" t="str">
        <f>"6702 JP Equity"</f>
        <v>6702 JP Equity</v>
      </c>
      <c r="C966" t="str">
        <f t="shared" si="111"/>
        <v>F0946</v>
      </c>
      <c r="D966" t="str">
        <f t="shared" si="112"/>
        <v>TOTAL_GHG_CO2_EMISSIONS</v>
      </c>
      <c r="E966" t="str">
        <f t="shared" si="113"/>
        <v>Dynamic</v>
      </c>
      <c r="F966" t="str">
        <f ca="1">IF(AND(ISNUMBER($F$2041),$B$1132=1),$F$2041,HLOOKUP(INDIRECT(ADDRESS(2,COLUMN())),OFFSET($K$2,0,0,ROW()-1,5),ROW()-1,FALSE))</f>
        <v/>
      </c>
      <c r="G966">
        <f ca="1">IF(AND(ISNUMBER($G$2041),$B$1132=1),$G$2041,HLOOKUP(INDIRECT(ADDRESS(2,COLUMN())),OFFSET($K$2,0,0,ROW()-1,5),ROW()-1,FALSE))</f>
        <v>0.6</v>
      </c>
      <c r="H966">
        <f ca="1">IF(AND(ISNUMBER($H$2041),$B$1132=1),$H$2041,HLOOKUP(INDIRECT(ADDRESS(2,COLUMN())),OFFSET($K$2,0,0,ROW()-1,5),ROW()-1,FALSE))</f>
        <v>0.65800000000000003</v>
      </c>
      <c r="I966">
        <f ca="1">IF(AND(ISNUMBER($I$2041),$B$1132=1),$I$2041,HLOOKUP(INDIRECT(ADDRESS(2,COLUMN())),OFFSET($K$2,0,0,ROW()-1,5),ROW()-1,FALSE))</f>
        <v>0.80200000000000005</v>
      </c>
      <c r="J966">
        <f ca="1">IF(AND(ISNUMBER($J$2041),$B$1132=1),$J$2041,HLOOKUP(INDIRECT(ADDRESS(2,COLUMN())),OFFSET($K$2,0,0,ROW()-1,5),ROW()-1,FALSE))</f>
        <v>0.95499999999999996</v>
      </c>
      <c r="K966" t="str">
        <f>""</f>
        <v/>
      </c>
      <c r="L966">
        <f>0.6</f>
        <v>0.6</v>
      </c>
      <c r="M966">
        <f>0.658</f>
        <v>0.65800000000000003</v>
      </c>
      <c r="N966">
        <f>0.802</f>
        <v>0.80200000000000005</v>
      </c>
      <c r="O966">
        <f>0.955</f>
        <v>0.95499999999999996</v>
      </c>
    </row>
    <row r="967" spans="1:15" x14ac:dyDescent="0.25">
      <c r="A967" t="str">
        <f>"                    Hitachi Ltd"</f>
        <v xml:space="preserve">                    Hitachi Ltd</v>
      </c>
      <c r="B967" t="str">
        <f>"6501 JP Equity"</f>
        <v>6501 JP Equity</v>
      </c>
      <c r="C967" t="str">
        <f t="shared" si="111"/>
        <v>F0946</v>
      </c>
      <c r="D967" t="str">
        <f t="shared" si="112"/>
        <v>TOTAL_GHG_CO2_EMISSIONS</v>
      </c>
      <c r="E967" t="str">
        <f t="shared" si="113"/>
        <v>Dynamic</v>
      </c>
      <c r="F967" t="str">
        <f ca="1">IF(AND(ISNUMBER($F$2042),$B$1132=1),$F$2042,HLOOKUP(INDIRECT(ADDRESS(2,COLUMN())),OFFSET($K$2,0,0,ROW()-1,5),ROW()-1,FALSE))</f>
        <v/>
      </c>
      <c r="G967">
        <f ca="1">IF(AND(ISNUMBER($G$2042),$B$1132=1),$G$2042,HLOOKUP(INDIRECT(ADDRESS(2,COLUMN())),OFFSET($K$2,0,0,ROW()-1,5),ROW()-1,FALSE))</f>
        <v>3.41</v>
      </c>
      <c r="H967">
        <f ca="1">IF(AND(ISNUMBER($H$2042),$B$1132=1),$H$2042,HLOOKUP(INDIRECT(ADDRESS(2,COLUMN())),OFFSET($K$2,0,0,ROW()-1,5),ROW()-1,FALSE))</f>
        <v>3.610679932</v>
      </c>
      <c r="I967">
        <f ca="1">IF(AND(ISNUMBER($I$2042),$B$1132=1),$I$2042,HLOOKUP(INDIRECT(ADDRESS(2,COLUMN())),OFFSET($K$2,0,0,ROW()-1,5),ROW()-1,FALSE))</f>
        <v>4.42</v>
      </c>
      <c r="J967">
        <f ca="1">IF(AND(ISNUMBER($J$2042),$B$1132=1),$J$2042,HLOOKUP(INDIRECT(ADDRESS(2,COLUMN())),OFFSET($K$2,0,0,ROW()-1,5),ROW()-1,FALSE))</f>
        <v>4.47</v>
      </c>
      <c r="K967" t="str">
        <f>""</f>
        <v/>
      </c>
      <c r="L967">
        <f>3.41</f>
        <v>3.41</v>
      </c>
      <c r="M967">
        <f>3.610679932</f>
        <v>3.610679932</v>
      </c>
      <c r="N967">
        <f>4.42</f>
        <v>4.42</v>
      </c>
      <c r="O967">
        <f>4.47</f>
        <v>4.47</v>
      </c>
    </row>
    <row r="968" spans="1:15" x14ac:dyDescent="0.25">
      <c r="A968" t="str">
        <f>"                    HP Inc"</f>
        <v xml:space="preserve">                    HP Inc</v>
      </c>
      <c r="B968" t="str">
        <f>"HPQ US Equity"</f>
        <v>HPQ US Equity</v>
      </c>
      <c r="C968" t="str">
        <f t="shared" si="111"/>
        <v>F0946</v>
      </c>
      <c r="D968" t="str">
        <f t="shared" si="112"/>
        <v>TOTAL_GHG_CO2_EMISSIONS</v>
      </c>
      <c r="E968" t="str">
        <f t="shared" si="113"/>
        <v>Dynamic</v>
      </c>
      <c r="F968" t="str">
        <f ca="1">IF(AND(ISNUMBER($F$2043),$B$1132=1),$F$2043,HLOOKUP(INDIRECT(ADDRESS(2,COLUMN())),OFFSET($K$2,0,0,ROW()-1,5),ROW()-1,FALSE))</f>
        <v/>
      </c>
      <c r="G968">
        <f ca="1">IF(AND(ISNUMBER($G$2043),$B$1132=1),$G$2043,HLOOKUP(INDIRECT(ADDRESS(2,COLUMN())),OFFSET($K$2,0,0,ROW()-1,5),ROW()-1,FALSE))</f>
        <v>0.24689999400000001</v>
      </c>
      <c r="H968">
        <f ca="1">IF(AND(ISNUMBER($H$2043),$B$1132=1),$H$2043,HLOOKUP(INDIRECT(ADDRESS(2,COLUMN())),OFFSET($K$2,0,0,ROW()-1,5),ROW()-1,FALSE))</f>
        <v>0.25419999700000001</v>
      </c>
      <c r="I968">
        <f ca="1">IF(AND(ISNUMBER($I$2043),$B$1132=1),$I$2043,HLOOKUP(INDIRECT(ADDRESS(2,COLUMN())),OFFSET($K$2,0,0,ROW()-1,5),ROW()-1,FALSE))</f>
        <v>0.28829998800000001</v>
      </c>
      <c r="J968">
        <f ca="1">IF(AND(ISNUMBER($J$2043),$B$1132=1),$J$2043,HLOOKUP(INDIRECT(ADDRESS(2,COLUMN())),OFFSET($K$2,0,0,ROW()-1,5),ROW()-1,FALSE))</f>
        <v>0.31820001199999998</v>
      </c>
      <c r="K968" t="str">
        <f>""</f>
        <v/>
      </c>
      <c r="L968">
        <f>0.246899994</f>
        <v>0.24689999400000001</v>
      </c>
      <c r="M968">
        <f>0.254199997</f>
        <v>0.25419999700000001</v>
      </c>
      <c r="N968">
        <f>0.288299988</f>
        <v>0.28829998800000001</v>
      </c>
      <c r="O968">
        <f>0.318200012</f>
        <v>0.31820001199999998</v>
      </c>
    </row>
    <row r="969" spans="1:15" x14ac:dyDescent="0.25">
      <c r="A969" t="str">
        <f>"                    Hewlett Packard Enterprise Co"</f>
        <v xml:space="preserve">                    Hewlett Packard Enterprise Co</v>
      </c>
      <c r="B969" t="str">
        <f>"HPE US Equity"</f>
        <v>HPE US Equity</v>
      </c>
      <c r="C969" t="str">
        <f t="shared" si="111"/>
        <v>F0946</v>
      </c>
      <c r="D969" t="str">
        <f t="shared" si="112"/>
        <v>TOTAL_GHG_CO2_EMISSIONS</v>
      </c>
      <c r="E969" t="str">
        <f t="shared" si="113"/>
        <v>Dynamic</v>
      </c>
      <c r="F969" t="str">
        <f ca="1">IF(AND(ISNUMBER($F$2044),$B$1132=1),$F$2044,HLOOKUP(INDIRECT(ADDRESS(2,COLUMN())),OFFSET($K$2,0,0,ROW()-1,5),ROW()-1,FALSE))</f>
        <v/>
      </c>
      <c r="G969">
        <f ca="1">IF(AND(ISNUMBER($G$2044),$B$1132=1),$G$2044,HLOOKUP(INDIRECT(ADDRESS(2,COLUMN())),OFFSET($K$2,0,0,ROW()-1,5),ROW()-1,FALSE))</f>
        <v>0.30634399400000001</v>
      </c>
      <c r="H969">
        <f ca="1">IF(AND(ISNUMBER($H$2044),$B$1132=1),$H$2044,HLOOKUP(INDIRECT(ADDRESS(2,COLUMN())),OFFSET($K$2,0,0,ROW()-1,5),ROW()-1,FALSE))</f>
        <v>0.342618011</v>
      </c>
      <c r="I969">
        <f ca="1">IF(AND(ISNUMBER($I$2044),$B$1132=1),$I$2044,HLOOKUP(INDIRECT(ADDRESS(2,COLUMN())),OFFSET($K$2,0,0,ROW()-1,5),ROW()-1,FALSE))</f>
        <v>0.37051098599999999</v>
      </c>
      <c r="J969">
        <f ca="1">IF(AND(ISNUMBER($J$2044),$B$1132=1),$J$2044,HLOOKUP(INDIRECT(ADDRESS(2,COLUMN())),OFFSET($K$2,0,0,ROW()-1,5),ROW()-1,FALSE))</f>
        <v>0.40301800500000001</v>
      </c>
      <c r="K969" t="str">
        <f>""</f>
        <v/>
      </c>
      <c r="L969">
        <f>0.306343994</f>
        <v>0.30634399400000001</v>
      </c>
      <c r="M969">
        <f>0.342618011</f>
        <v>0.342618011</v>
      </c>
      <c r="N969">
        <f>0.370510986</f>
        <v>0.37051098599999999</v>
      </c>
      <c r="O969">
        <f>0.403018005</f>
        <v>0.40301800500000001</v>
      </c>
    </row>
    <row r="970" spans="1:15" x14ac:dyDescent="0.25">
      <c r="A970" t="str">
        <f>"                    Inspur Electronic Information"</f>
        <v xml:space="preserve">                    Inspur Electronic Information</v>
      </c>
      <c r="B970" t="str">
        <f>"000977 CH Equity"</f>
        <v>000977 CH Equity</v>
      </c>
      <c r="C970" t="str">
        <f t="shared" si="111"/>
        <v>F0946</v>
      </c>
      <c r="D970" t="str">
        <f t="shared" si="112"/>
        <v>TOTAL_GHG_CO2_EMISSIONS</v>
      </c>
      <c r="E970" t="str">
        <f t="shared" si="113"/>
        <v>Dynamic</v>
      </c>
      <c r="F970">
        <f ca="1">IF(AND(ISNUMBER($F$2045),$B$1132=1),$F$2045,HLOOKUP(INDIRECT(ADDRESS(2,COLUMN())),OFFSET($K$2,0,0,ROW()-1,5),ROW()-1,FALSE))</f>
        <v>3.6759102000000002E-2</v>
      </c>
      <c r="G970">
        <f ca="1">IF(AND(ISNUMBER($G$2045),$B$1132=1),$G$2045,HLOOKUP(INDIRECT(ADDRESS(2,COLUMN())),OFFSET($K$2,0,0,ROW()-1,5),ROW()-1,FALSE))</f>
        <v>2.72003E-2</v>
      </c>
      <c r="H970" t="str">
        <f ca="1">IF(AND(ISNUMBER($H$2045),$B$1132=1),$H$2045,HLOOKUP(INDIRECT(ADDRESS(2,COLUMN())),OFFSET($K$2,0,0,ROW()-1,5),ROW()-1,FALSE))</f>
        <v/>
      </c>
      <c r="I970" t="str">
        <f ca="1">IF(AND(ISNUMBER($I$2045),$B$1132=1),$I$2045,HLOOKUP(INDIRECT(ADDRESS(2,COLUMN())),OFFSET($K$2,0,0,ROW()-1,5),ROW()-1,FALSE))</f>
        <v/>
      </c>
      <c r="J970" t="str">
        <f ca="1">IF(AND(ISNUMBER($J$2045),$B$1132=1),$J$2045,HLOOKUP(INDIRECT(ADDRESS(2,COLUMN())),OFFSET($K$2,0,0,ROW()-1,5),ROW()-1,FALSE))</f>
        <v/>
      </c>
      <c r="K970">
        <f>0.036759102</f>
        <v>3.6759102000000002E-2</v>
      </c>
      <c r="L970">
        <f>0.0272003</f>
        <v>2.72003E-2</v>
      </c>
      <c r="M970" t="str">
        <f>""</f>
        <v/>
      </c>
      <c r="N970" t="str">
        <f>""</f>
        <v/>
      </c>
      <c r="O970" t="str">
        <f>""</f>
        <v/>
      </c>
    </row>
    <row r="971" spans="1:15" x14ac:dyDescent="0.25">
      <c r="A971" t="str">
        <f>"                    International Business Machine"</f>
        <v xml:space="preserve">                    International Business Machine</v>
      </c>
      <c r="B971" t="str">
        <f>"IBM US Equity"</f>
        <v>IBM US Equity</v>
      </c>
      <c r="C971" t="str">
        <f t="shared" si="111"/>
        <v>F0946</v>
      </c>
      <c r="D971" t="str">
        <f t="shared" si="112"/>
        <v>TOTAL_GHG_CO2_EMISSIONS</v>
      </c>
      <c r="E971" t="str">
        <f t="shared" si="113"/>
        <v>Dynamic</v>
      </c>
      <c r="F971" t="str">
        <f ca="1">IF(AND(ISNUMBER($F$2046),$B$1132=1),$F$2046,HLOOKUP(INDIRECT(ADDRESS(2,COLUMN())),OFFSET($K$2,0,0,ROW()-1,5),ROW()-1,FALSE))</f>
        <v/>
      </c>
      <c r="G971">
        <f ca="1">IF(AND(ISNUMBER($G$2046),$B$1132=1),$G$2046,HLOOKUP(INDIRECT(ADDRESS(2,COLUMN())),OFFSET($K$2,0,0,ROW()-1,5),ROW()-1,FALSE))</f>
        <v>0.78056701699999997</v>
      </c>
      <c r="H971">
        <f ca="1">IF(AND(ISNUMBER($H$2046),$B$1132=1),$H$2046,HLOOKUP(INDIRECT(ADDRESS(2,COLUMN())),OFFSET($K$2,0,0,ROW()-1,5),ROW()-1,FALSE))</f>
        <v>0.91970001199999996</v>
      </c>
      <c r="I971">
        <f ca="1">IF(AND(ISNUMBER($I$2046),$B$1132=1),$I$2046,HLOOKUP(INDIRECT(ADDRESS(2,COLUMN())),OFFSET($K$2,0,0,ROW()-1,5),ROW()-1,FALSE))</f>
        <v>1.1047900390000001</v>
      </c>
      <c r="J971">
        <f ca="1">IF(AND(ISNUMBER($J$2046),$B$1132=1),$J$2046,HLOOKUP(INDIRECT(ADDRESS(2,COLUMN())),OFFSET($K$2,0,0,ROW()-1,5),ROW()-1,FALSE))</f>
        <v>1.2576600339999999</v>
      </c>
      <c r="K971" t="str">
        <f>""</f>
        <v/>
      </c>
      <c r="L971">
        <f>0.780567017</f>
        <v>0.78056701699999997</v>
      </c>
      <c r="M971">
        <f>0.919700012</f>
        <v>0.91970001199999996</v>
      </c>
      <c r="N971">
        <f>1.104790039</f>
        <v>1.1047900390000001</v>
      </c>
      <c r="O971">
        <f>1.257660034</f>
        <v>1.2576600339999999</v>
      </c>
    </row>
    <row r="972" spans="1:15" x14ac:dyDescent="0.25">
      <c r="A972" t="str">
        <f>"                    Lenovo Group Ltd"</f>
        <v xml:space="preserve">                    Lenovo Group Ltd</v>
      </c>
      <c r="B972" t="str">
        <f>"992 HK Equity"</f>
        <v>992 HK Equity</v>
      </c>
      <c r="C972" t="str">
        <f t="shared" si="111"/>
        <v>F0946</v>
      </c>
      <c r="D972" t="str">
        <f t="shared" si="112"/>
        <v>TOTAL_GHG_CO2_EMISSIONS</v>
      </c>
      <c r="E972" t="str">
        <f t="shared" si="113"/>
        <v>Dynamic</v>
      </c>
      <c r="F972" t="str">
        <f ca="1">IF(AND(ISNUMBER($F$2047),$B$1132=1),$F$2047,HLOOKUP(INDIRECT(ADDRESS(2,COLUMN())),OFFSET($K$2,0,0,ROW()-1,5),ROW()-1,FALSE))</f>
        <v/>
      </c>
      <c r="G972">
        <f ca="1">IF(AND(ISNUMBER($G$2047),$B$1132=1),$G$2047,HLOOKUP(INDIRECT(ADDRESS(2,COLUMN())),OFFSET($K$2,0,0,ROW()-1,5),ROW()-1,FALSE))</f>
        <v>0.197847</v>
      </c>
      <c r="H972">
        <f ca="1">IF(AND(ISNUMBER($H$2047),$B$1132=1),$H$2047,HLOOKUP(INDIRECT(ADDRESS(2,COLUMN())),OFFSET($K$2,0,0,ROW()-1,5),ROW()-1,FALSE))</f>
        <v>0.184947006</v>
      </c>
      <c r="I972">
        <f ca="1">IF(AND(ISNUMBER($I$2047),$B$1132=1),$I$2047,HLOOKUP(INDIRECT(ADDRESS(2,COLUMN())),OFFSET($K$2,0,0,ROW()-1,5),ROW()-1,FALSE))</f>
        <v>0.17036300700000001</v>
      </c>
      <c r="J972">
        <f ca="1">IF(AND(ISNUMBER($J$2047),$B$1132=1),$J$2047,HLOOKUP(INDIRECT(ADDRESS(2,COLUMN())),OFFSET($K$2,0,0,ROW()-1,5),ROW()-1,FALSE))</f>
        <v>0.20735200500000001</v>
      </c>
      <c r="K972" t="str">
        <f>""</f>
        <v/>
      </c>
      <c r="L972">
        <f>0.197847</f>
        <v>0.197847</v>
      </c>
      <c r="M972">
        <f>0.184947006</f>
        <v>0.184947006</v>
      </c>
      <c r="N972">
        <f>0.170363007</f>
        <v>0.17036300700000001</v>
      </c>
      <c r="O972">
        <f>0.207352005</f>
        <v>0.20735200500000001</v>
      </c>
    </row>
    <row r="973" spans="1:15" x14ac:dyDescent="0.25">
      <c r="A973" t="str">
        <f>"                    NEC Corp"</f>
        <v xml:space="preserve">                    NEC Corp</v>
      </c>
      <c r="B973" t="str">
        <f>"6701 JP Equity"</f>
        <v>6701 JP Equity</v>
      </c>
      <c r="C973" t="str">
        <f t="shared" si="111"/>
        <v>F0946</v>
      </c>
      <c r="D973" t="str">
        <f t="shared" si="112"/>
        <v>TOTAL_GHG_CO2_EMISSIONS</v>
      </c>
      <c r="E973" t="str">
        <f t="shared" si="113"/>
        <v>Dynamic</v>
      </c>
      <c r="F973" t="str">
        <f ca="1">IF(AND(ISNUMBER($F$2048),$B$1132=1),$F$2048,HLOOKUP(INDIRECT(ADDRESS(2,COLUMN())),OFFSET($K$2,0,0,ROW()-1,5),ROW()-1,FALSE))</f>
        <v/>
      </c>
      <c r="G973">
        <f ca="1">IF(AND(ISNUMBER($G$2048),$B$1132=1),$G$2048,HLOOKUP(INDIRECT(ADDRESS(2,COLUMN())),OFFSET($K$2,0,0,ROW()-1,5),ROW()-1,FALSE))</f>
        <v>0.32400000000000001</v>
      </c>
      <c r="H973">
        <f ca="1">IF(AND(ISNUMBER($H$2048),$B$1132=1),$H$2048,HLOOKUP(INDIRECT(ADDRESS(2,COLUMN())),OFFSET($K$2,0,0,ROW()-1,5),ROW()-1,FALSE))</f>
        <v>0.32700000000000001</v>
      </c>
      <c r="I973">
        <f ca="1">IF(AND(ISNUMBER($I$2048),$B$1132=1),$I$2048,HLOOKUP(INDIRECT(ADDRESS(2,COLUMN())),OFFSET($K$2,0,0,ROW()-1,5),ROW()-1,FALSE))</f>
        <v>0.373</v>
      </c>
      <c r="J973">
        <f ca="1">IF(AND(ISNUMBER($J$2048),$B$1132=1),$J$2048,HLOOKUP(INDIRECT(ADDRESS(2,COLUMN())),OFFSET($K$2,0,0,ROW()-1,5),ROW()-1,FALSE))</f>
        <v>0.32900000000000001</v>
      </c>
      <c r="K973" t="str">
        <f>""</f>
        <v/>
      </c>
      <c r="L973">
        <f>0.324</f>
        <v>0.32400000000000001</v>
      </c>
      <c r="M973">
        <f>0.327</f>
        <v>0.32700000000000001</v>
      </c>
      <c r="N973">
        <f>0.373</f>
        <v>0.373</v>
      </c>
      <c r="O973">
        <f>0.329</f>
        <v>0.32900000000000001</v>
      </c>
    </row>
    <row r="974" spans="1:15" x14ac:dyDescent="0.25">
      <c r="A974" t="str">
        <f>"                    NVIDIA Corp"</f>
        <v xml:space="preserve">                    NVIDIA Corp</v>
      </c>
      <c r="B974" t="str">
        <f>"NVDA US Equity"</f>
        <v>NVDA US Equity</v>
      </c>
      <c r="C974" t="str">
        <f t="shared" si="111"/>
        <v>F0946</v>
      </c>
      <c r="D974" t="str">
        <f t="shared" si="112"/>
        <v>TOTAL_GHG_CO2_EMISSIONS</v>
      </c>
      <c r="E974" t="str">
        <f t="shared" si="113"/>
        <v>Dynamic</v>
      </c>
      <c r="F974" t="str">
        <f ca="1">IF(AND(ISNUMBER($F$2049),$B$1132=1),$F$2049,HLOOKUP(INDIRECT(ADDRESS(2,COLUMN())),OFFSET($K$2,0,0,ROW()-1,5),ROW()-1,FALSE))</f>
        <v/>
      </c>
      <c r="G974">
        <f ca="1">IF(AND(ISNUMBER($G$2049),$B$1132=1),$G$2049,HLOOKUP(INDIRECT(ADDRESS(2,COLUMN())),OFFSET($K$2,0,0,ROW()-1,5),ROW()-1,FALSE))</f>
        <v>0.138181</v>
      </c>
      <c r="H974">
        <f ca="1">IF(AND(ISNUMBER($H$2049),$B$1132=1),$H$2049,HLOOKUP(INDIRECT(ADDRESS(2,COLUMN())),OFFSET($K$2,0,0,ROW()-1,5),ROW()-1,FALSE))</f>
        <v>0.108313004</v>
      </c>
      <c r="I974">
        <f ca="1">IF(AND(ISNUMBER($I$2049),$B$1132=1),$I$2049,HLOOKUP(INDIRECT(ADDRESS(2,COLUMN())),OFFSET($K$2,0,0,ROW()-1,5),ROW()-1,FALSE))</f>
        <v>7.7509003000000007E-2</v>
      </c>
      <c r="J974">
        <f ca="1">IF(AND(ISNUMBER($J$2049),$B$1132=1),$J$2049,HLOOKUP(INDIRECT(ADDRESS(2,COLUMN())),OFFSET($K$2,0,0,ROW()-1,5),ROW()-1,FALSE))</f>
        <v>6.7611000000000004E-2</v>
      </c>
      <c r="K974" t="str">
        <f>""</f>
        <v/>
      </c>
      <c r="L974">
        <f>0.138181</f>
        <v>0.138181</v>
      </c>
      <c r="M974">
        <f>0.108313004</f>
        <v>0.108313004</v>
      </c>
      <c r="N974">
        <f>0.077509003</f>
        <v>7.7509003000000007E-2</v>
      </c>
      <c r="O974">
        <f>0.067611</f>
        <v>6.7611000000000004E-2</v>
      </c>
    </row>
    <row r="975" spans="1:15" x14ac:dyDescent="0.25">
      <c r="A975" t="str">
        <f>"                    Oracle Corp"</f>
        <v xml:space="preserve">                    Oracle Corp</v>
      </c>
      <c r="B975" t="str">
        <f>"ORCL US Equity"</f>
        <v>ORCL US Equity</v>
      </c>
      <c r="C975" t="str">
        <f t="shared" si="111"/>
        <v>F0946</v>
      </c>
      <c r="D975" t="str">
        <f t="shared" si="112"/>
        <v>TOTAL_GHG_CO2_EMISSIONS</v>
      </c>
      <c r="E975" t="str">
        <f t="shared" si="113"/>
        <v>Dynamic</v>
      </c>
      <c r="F975" t="str">
        <f ca="1">IF(AND(ISNUMBER($F$2050),$B$1132=1),$F$2050,HLOOKUP(INDIRECT(ADDRESS(2,COLUMN())),OFFSET($K$2,0,0,ROW()-1,5),ROW()-1,FALSE))</f>
        <v/>
      </c>
      <c r="G975">
        <f ca="1">IF(AND(ISNUMBER($G$2050),$B$1132=1),$G$2050,HLOOKUP(INDIRECT(ADDRESS(2,COLUMN())),OFFSET($K$2,0,0,ROW()-1,5),ROW()-1,FALSE))</f>
        <v>0.65731500200000004</v>
      </c>
      <c r="H975">
        <f ca="1">IF(AND(ISNUMBER($H$2050),$B$1132=1),$H$2050,HLOOKUP(INDIRECT(ADDRESS(2,COLUMN())),OFFSET($K$2,0,0,ROW()-1,5),ROW()-1,FALSE))</f>
        <v>0.61262902799999996</v>
      </c>
      <c r="I975">
        <f ca="1">IF(AND(ISNUMBER($I$2050),$B$1132=1),$I$2050,HLOOKUP(INDIRECT(ADDRESS(2,COLUMN())),OFFSET($K$2,0,0,ROW()-1,5),ROW()-1,FALSE))</f>
        <v>0.57720300300000005</v>
      </c>
      <c r="J975">
        <f ca="1">IF(AND(ISNUMBER($J$2050),$B$1132=1),$J$2050,HLOOKUP(INDIRECT(ADDRESS(2,COLUMN())),OFFSET($K$2,0,0,ROW()-1,5),ROW()-1,FALSE))</f>
        <v>0.50700100699999995</v>
      </c>
      <c r="K975" t="str">
        <f>""</f>
        <v/>
      </c>
      <c r="L975">
        <f>0.657315002</f>
        <v>0.65731500200000004</v>
      </c>
      <c r="M975">
        <f>0.612629028</f>
        <v>0.61262902799999996</v>
      </c>
      <c r="N975">
        <f>0.577203003</f>
        <v>0.57720300300000005</v>
      </c>
      <c r="O975">
        <f>0.507001007</f>
        <v>0.50700100699999995</v>
      </c>
    </row>
    <row r="976" spans="1:15" x14ac:dyDescent="0.25">
      <c r="A976" t="str">
        <f>"                    Super Micro Computer Inc"</f>
        <v xml:space="preserve">                    Super Micro Computer Inc</v>
      </c>
      <c r="B976" t="str">
        <f>"SMCI US Equity"</f>
        <v>SMCI US Equity</v>
      </c>
      <c r="C976" t="str">
        <f t="shared" si="111"/>
        <v>F0946</v>
      </c>
      <c r="D976" t="str">
        <f t="shared" si="112"/>
        <v>TOTAL_GHG_CO2_EMISSIONS</v>
      </c>
      <c r="E976" t="str">
        <f t="shared" si="113"/>
        <v>Dynamic</v>
      </c>
      <c r="F976" t="str">
        <f ca="1">IF(AND(ISNUMBER($F$2051),$B$1132=1),$F$2051,HLOOKUP(INDIRECT(ADDRESS(2,COLUMN())),OFFSET($K$2,0,0,ROW()-1,5),ROW()-1,FALSE))</f>
        <v/>
      </c>
      <c r="G976" t="str">
        <f ca="1">IF(AND(ISNUMBER($G$2051),$B$1132=1),$G$2051,HLOOKUP(INDIRECT(ADDRESS(2,COLUMN())),OFFSET($K$2,0,0,ROW()-1,5),ROW()-1,FALSE))</f>
        <v/>
      </c>
      <c r="H976">
        <f ca="1">IF(AND(ISNUMBER($H$2051),$B$1132=1),$H$2051,HLOOKUP(INDIRECT(ADDRESS(2,COLUMN())),OFFSET($K$2,0,0,ROW()-1,5),ROW()-1,FALSE))</f>
        <v>8.0029999999999997E-3</v>
      </c>
      <c r="I976" t="str">
        <f ca="1">IF(AND(ISNUMBER($I$2051),$B$1132=1),$I$2051,HLOOKUP(INDIRECT(ADDRESS(2,COLUMN())),OFFSET($K$2,0,0,ROW()-1,5),ROW()-1,FALSE))</f>
        <v/>
      </c>
      <c r="J976" t="str">
        <f ca="1">IF(AND(ISNUMBER($J$2051),$B$1132=1),$J$2051,HLOOKUP(INDIRECT(ADDRESS(2,COLUMN())),OFFSET($K$2,0,0,ROW()-1,5),ROW()-1,FALSE))</f>
        <v/>
      </c>
      <c r="K976" t="str">
        <f>""</f>
        <v/>
      </c>
      <c r="L976" t="str">
        <f>""</f>
        <v/>
      </c>
      <c r="M976">
        <f>0.008003</f>
        <v>8.0029999999999997E-3</v>
      </c>
      <c r="N976" t="str">
        <f>""</f>
        <v/>
      </c>
      <c r="O976" t="str">
        <f>""</f>
        <v/>
      </c>
    </row>
    <row r="977" spans="1:15" x14ac:dyDescent="0.25">
      <c r="A977" t="str">
        <f>"                    Teradata Corp"</f>
        <v xml:space="preserve">                    Teradata Corp</v>
      </c>
      <c r="B977" t="str">
        <f>"TDC US Equity"</f>
        <v>TDC US Equity</v>
      </c>
      <c r="C977" t="str">
        <f t="shared" si="111"/>
        <v>F0946</v>
      </c>
      <c r="D977" t="str">
        <f t="shared" si="112"/>
        <v>TOTAL_GHG_CO2_EMISSIONS</v>
      </c>
      <c r="E977" t="str">
        <f t="shared" si="113"/>
        <v>Dynamic</v>
      </c>
      <c r="F977" t="str">
        <f ca="1">IF(AND(ISNUMBER($F$2052),$B$1132=1),$F$2052,HLOOKUP(INDIRECT(ADDRESS(2,COLUMN())),OFFSET($K$2,0,0,ROW()-1,5),ROW()-1,FALSE))</f>
        <v/>
      </c>
      <c r="G977">
        <f ca="1">IF(AND(ISNUMBER($G$2052),$B$1132=1),$G$2052,HLOOKUP(INDIRECT(ADDRESS(2,COLUMN())),OFFSET($K$2,0,0,ROW()-1,5),ROW()-1,FALSE))</f>
        <v>1.0200000000000001E-2</v>
      </c>
      <c r="H977">
        <f ca="1">IF(AND(ISNUMBER($H$2052),$B$1132=1),$H$2052,HLOOKUP(INDIRECT(ADDRESS(2,COLUMN())),OFFSET($K$2,0,0,ROW()-1,5),ROW()-1,FALSE))</f>
        <v>1.0827E-2</v>
      </c>
      <c r="I977">
        <f ca="1">IF(AND(ISNUMBER($I$2052),$B$1132=1),$I$2052,HLOOKUP(INDIRECT(ADDRESS(2,COLUMN())),OFFSET($K$2,0,0,ROW()-1,5),ROW()-1,FALSE))</f>
        <v>1.6719000000000001E-2</v>
      </c>
      <c r="J977">
        <f ca="1">IF(AND(ISNUMBER($J$2052),$B$1132=1),$J$2052,HLOOKUP(INDIRECT(ADDRESS(2,COLUMN())),OFFSET($K$2,0,0,ROW()-1,5),ROW()-1,FALSE))</f>
        <v>1.8495999999999999E-2</v>
      </c>
      <c r="K977" t="str">
        <f>""</f>
        <v/>
      </c>
      <c r="L977">
        <f>0.0102</f>
        <v>1.0200000000000001E-2</v>
      </c>
      <c r="M977">
        <f>0.010827</f>
        <v>1.0827E-2</v>
      </c>
      <c r="N977">
        <f>0.016719</f>
        <v>1.6719000000000001E-2</v>
      </c>
      <c r="O977">
        <f>0.018496</f>
        <v>1.8495999999999999E-2</v>
      </c>
    </row>
    <row r="978" spans="1:15" x14ac:dyDescent="0.25">
      <c r="A978" t="str">
        <f>"                    Toshiba Corp"</f>
        <v xml:space="preserve">                    Toshiba Corp</v>
      </c>
      <c r="B978" t="str">
        <f>"6502 JP Equity"</f>
        <v>6502 JP Equity</v>
      </c>
      <c r="C978" t="str">
        <f t="shared" si="111"/>
        <v>F0946</v>
      </c>
      <c r="D978" t="str">
        <f t="shared" si="112"/>
        <v>TOTAL_GHG_CO2_EMISSIONS</v>
      </c>
      <c r="E978" t="str">
        <f t="shared" si="113"/>
        <v>Dynamic</v>
      </c>
      <c r="F978" t="str">
        <f ca="1">IF(AND(ISNUMBER($F$2053),$B$1132=1),$F$2053,HLOOKUP(INDIRECT(ADDRESS(2,COLUMN())),OFFSET($K$2,0,0,ROW()-1,5),ROW()-1,FALSE))</f>
        <v/>
      </c>
      <c r="G978">
        <f ca="1">IF(AND(ISNUMBER($G$2053),$B$1132=1),$G$2053,HLOOKUP(INDIRECT(ADDRESS(2,COLUMN())),OFFSET($K$2,0,0,ROW()-1,5),ROW()-1,FALSE))</f>
        <v>1.022859985</v>
      </c>
      <c r="H978">
        <f ca="1">IF(AND(ISNUMBER($H$2053),$B$1132=1),$H$2053,HLOOKUP(INDIRECT(ADDRESS(2,COLUMN())),OFFSET($K$2,0,0,ROW()-1,5),ROW()-1,FALSE))</f>
        <v>1.05</v>
      </c>
      <c r="I978">
        <f ca="1">IF(AND(ISNUMBER($I$2053),$B$1132=1),$I$2053,HLOOKUP(INDIRECT(ADDRESS(2,COLUMN())),OFFSET($K$2,0,0,ROW()-1,5),ROW()-1,FALSE))</f>
        <v>1.1399999999999999</v>
      </c>
      <c r="J978">
        <f ca="1">IF(AND(ISNUMBER($J$2053),$B$1132=1),$J$2053,HLOOKUP(INDIRECT(ADDRESS(2,COLUMN())),OFFSET($K$2,0,0,ROW()-1,5),ROW()-1,FALSE))</f>
        <v>1.24</v>
      </c>
      <c r="K978" t="str">
        <f>""</f>
        <v/>
      </c>
      <c r="L978">
        <f>1.022859985</f>
        <v>1.022859985</v>
      </c>
      <c r="M978">
        <f>1.05</f>
        <v>1.05</v>
      </c>
      <c r="N978">
        <f>1.14</f>
        <v>1.1399999999999999</v>
      </c>
      <c r="O978">
        <f>1.24</f>
        <v>1.24</v>
      </c>
    </row>
    <row r="979" spans="1:15" x14ac:dyDescent="0.25">
      <c r="A979" t="str">
        <f>"                    Unisys Corp"</f>
        <v xml:space="preserve">                    Unisys Corp</v>
      </c>
      <c r="B979" t="str">
        <f>"UIS US Equity"</f>
        <v>UIS US Equity</v>
      </c>
      <c r="C979" t="str">
        <f t="shared" si="111"/>
        <v>F0946</v>
      </c>
      <c r="D979" t="str">
        <f t="shared" si="112"/>
        <v>TOTAL_GHG_CO2_EMISSIONS</v>
      </c>
      <c r="E979" t="str">
        <f t="shared" si="113"/>
        <v>Dynamic</v>
      </c>
      <c r="F979" t="str">
        <f ca="1">IF(AND(ISNUMBER($F$2054),$B$1132=1),$F$2054,HLOOKUP(INDIRECT(ADDRESS(2,COLUMN())),OFFSET($K$2,0,0,ROW()-1,5),ROW()-1,FALSE))</f>
        <v/>
      </c>
      <c r="G979" t="str">
        <f ca="1">IF(AND(ISNUMBER($G$2054),$B$1132=1),$G$2054,HLOOKUP(INDIRECT(ADDRESS(2,COLUMN())),OFFSET($K$2,0,0,ROW()-1,5),ROW()-1,FALSE))</f>
        <v/>
      </c>
      <c r="H979" t="str">
        <f ca="1">IF(AND(ISNUMBER($H$2054),$B$1132=1),$H$2054,HLOOKUP(INDIRECT(ADDRESS(2,COLUMN())),OFFSET($K$2,0,0,ROW()-1,5),ROW()-1,FALSE))</f>
        <v/>
      </c>
      <c r="I979" t="str">
        <f ca="1">IF(AND(ISNUMBER($I$2054),$B$1132=1),$I$2054,HLOOKUP(INDIRECT(ADDRESS(2,COLUMN())),OFFSET($K$2,0,0,ROW()-1,5),ROW()-1,FALSE))</f>
        <v/>
      </c>
      <c r="J979" t="str">
        <f ca="1">IF(AND(ISNUMBER($J$2054),$B$1132=1),$J$2054,HLOOKUP(INDIRECT(ADDRESS(2,COLUMN())),OFFSET($K$2,0,0,ROW()-1,5),ROW()-1,FALSE))</f>
        <v/>
      </c>
      <c r="K979" t="str">
        <f>""</f>
        <v/>
      </c>
      <c r="L979" t="str">
        <f>""</f>
        <v/>
      </c>
      <c r="M979" t="str">
        <f>""</f>
        <v/>
      </c>
      <c r="N979" t="str">
        <f>""</f>
        <v/>
      </c>
      <c r="O979" t="str">
        <f>""</f>
        <v/>
      </c>
    </row>
    <row r="980" spans="1:15" x14ac:dyDescent="0.25">
      <c r="A980" t="str">
        <f>"            Mobile Handset Manufacturers"</f>
        <v xml:space="preserve">            Mobile Handset Manufacturers</v>
      </c>
      <c r="B980" t="str">
        <f>""</f>
        <v/>
      </c>
      <c r="E980" t="str">
        <f>"Sum"</f>
        <v>Sum</v>
      </c>
      <c r="F980">
        <f ca="1">IF(ISERROR(IF(SUM($F$981:$F$992) = 0, "", SUM($F$981:$F$992))), "", (IF(SUM($F$981:$F$992) = 0, "", SUM($F$981:$F$992))))</f>
        <v>1.2193872649999999</v>
      </c>
      <c r="G980">
        <f ca="1">IF(ISERROR(IF(SUM($G$981:$G$992) = 0, "", SUM($G$981:$G$992))), "", (IF(SUM($G$981:$G$992) = 0, "", SUM($G$981:$G$992))))</f>
        <v>32.348558564000001</v>
      </c>
      <c r="H980">
        <f ca="1">IF(ISERROR(IF(SUM($H$981:$H$992) = 0, "", SUM($H$981:$H$992))), "", (IF(SUM($H$981:$H$992) = 0, "", SUM($H$981:$H$992))))</f>
        <v>33.687723291000005</v>
      </c>
      <c r="I980">
        <f ca="1">IF(ISERROR(IF(SUM($I$981:$I$992) = 0, "", SUM($I$981:$I$992))), "", (IF(SUM($I$981:$I$992) = 0, "", SUM($I$981:$I$992))))</f>
        <v>30.637234682000003</v>
      </c>
      <c r="J980">
        <f ca="1">IF(ISERROR(IF(SUM($J$981:$J$992) = 0, "", SUM($J$981:$J$992))), "", (IF(SUM($J$981:$J$992) = 0, "", SUM($J$981:$J$992))))</f>
        <v>28.592388063000001</v>
      </c>
      <c r="K980" t="str">
        <f>""</f>
        <v/>
      </c>
      <c r="L980">
        <f>32.34855856</f>
        <v>32.348558560000001</v>
      </c>
      <c r="M980">
        <f>33.68772329</f>
        <v>33.687723290000001</v>
      </c>
      <c r="N980">
        <f>30.63723468</f>
        <v>30.637234679999999</v>
      </c>
      <c r="O980">
        <f>28.59238806</f>
        <v>28.592388060000001</v>
      </c>
    </row>
    <row r="981" spans="1:15" x14ac:dyDescent="0.25">
      <c r="A981" t="str">
        <f>"            Apple Inc"</f>
        <v xml:space="preserve">            Apple Inc</v>
      </c>
      <c r="B981" t="str">
        <f>"AAPL US Equity"</f>
        <v>AAPL US Equity</v>
      </c>
      <c r="C981" t="str">
        <f t="shared" ref="C981:C992" si="114">"F0946"</f>
        <v>F0946</v>
      </c>
      <c r="D981" t="str">
        <f t="shared" ref="D981:D992" si="115">"TOTAL_GHG_CO2_EMISSIONS"</f>
        <v>TOTAL_GHG_CO2_EMISSIONS</v>
      </c>
      <c r="E981" t="str">
        <f t="shared" ref="E981:E992" si="116">"Dynamic"</f>
        <v>Dynamic</v>
      </c>
      <c r="F981">
        <f ca="1">IF(AND(ISNUMBER($F$2055),$B$1132=1),$F$2055,HLOOKUP(INDIRECT(ADDRESS(2,COLUMN())),OFFSET($K$2,0,0,ROW()-1,5),ROW()-1,FALSE))</f>
        <v>1.1205999760000001</v>
      </c>
      <c r="G981">
        <f ca="1">IF(AND(ISNUMBER($G$2055),$B$1132=1),$G$2055,HLOOKUP(INDIRECT(ADDRESS(2,COLUMN())),OFFSET($K$2,0,0,ROW()-1,5),ROW()-1,FALSE))</f>
        <v>1.0584499510000001</v>
      </c>
      <c r="H981">
        <f ca="1">IF(AND(ISNUMBER($H$2055),$B$1132=1),$H$2055,HLOOKUP(INDIRECT(ADDRESS(2,COLUMN())),OFFSET($K$2,0,0,ROW()-1,5),ROW()-1,FALSE))</f>
        <v>0.93763000500000004</v>
      </c>
      <c r="I981">
        <f ca="1">IF(AND(ISNUMBER($I$2055),$B$1132=1),$I$2055,HLOOKUP(INDIRECT(ADDRESS(2,COLUMN())),OFFSET($K$2,0,0,ROW()-1,5),ROW()-1,FALSE))</f>
        <v>0.912676025</v>
      </c>
      <c r="J981">
        <f ca="1">IF(AND(ISNUMBER($J$2055),$B$1132=1),$J$2055,HLOOKUP(INDIRECT(ADDRESS(2,COLUMN())),OFFSET($K$2,0,0,ROW()-1,5),ROW()-1,FALSE))</f>
        <v>0.83109002700000001</v>
      </c>
      <c r="K981">
        <f>1.120599976</f>
        <v>1.1205999760000001</v>
      </c>
      <c r="L981">
        <f>1.058449951</f>
        <v>1.0584499510000001</v>
      </c>
      <c r="M981">
        <f>0.937630005</f>
        <v>0.93763000500000004</v>
      </c>
      <c r="N981">
        <f>0.912676025</f>
        <v>0.912676025</v>
      </c>
      <c r="O981">
        <f>0.831090027</f>
        <v>0.83109002700000001</v>
      </c>
    </row>
    <row r="982" spans="1:15" x14ac:dyDescent="0.25">
      <c r="A982" t="str">
        <f>"            Alphabet Inc"</f>
        <v xml:space="preserve">            Alphabet Inc</v>
      </c>
      <c r="B982" t="str">
        <f>"GOOGL US Equity"</f>
        <v>GOOGL US Equity</v>
      </c>
      <c r="C982" t="str">
        <f t="shared" si="114"/>
        <v>F0946</v>
      </c>
      <c r="D982" t="str">
        <f t="shared" si="115"/>
        <v>TOTAL_GHG_CO2_EMISSIONS</v>
      </c>
      <c r="E982" t="str">
        <f t="shared" si="116"/>
        <v>Dynamic</v>
      </c>
      <c r="F982" t="str">
        <f ca="1">IF(AND(ISNUMBER($F$2056),$B$1132=1),$F$2056,HLOOKUP(INDIRECT(ADDRESS(2,COLUMN())),OFFSET($K$2,0,0,ROW()-1,5),ROW()-1,FALSE))</f>
        <v/>
      </c>
      <c r="G982">
        <f ca="1">IF(AND(ISNUMBER($G$2056),$B$1132=1),$G$2056,HLOOKUP(INDIRECT(ADDRESS(2,COLUMN())),OFFSET($K$2,0,0,ROW()-1,5),ROW()-1,FALSE))</f>
        <v>6.6213100589999998</v>
      </c>
      <c r="H982">
        <f ca="1">IF(AND(ISNUMBER($H$2056),$B$1132=1),$H$2056,HLOOKUP(INDIRECT(ADDRESS(2,COLUMN())),OFFSET($K$2,0,0,ROW()-1,5),ROW()-1,FALSE))</f>
        <v>5.9037900390000004</v>
      </c>
      <c r="I982">
        <f ca="1">IF(AND(ISNUMBER($I$2056),$B$1132=1),$I$2056,HLOOKUP(INDIRECT(ADDRESS(2,COLUMN())),OFFSET($K$2,0,0,ROW()-1,5),ROW()-1,FALSE))</f>
        <v>5.183629883</v>
      </c>
      <c r="J982">
        <f ca="1">IF(AND(ISNUMBER($J$2056),$B$1132=1),$J$2056,HLOOKUP(INDIRECT(ADDRESS(2,COLUMN())),OFFSET($K$2,0,0,ROW()-1,5),ROW()-1,FALSE))</f>
        <v>4.4082099609999998</v>
      </c>
      <c r="K982" t="str">
        <f>""</f>
        <v/>
      </c>
      <c r="L982">
        <f>6.621310059</f>
        <v>6.6213100589999998</v>
      </c>
      <c r="M982">
        <f>5.903790039</f>
        <v>5.9037900390000004</v>
      </c>
      <c r="N982">
        <f>5.183629883</f>
        <v>5.183629883</v>
      </c>
      <c r="O982">
        <f>4.408209961</f>
        <v>4.4082099609999998</v>
      </c>
    </row>
    <row r="983" spans="1:15" x14ac:dyDescent="0.25">
      <c r="A983" t="str">
        <f>"            Dolby Laboratories Inc"</f>
        <v xml:space="preserve">            Dolby Laboratories Inc</v>
      </c>
      <c r="B983" t="str">
        <f>"DLB US Equity"</f>
        <v>DLB US Equity</v>
      </c>
      <c r="C983" t="str">
        <f t="shared" si="114"/>
        <v>F0946</v>
      </c>
      <c r="D983" t="str">
        <f t="shared" si="115"/>
        <v>TOTAL_GHG_CO2_EMISSIONS</v>
      </c>
      <c r="E983" t="str">
        <f t="shared" si="116"/>
        <v>Dynamic</v>
      </c>
      <c r="F983">
        <f ca="1">IF(AND(ISNUMBER($F$2057),$B$1132=1),$F$2057,HLOOKUP(INDIRECT(ADDRESS(2,COLUMN())),OFFSET($K$2,0,0,ROW()-1,5),ROW()-1,FALSE))</f>
        <v>5.3319999999999999E-3</v>
      </c>
      <c r="G983">
        <f ca="1">IF(AND(ISNUMBER($G$2057),$B$1132=1),$G$2057,HLOOKUP(INDIRECT(ADDRESS(2,COLUMN())),OFFSET($K$2,0,0,ROW()-1,5),ROW()-1,FALSE))</f>
        <v>5.2300000000000003E-3</v>
      </c>
      <c r="H983">
        <f ca="1">IF(AND(ISNUMBER($H$2057),$B$1132=1),$H$2057,HLOOKUP(INDIRECT(ADDRESS(2,COLUMN())),OFFSET($K$2,0,0,ROW()-1,5),ROW()-1,FALSE))</f>
        <v>5.0299999999999997E-3</v>
      </c>
      <c r="I983">
        <f ca="1">IF(AND(ISNUMBER($I$2057),$B$1132=1),$I$2057,HLOOKUP(INDIRECT(ADDRESS(2,COLUMN())),OFFSET($K$2,0,0,ROW()-1,5),ROW()-1,FALSE))</f>
        <v>4.8310000000000002E-3</v>
      </c>
      <c r="J983" t="str">
        <f ca="1">IF(AND(ISNUMBER($J$2057),$B$1132=1),$J$2057,HLOOKUP(INDIRECT(ADDRESS(2,COLUMN())),OFFSET($K$2,0,0,ROW()-1,5),ROW()-1,FALSE))</f>
        <v/>
      </c>
      <c r="K983">
        <f>0.005332</f>
        <v>5.3319999999999999E-3</v>
      </c>
      <c r="L983">
        <f>0.00523</f>
        <v>5.2300000000000003E-3</v>
      </c>
      <c r="M983">
        <f>0.00503</f>
        <v>5.0299999999999997E-3</v>
      </c>
      <c r="N983">
        <f>0.004831</f>
        <v>4.8310000000000002E-3</v>
      </c>
      <c r="O983" t="str">
        <f>""</f>
        <v/>
      </c>
    </row>
    <row r="984" spans="1:15" x14ac:dyDescent="0.25">
      <c r="A984" t="str">
        <f>"            HTC Corp"</f>
        <v xml:space="preserve">            HTC Corp</v>
      </c>
      <c r="B984" t="str">
        <f>"2498 TT Equity"</f>
        <v>2498 TT Equity</v>
      </c>
      <c r="C984" t="str">
        <f t="shared" si="114"/>
        <v>F0946</v>
      </c>
      <c r="D984" t="str">
        <f t="shared" si="115"/>
        <v>TOTAL_GHG_CO2_EMISSIONS</v>
      </c>
      <c r="E984" t="str">
        <f t="shared" si="116"/>
        <v>Dynamic</v>
      </c>
      <c r="F984">
        <f ca="1">IF(AND(ISNUMBER($F$2058),$B$1132=1),$F$2058,HLOOKUP(INDIRECT(ADDRESS(2,COLUMN())),OFFSET($K$2,0,0,ROW()-1,5),ROW()-1,FALSE))</f>
        <v>7.7126900000000003E-3</v>
      </c>
      <c r="G984">
        <f ca="1">IF(AND(ISNUMBER($G$2058),$B$1132=1),$G$2058,HLOOKUP(INDIRECT(ADDRESS(2,COLUMN())),OFFSET($K$2,0,0,ROW()-1,5),ROW()-1,FALSE))</f>
        <v>8.3243899999999992E-3</v>
      </c>
      <c r="H984">
        <f ca="1">IF(AND(ISNUMBER($H$2058),$B$1132=1),$H$2058,HLOOKUP(INDIRECT(ADDRESS(2,COLUMN())),OFFSET($K$2,0,0,ROW()-1,5),ROW()-1,FALSE))</f>
        <v>9.88524E-3</v>
      </c>
      <c r="I984">
        <f ca="1">IF(AND(ISNUMBER($I$2058),$B$1132=1),$I$2058,HLOOKUP(INDIRECT(ADDRESS(2,COLUMN())),OFFSET($K$2,0,0,ROW()-1,5),ROW()-1,FALSE))</f>
        <v>1.31544E-2</v>
      </c>
      <c r="J984">
        <f ca="1">IF(AND(ISNUMBER($J$2058),$B$1132=1),$J$2058,HLOOKUP(INDIRECT(ADDRESS(2,COLUMN())),OFFSET($K$2,0,0,ROW()-1,5),ROW()-1,FALSE))</f>
        <v>2.37395E-2</v>
      </c>
      <c r="K984">
        <f>0.00771269</f>
        <v>7.7126900000000003E-3</v>
      </c>
      <c r="L984">
        <f>0.00832439</f>
        <v>8.3243899999999992E-3</v>
      </c>
      <c r="M984">
        <f>0.00988524</f>
        <v>9.88524E-3</v>
      </c>
      <c r="N984">
        <f>0.0131544</f>
        <v>1.31544E-2</v>
      </c>
      <c r="O984">
        <f>0.0237395</f>
        <v>2.37395E-2</v>
      </c>
    </row>
    <row r="985" spans="1:15" x14ac:dyDescent="0.25">
      <c r="A985" t="str">
        <f>"            Lenovo Group Ltd"</f>
        <v xml:space="preserve">            Lenovo Group Ltd</v>
      </c>
      <c r="B985" t="str">
        <f>"992 HK Equity"</f>
        <v>992 HK Equity</v>
      </c>
      <c r="C985" t="str">
        <f t="shared" si="114"/>
        <v>F0946</v>
      </c>
      <c r="D985" t="str">
        <f t="shared" si="115"/>
        <v>TOTAL_GHG_CO2_EMISSIONS</v>
      </c>
      <c r="E985" t="str">
        <f t="shared" si="116"/>
        <v>Dynamic</v>
      </c>
      <c r="F985" t="str">
        <f ca="1">IF(AND(ISNUMBER($F$2059),$B$1132=1),$F$2059,HLOOKUP(INDIRECT(ADDRESS(2,COLUMN())),OFFSET($K$2,0,0,ROW()-1,5),ROW()-1,FALSE))</f>
        <v/>
      </c>
      <c r="G985">
        <f ca="1">IF(AND(ISNUMBER($G$2059),$B$1132=1),$G$2059,HLOOKUP(INDIRECT(ADDRESS(2,COLUMN())),OFFSET($K$2,0,0,ROW()-1,5),ROW()-1,FALSE))</f>
        <v>0.197847</v>
      </c>
      <c r="H985">
        <f ca="1">IF(AND(ISNUMBER($H$2059),$B$1132=1),$H$2059,HLOOKUP(INDIRECT(ADDRESS(2,COLUMN())),OFFSET($K$2,0,0,ROW()-1,5),ROW()-1,FALSE))</f>
        <v>0.184947006</v>
      </c>
      <c r="I985">
        <f ca="1">IF(AND(ISNUMBER($I$2059),$B$1132=1),$I$2059,HLOOKUP(INDIRECT(ADDRESS(2,COLUMN())),OFFSET($K$2,0,0,ROW()-1,5),ROW()-1,FALSE))</f>
        <v>0.17036300700000001</v>
      </c>
      <c r="J985">
        <f ca="1">IF(AND(ISNUMBER($J$2059),$B$1132=1),$J$2059,HLOOKUP(INDIRECT(ADDRESS(2,COLUMN())),OFFSET($K$2,0,0,ROW()-1,5),ROW()-1,FALSE))</f>
        <v>0.20735200500000001</v>
      </c>
      <c r="K985" t="str">
        <f>""</f>
        <v/>
      </c>
      <c r="L985">
        <f>0.197847</f>
        <v>0.197847</v>
      </c>
      <c r="M985">
        <f>0.184947006</f>
        <v>0.184947006</v>
      </c>
      <c r="N985">
        <f>0.170363007</f>
        <v>0.17036300700000001</v>
      </c>
      <c r="O985">
        <f>0.207352005</f>
        <v>0.20735200500000001</v>
      </c>
    </row>
    <row r="986" spans="1:15" x14ac:dyDescent="0.25">
      <c r="A986" t="str">
        <f>"            LG Electronics Inc"</f>
        <v xml:space="preserve">            LG Electronics Inc</v>
      </c>
      <c r="B986" t="str">
        <f>"066570 KS Equity"</f>
        <v>066570 KS Equity</v>
      </c>
      <c r="C986" t="str">
        <f t="shared" si="114"/>
        <v>F0946</v>
      </c>
      <c r="D986" t="str">
        <f t="shared" si="115"/>
        <v>TOTAL_GHG_CO2_EMISSIONS</v>
      </c>
      <c r="E986" t="str">
        <f t="shared" si="116"/>
        <v>Dynamic</v>
      </c>
      <c r="F986" t="str">
        <f ca="1">IF(AND(ISNUMBER($F$2060),$B$1132=1),$F$2060,HLOOKUP(INDIRECT(ADDRESS(2,COLUMN())),OFFSET($K$2,0,0,ROW()-1,5),ROW()-1,FALSE))</f>
        <v/>
      </c>
      <c r="G986">
        <f ca="1">IF(AND(ISNUMBER($G$2060),$B$1132=1),$G$2060,HLOOKUP(INDIRECT(ADDRESS(2,COLUMN())),OFFSET($K$2,0,0,ROW()-1,5),ROW()-1,FALSE))</f>
        <v>1.1519999999999999</v>
      </c>
      <c r="H986">
        <f ca="1">IF(AND(ISNUMBER($H$2060),$B$1132=1),$H$2060,HLOOKUP(INDIRECT(ADDRESS(2,COLUMN())),OFFSET($K$2,0,0,ROW()-1,5),ROW()-1,FALSE))</f>
        <v>1.294</v>
      </c>
      <c r="I986">
        <f ca="1">IF(AND(ISNUMBER($I$2060),$B$1132=1),$I$2060,HLOOKUP(INDIRECT(ADDRESS(2,COLUMN())),OFFSET($K$2,0,0,ROW()-1,5),ROW()-1,FALSE))</f>
        <v>1.4690000000000001</v>
      </c>
      <c r="J986">
        <f ca="1">IF(AND(ISNUMBER($J$2060),$B$1132=1),$J$2060,HLOOKUP(INDIRECT(ADDRESS(2,COLUMN())),OFFSET($K$2,0,0,ROW()-1,5),ROW()-1,FALSE))</f>
        <v>1.637</v>
      </c>
      <c r="K986" t="str">
        <f>""</f>
        <v/>
      </c>
      <c r="L986">
        <f>1.152</f>
        <v>1.1519999999999999</v>
      </c>
      <c r="M986">
        <f>1.294</f>
        <v>1.294</v>
      </c>
      <c r="N986">
        <f>1.469</f>
        <v>1.4690000000000001</v>
      </c>
      <c r="O986">
        <f>1.637</f>
        <v>1.637</v>
      </c>
    </row>
    <row r="987" spans="1:15" x14ac:dyDescent="0.25">
      <c r="A987" t="str">
        <f>"            Microsoft Corp"</f>
        <v xml:space="preserve">            Microsoft Corp</v>
      </c>
      <c r="B987" t="str">
        <f>"MSFT US Equity"</f>
        <v>MSFT US Equity</v>
      </c>
      <c r="C987" t="str">
        <f t="shared" si="114"/>
        <v>F0946</v>
      </c>
      <c r="D987" t="str">
        <f t="shared" si="115"/>
        <v>TOTAL_GHG_CO2_EMISSIONS</v>
      </c>
      <c r="E987" t="str">
        <f t="shared" si="116"/>
        <v>Dynamic</v>
      </c>
      <c r="F987" t="str">
        <f ca="1">IF(AND(ISNUMBER($F$2061),$B$1132=1),$F$2061,HLOOKUP(INDIRECT(ADDRESS(2,COLUMN())),OFFSET($K$2,0,0,ROW()-1,5),ROW()-1,FALSE))</f>
        <v/>
      </c>
      <c r="G987" t="str">
        <f ca="1">IF(AND(ISNUMBER($G$2061),$B$1132=1),$G$2061,HLOOKUP(INDIRECT(ADDRESS(2,COLUMN())),OFFSET($K$2,0,0,ROW()-1,5),ROW()-1,FALSE))</f>
        <v/>
      </c>
      <c r="H987">
        <f ca="1">IF(AND(ISNUMBER($H$2061),$B$1132=1),$H$2061,HLOOKUP(INDIRECT(ADDRESS(2,COLUMN())),OFFSET($K$2,0,0,ROW()-1,5),ROW()-1,FALSE))</f>
        <v>4.8688999019999999</v>
      </c>
      <c r="I987">
        <f ca="1">IF(AND(ISNUMBER($I$2061),$B$1132=1),$I$2061,HLOOKUP(INDIRECT(ADDRESS(2,COLUMN())),OFFSET($K$2,0,0,ROW()-1,5),ROW()-1,FALSE))</f>
        <v>4.2205400390000003</v>
      </c>
      <c r="J987">
        <f ca="1">IF(AND(ISNUMBER($J$2061),$B$1132=1),$J$2061,HLOOKUP(INDIRECT(ADDRESS(2,COLUMN())),OFFSET($K$2,0,0,ROW()-1,5),ROW()-1,FALSE))</f>
        <v>3.669969971</v>
      </c>
      <c r="K987" t="str">
        <f>""</f>
        <v/>
      </c>
      <c r="L987" t="str">
        <f>""</f>
        <v/>
      </c>
      <c r="M987">
        <f>4.868899902</f>
        <v>4.8688999019999999</v>
      </c>
      <c r="N987">
        <f>4.220540039</f>
        <v>4.2205400390000003</v>
      </c>
      <c r="O987">
        <f>3.669969971</f>
        <v>3.669969971</v>
      </c>
    </row>
    <row r="988" spans="1:15" x14ac:dyDescent="0.25">
      <c r="A988" t="str">
        <f>"            Samsung Electronics Co Ltd"</f>
        <v xml:space="preserve">            Samsung Electronics Co Ltd</v>
      </c>
      <c r="B988" t="str">
        <f>"005930 KS Equity"</f>
        <v>005930 KS Equity</v>
      </c>
      <c r="C988" t="str">
        <f t="shared" si="114"/>
        <v>F0946</v>
      </c>
      <c r="D988" t="str">
        <f t="shared" si="115"/>
        <v>TOTAL_GHG_CO2_EMISSIONS</v>
      </c>
      <c r="E988" t="str">
        <f t="shared" si="116"/>
        <v>Dynamic</v>
      </c>
      <c r="F988" t="str">
        <f ca="1">IF(AND(ISNUMBER($F$2062),$B$1132=1),$F$2062,HLOOKUP(INDIRECT(ADDRESS(2,COLUMN())),OFFSET($K$2,0,0,ROW()-1,5),ROW()-1,FALSE))</f>
        <v/>
      </c>
      <c r="G988">
        <f ca="1">IF(AND(ISNUMBER($G$2062),$B$1132=1),$G$2062,HLOOKUP(INDIRECT(ADDRESS(2,COLUMN())),OFFSET($K$2,0,0,ROW()-1,5),ROW()-1,FALSE))</f>
        <v>20.170000000000002</v>
      </c>
      <c r="H988">
        <f ca="1">IF(AND(ISNUMBER($H$2062),$B$1132=1),$H$2062,HLOOKUP(INDIRECT(ADDRESS(2,COLUMN())),OFFSET($K$2,0,0,ROW()-1,5),ROW()-1,FALSE))</f>
        <v>17.579000000000001</v>
      </c>
      <c r="I988">
        <f ca="1">IF(AND(ISNUMBER($I$2062),$B$1132=1),$I$2062,HLOOKUP(INDIRECT(ADDRESS(2,COLUMN())),OFFSET($K$2,0,0,ROW()-1,5),ROW()-1,FALSE))</f>
        <v>16.065000000000001</v>
      </c>
      <c r="J988">
        <f ca="1">IF(AND(ISNUMBER($J$2062),$B$1132=1),$J$2062,HLOOKUP(INDIRECT(ADDRESS(2,COLUMN())),OFFSET($K$2,0,0,ROW()-1,5),ROW()-1,FALSE))</f>
        <v>15.173</v>
      </c>
      <c r="K988" t="str">
        <f>""</f>
        <v/>
      </c>
      <c r="L988">
        <f>20.17</f>
        <v>20.170000000000002</v>
      </c>
      <c r="M988">
        <f>17.579</f>
        <v>17.579000000000001</v>
      </c>
      <c r="N988">
        <f>16.065</f>
        <v>16.065000000000001</v>
      </c>
      <c r="O988">
        <f>15.173</f>
        <v>15.173</v>
      </c>
    </row>
    <row r="989" spans="1:15" x14ac:dyDescent="0.25">
      <c r="A989" t="str">
        <f>"            Sharp Corp/Japan"</f>
        <v xml:space="preserve">            Sharp Corp/Japan</v>
      </c>
      <c r="B989" t="str">
        <f>"6753 JP Equity"</f>
        <v>6753 JP Equity</v>
      </c>
      <c r="C989" t="str">
        <f t="shared" si="114"/>
        <v>F0946</v>
      </c>
      <c r="D989" t="str">
        <f t="shared" si="115"/>
        <v>TOTAL_GHG_CO2_EMISSIONS</v>
      </c>
      <c r="E989" t="str">
        <f t="shared" si="116"/>
        <v>Dynamic</v>
      </c>
      <c r="F989" t="str">
        <f ca="1">IF(AND(ISNUMBER($F$2063),$B$1132=1),$F$2063,HLOOKUP(INDIRECT(ADDRESS(2,COLUMN())),OFFSET($K$2,0,0,ROW()-1,5),ROW()-1,FALSE))</f>
        <v/>
      </c>
      <c r="G989">
        <f ca="1">IF(AND(ISNUMBER($G$2063),$B$1132=1),$G$2063,HLOOKUP(INDIRECT(ADDRESS(2,COLUMN())),OFFSET($K$2,0,0,ROW()-1,5),ROW()-1,FALSE))</f>
        <v>0.98499999999999999</v>
      </c>
      <c r="H989">
        <f ca="1">IF(AND(ISNUMBER($H$2063),$B$1132=1),$H$2063,HLOOKUP(INDIRECT(ADDRESS(2,COLUMN())),OFFSET($K$2,0,0,ROW()-1,5),ROW()-1,FALSE))</f>
        <v>0.95099999999999996</v>
      </c>
      <c r="I989">
        <f ca="1">IF(AND(ISNUMBER($I$2063),$B$1132=1),$I$2063,HLOOKUP(INDIRECT(ADDRESS(2,COLUMN())),OFFSET($K$2,0,0,ROW()-1,5),ROW()-1,FALSE))</f>
        <v>0.97399999999999998</v>
      </c>
      <c r="J989">
        <f ca="1">IF(AND(ISNUMBER($J$2063),$B$1132=1),$J$2063,HLOOKUP(INDIRECT(ADDRESS(2,COLUMN())),OFFSET($K$2,0,0,ROW()-1,5),ROW()-1,FALSE))</f>
        <v>1.077</v>
      </c>
      <c r="K989" t="str">
        <f>""</f>
        <v/>
      </c>
      <c r="L989">
        <f>0.985</f>
        <v>0.98499999999999999</v>
      </c>
      <c r="M989">
        <f>0.951</f>
        <v>0.95099999999999996</v>
      </c>
      <c r="N989">
        <f>0.974</f>
        <v>0.97399999999999998</v>
      </c>
      <c r="O989">
        <f>1.077</f>
        <v>1.077</v>
      </c>
    </row>
    <row r="990" spans="1:15" x14ac:dyDescent="0.25">
      <c r="A990" t="str">
        <f>"            Sony Group Corp"</f>
        <v xml:space="preserve">            Sony Group Corp</v>
      </c>
      <c r="B990" t="str">
        <f>"6758 JP Equity"</f>
        <v>6758 JP Equity</v>
      </c>
      <c r="C990" t="str">
        <f t="shared" si="114"/>
        <v>F0946</v>
      </c>
      <c r="D990" t="str">
        <f t="shared" si="115"/>
        <v>TOTAL_GHG_CO2_EMISSIONS</v>
      </c>
      <c r="E990" t="str">
        <f t="shared" si="116"/>
        <v>Dynamic</v>
      </c>
      <c r="F990" t="str">
        <f ca="1">IF(AND(ISNUMBER($F$2064),$B$1132=1),$F$2064,HLOOKUP(INDIRECT(ADDRESS(2,COLUMN())),OFFSET($K$2,0,0,ROW()-1,5),ROW()-1,FALSE))</f>
        <v/>
      </c>
      <c r="G990">
        <f ca="1">IF(AND(ISNUMBER($G$2064),$B$1132=1),$G$2064,HLOOKUP(INDIRECT(ADDRESS(2,COLUMN())),OFFSET($K$2,0,0,ROW()-1,5),ROW()-1,FALSE))</f>
        <v>1.262969971</v>
      </c>
      <c r="H990">
        <f ca="1">IF(AND(ISNUMBER($H$2064),$B$1132=1),$H$2064,HLOOKUP(INDIRECT(ADDRESS(2,COLUMN())),OFFSET($K$2,0,0,ROW()-1,5),ROW()-1,FALSE))</f>
        <v>1.471119995</v>
      </c>
      <c r="I990">
        <f ca="1">IF(AND(ISNUMBER($I$2064),$B$1132=1),$I$2064,HLOOKUP(INDIRECT(ADDRESS(2,COLUMN())),OFFSET($K$2,0,0,ROW()-1,5),ROW()-1,FALSE))</f>
        <v>1.3887700199999999</v>
      </c>
      <c r="J990">
        <f ca="1">IF(AND(ISNUMBER($J$2064),$B$1132=1),$J$2064,HLOOKUP(INDIRECT(ADDRESS(2,COLUMN())),OFFSET($K$2,0,0,ROW()-1,5),ROW()-1,FALSE))</f>
        <v>1.376630005</v>
      </c>
      <c r="K990" t="str">
        <f>""</f>
        <v/>
      </c>
      <c r="L990">
        <f>1.262969971</f>
        <v>1.262969971</v>
      </c>
      <c r="M990">
        <f>1.471119995</f>
        <v>1.471119995</v>
      </c>
      <c r="N990">
        <f>1.38877002</f>
        <v>1.3887700199999999</v>
      </c>
      <c r="O990">
        <f>1.376630005</f>
        <v>1.376630005</v>
      </c>
    </row>
    <row r="991" spans="1:15" x14ac:dyDescent="0.25">
      <c r="A991" t="str">
        <f>"            Xiaomi Corp"</f>
        <v xml:space="preserve">            Xiaomi Corp</v>
      </c>
      <c r="B991" t="str">
        <f>"1810 HK Equity"</f>
        <v>1810 HK Equity</v>
      </c>
      <c r="C991" t="str">
        <f t="shared" si="114"/>
        <v>F0946</v>
      </c>
      <c r="D991" t="str">
        <f t="shared" si="115"/>
        <v>TOTAL_GHG_CO2_EMISSIONS</v>
      </c>
      <c r="E991" t="str">
        <f t="shared" si="116"/>
        <v>Dynamic</v>
      </c>
      <c r="F991">
        <f ca="1">IF(AND(ISNUMBER($F$2065),$B$1132=1),$F$2065,HLOOKUP(INDIRECT(ADDRESS(2,COLUMN())),OFFSET($K$2,0,0,ROW()-1,5),ROW()-1,FALSE))</f>
        <v>8.5742599000000003E-2</v>
      </c>
      <c r="G991">
        <f ca="1">IF(AND(ISNUMBER($G$2065),$B$1132=1),$G$2065,HLOOKUP(INDIRECT(ADDRESS(2,COLUMN())),OFFSET($K$2,0,0,ROW()-1,5),ROW()-1,FALSE))</f>
        <v>8.2820197999999998E-2</v>
      </c>
      <c r="H991">
        <f ca="1">IF(AND(ISNUMBER($H$2065),$B$1132=1),$H$2065,HLOOKUP(INDIRECT(ADDRESS(2,COLUMN())),OFFSET($K$2,0,0,ROW()-1,5),ROW()-1,FALSE))</f>
        <v>3.1347099000000003E-2</v>
      </c>
      <c r="I991">
        <f ca="1">IF(AND(ISNUMBER($I$2065),$B$1132=1),$I$2065,HLOOKUP(INDIRECT(ADDRESS(2,COLUMN())),OFFSET($K$2,0,0,ROW()-1,5),ROW()-1,FALSE))</f>
        <v>2.2782301000000001E-2</v>
      </c>
      <c r="J991">
        <f ca="1">IF(AND(ISNUMBER($J$2065),$B$1132=1),$J$2065,HLOOKUP(INDIRECT(ADDRESS(2,COLUMN())),OFFSET($K$2,0,0,ROW()-1,5),ROW()-1,FALSE))</f>
        <v>1.30936E-2</v>
      </c>
      <c r="K991">
        <f>0.085742599</f>
        <v>8.5742599000000003E-2</v>
      </c>
      <c r="L991">
        <f>0.082820198</f>
        <v>8.2820197999999998E-2</v>
      </c>
      <c r="M991">
        <f>0.031347099</f>
        <v>3.1347099000000003E-2</v>
      </c>
      <c r="N991">
        <f>0.022782301</f>
        <v>2.2782301000000001E-2</v>
      </c>
      <c r="O991">
        <f>0.0130936</f>
        <v>1.30936E-2</v>
      </c>
    </row>
    <row r="992" spans="1:15" x14ac:dyDescent="0.25">
      <c r="A992" t="str">
        <f>"            ZTE Corp"</f>
        <v xml:space="preserve">            ZTE Corp</v>
      </c>
      <c r="B992" t="str">
        <f>"763 HK Equity"</f>
        <v>763 HK Equity</v>
      </c>
      <c r="C992" t="str">
        <f t="shared" si="114"/>
        <v>F0946</v>
      </c>
      <c r="D992" t="str">
        <f t="shared" si="115"/>
        <v>TOTAL_GHG_CO2_EMISSIONS</v>
      </c>
      <c r="E992" t="str">
        <f t="shared" si="116"/>
        <v>Dynamic</v>
      </c>
      <c r="F992" t="str">
        <f ca="1">IF(AND(ISNUMBER($F$2066),$B$1132=1),$F$2066,HLOOKUP(INDIRECT(ADDRESS(2,COLUMN())),OFFSET($K$2,0,0,ROW()-1,5),ROW()-1,FALSE))</f>
        <v/>
      </c>
      <c r="G992">
        <f ca="1">IF(AND(ISNUMBER($G$2066),$B$1132=1),$G$2066,HLOOKUP(INDIRECT(ADDRESS(2,COLUMN())),OFFSET($K$2,0,0,ROW()-1,5),ROW()-1,FALSE))</f>
        <v>0.80460699499999999</v>
      </c>
      <c r="H992">
        <f ca="1">IF(AND(ISNUMBER($H$2066),$B$1132=1),$H$2066,HLOOKUP(INDIRECT(ADDRESS(2,COLUMN())),OFFSET($K$2,0,0,ROW()-1,5),ROW()-1,FALSE))</f>
        <v>0.451074005</v>
      </c>
      <c r="I992">
        <f ca="1">IF(AND(ISNUMBER($I$2066),$B$1132=1),$I$2066,HLOOKUP(INDIRECT(ADDRESS(2,COLUMN())),OFFSET($K$2,0,0,ROW()-1,5),ROW()-1,FALSE))</f>
        <v>0.21248800700000001</v>
      </c>
      <c r="J992">
        <f ca="1">IF(AND(ISNUMBER($J$2066),$B$1132=1),$J$2066,HLOOKUP(INDIRECT(ADDRESS(2,COLUMN())),OFFSET($K$2,0,0,ROW()-1,5),ROW()-1,FALSE))</f>
        <v>0.17530299399999999</v>
      </c>
      <c r="K992" t="str">
        <f>""</f>
        <v/>
      </c>
      <c r="L992">
        <f>0.804606995</f>
        <v>0.80460699499999999</v>
      </c>
      <c r="M992">
        <f>0.451074005</f>
        <v>0.451074005</v>
      </c>
      <c r="N992">
        <f>0.212488007</f>
        <v>0.21248800700000001</v>
      </c>
      <c r="O992">
        <f>0.175302994</f>
        <v>0.17530299399999999</v>
      </c>
    </row>
    <row r="993" spans="1:15" x14ac:dyDescent="0.25">
      <c r="A993" t="str">
        <f>"        Utilities"</f>
        <v xml:space="preserve">        Utilities</v>
      </c>
      <c r="B993" t="str">
        <f>""</f>
        <v/>
      </c>
      <c r="E993" t="str">
        <f>"Sum"</f>
        <v>Sum</v>
      </c>
      <c r="F993">
        <f ca="1">IF(ISERROR(IF(SUM($F$994,$F$1103) = 0, "", SUM($F$994,$F$1103))), "", (IF(SUM($F$994,$F$1103) = 0, "", SUM($F$994,$F$1103))))</f>
        <v>1692.285578948</v>
      </c>
      <c r="G993">
        <f ca="1">IF(ISERROR(IF(SUM($G$994,$G$1103) = 0, "", SUM($G$994,$G$1103))), "", (IF(SUM($G$994,$G$1103) = 0, "", SUM($G$994,$G$1103))))</f>
        <v>2530.6890310509998</v>
      </c>
      <c r="H993">
        <f ca="1">IF(ISERROR(IF(SUM($H$994,$H$1103) = 0, "", SUM($H$994,$H$1103))), "", (IF(SUM($H$994,$H$1103) = 0, "", SUM($H$994,$H$1103))))</f>
        <v>2775.0323276919999</v>
      </c>
      <c r="I993">
        <f ca="1">IF(ISERROR(IF(SUM($I$994,$I$1103) = 0, "", SUM($I$994,$I$1103))), "", (IF(SUM($I$994,$I$1103) = 0, "", SUM($I$994,$I$1103))))</f>
        <v>2903.6650930599999</v>
      </c>
      <c r="J993">
        <f ca="1">IF(ISERROR(IF(SUM($J$994,$J$1103) = 0, "", SUM($J$994,$J$1103))), "", (IF(SUM($J$994,$J$1103) = 0, "", SUM($J$994,$J$1103))))</f>
        <v>3343.7437840859998</v>
      </c>
      <c r="K993">
        <f>40.27410004</f>
        <v>40.27410004</v>
      </c>
      <c r="L993">
        <f>2530.689031</f>
        <v>2530.6890309999999</v>
      </c>
      <c r="M993">
        <f>2775.032328</f>
        <v>2775.0323279999998</v>
      </c>
      <c r="N993">
        <f>2903.665093</f>
        <v>2903.6650930000001</v>
      </c>
      <c r="O993">
        <f>3343.743784</f>
        <v>3343.7437839999998</v>
      </c>
    </row>
    <row r="994" spans="1:15" x14ac:dyDescent="0.25">
      <c r="A994" t="str">
        <f>"            Electric Utilities"</f>
        <v xml:space="preserve">            Electric Utilities</v>
      </c>
      <c r="B994" t="str">
        <f>""</f>
        <v/>
      </c>
      <c r="E994" t="str">
        <f>"Sum"</f>
        <v>Sum</v>
      </c>
      <c r="F994">
        <f ca="1">IF(ISERROR(IF(SUM($F$995,$F$1020) = 0, "", SUM($F$995,$F$1020))), "", (IF(SUM($F$995,$F$1020) = 0, "", SUM($F$995,$F$1020))))</f>
        <v>1652.011478912</v>
      </c>
      <c r="G994">
        <f ca="1">IF(ISERROR(IF(SUM($G$995,$G$1020) = 0, "", SUM($G$995,$G$1020))), "", (IF(SUM($G$995,$G$1020) = 0, "", SUM($G$995,$G$1020))))</f>
        <v>2472.985138776</v>
      </c>
      <c r="H994">
        <f ca="1">IF(ISERROR(IF(SUM($H$995,$H$1020) = 0, "", SUM($H$995,$H$1020))), "", (IF(SUM($H$995,$H$1020) = 0, "", SUM($H$995,$H$1020))))</f>
        <v>2722.2671364389998</v>
      </c>
      <c r="I994">
        <f ca="1">IF(ISERROR(IF(SUM($I$995,$I$1020) = 0, "", SUM($I$995,$I$1020))), "", (IF(SUM($I$995,$I$1020) = 0, "", SUM($I$995,$I$1020))))</f>
        <v>2851.1191792519999</v>
      </c>
      <c r="J994">
        <f ca="1">IF(ISERROR(IF(SUM($J$995,$J$1020) = 0, "", SUM($J$995,$J$1020))), "", (IF(SUM($J$995,$J$1020) = 0, "", SUM($J$995,$J$1020))))</f>
        <v>3286.8883770719999</v>
      </c>
      <c r="K994" t="str">
        <f>""</f>
        <v/>
      </c>
      <c r="L994">
        <f>2472.985139</f>
        <v>2472.9851389999999</v>
      </c>
      <c r="M994">
        <f>2722.267136</f>
        <v>2722.2671359999999</v>
      </c>
      <c r="N994">
        <f>2851.119179</f>
        <v>2851.1191789999998</v>
      </c>
      <c r="O994">
        <f>3286.888377</f>
        <v>3286.8883770000002</v>
      </c>
    </row>
    <row r="995" spans="1:15" x14ac:dyDescent="0.25">
      <c r="A995" t="str">
        <f>"                North America Regulated Integrated Utilities"</f>
        <v xml:space="preserve">                North America Regulated Integrated Utilities</v>
      </c>
      <c r="B995" t="str">
        <f>""</f>
        <v/>
      </c>
      <c r="E995" t="str">
        <f>"Sum"</f>
        <v>Sum</v>
      </c>
      <c r="F995">
        <f ca="1">IF(ISERROR(IF(SUM($F$996:$F$1019) = 0, "", SUM($F$996:$F$1019))), "", (IF(SUM($F$996:$F$1019) = 0, "", SUM($F$996:$F$1019))))</f>
        <v>124.24646045000001</v>
      </c>
      <c r="G995">
        <f ca="1">IF(ISERROR(IF(SUM($G$996:$G$1019) = 0, "", SUM($G$996:$G$1019))), "", (IF(SUM($G$996:$G$1019) = 0, "", SUM($G$996:$G$1019))))</f>
        <v>505.01937939599998</v>
      </c>
      <c r="H995">
        <f ca="1">IF(ISERROR(IF(SUM($H$996:$H$1019) = 0, "", SUM($H$996:$H$1019))), "", (IF(SUM($H$996:$H$1019) = 0, "", SUM($H$996:$H$1019))))</f>
        <v>463.67333716199994</v>
      </c>
      <c r="I995">
        <f ca="1">IF(ISERROR(IF(SUM($I$996:$I$1019) = 0, "", SUM($I$996:$I$1019))), "", (IF(SUM($I$996:$I$1019) = 0, "", SUM($I$996:$I$1019))))</f>
        <v>545.99228565900012</v>
      </c>
      <c r="J995">
        <f ca="1">IF(ISERROR(IF(SUM($J$996:$J$1019) = 0, "", SUM($J$996:$J$1019))), "", (IF(SUM($J$996:$J$1019) = 0, "", SUM($J$996:$J$1019))))</f>
        <v>606.60112207700001</v>
      </c>
      <c r="K995" t="str">
        <f>""</f>
        <v/>
      </c>
      <c r="L995">
        <f>505.0193794</f>
        <v>505.01937939999999</v>
      </c>
      <c r="M995">
        <f>463.6733372</f>
        <v>463.67333719999999</v>
      </c>
      <c r="N995">
        <f>545.9922856</f>
        <v>545.99228559999995</v>
      </c>
      <c r="O995">
        <f>606.6011221</f>
        <v>606.6011221</v>
      </c>
    </row>
    <row r="996" spans="1:15" x14ac:dyDescent="0.25">
      <c r="A996" t="str">
        <f>"                    ALLETE Inc"</f>
        <v xml:space="preserve">                    ALLETE Inc</v>
      </c>
      <c r="B996" t="str">
        <f>"ALE US Equity"</f>
        <v>ALE US Equity</v>
      </c>
      <c r="C996" t="str">
        <f t="shared" ref="C996:C1019" si="117">"F0946"</f>
        <v>F0946</v>
      </c>
      <c r="D996" t="str">
        <f t="shared" ref="D996:D1019" si="118">"TOTAL_GHG_CO2_EMISSIONS"</f>
        <v>TOTAL_GHG_CO2_EMISSIONS</v>
      </c>
      <c r="E996" t="str">
        <f t="shared" ref="E996:E1019" si="119">"Dynamic"</f>
        <v>Dynamic</v>
      </c>
      <c r="F996" t="str">
        <f ca="1">IF(AND(ISNUMBER($F$2067),$B$1132=1),$F$2067,HLOOKUP(INDIRECT(ADDRESS(2,COLUMN())),OFFSET($K$2,0,0,ROW()-1,5),ROW()-1,FALSE))</f>
        <v/>
      </c>
      <c r="G996">
        <f ca="1">IF(AND(ISNUMBER($G$2067),$B$1132=1),$G$2067,HLOOKUP(INDIRECT(ADDRESS(2,COLUMN())),OFFSET($K$2,0,0,ROW()-1,5),ROW()-1,FALSE))</f>
        <v>4.4574902339999998</v>
      </c>
      <c r="H996">
        <f ca="1">IF(AND(ISNUMBER($H$2067),$B$1132=1),$H$2067,HLOOKUP(INDIRECT(ADDRESS(2,COLUMN())),OFFSET($K$2,0,0,ROW()-1,5),ROW()-1,FALSE))</f>
        <v>3.5258100589999999</v>
      </c>
      <c r="I996">
        <f ca="1">IF(AND(ISNUMBER($I$2067),$B$1132=1),$I$2067,HLOOKUP(INDIRECT(ADDRESS(2,COLUMN())),OFFSET($K$2,0,0,ROW()-1,5),ROW()-1,FALSE))</f>
        <v>6.4735698240000001</v>
      </c>
      <c r="J996">
        <f ca="1">IF(AND(ISNUMBER($J$2067),$B$1132=1),$J$2067,HLOOKUP(INDIRECT(ADDRESS(2,COLUMN())),OFFSET($K$2,0,0,ROW()-1,5),ROW()-1,FALSE))</f>
        <v>7.5711699220000002</v>
      </c>
      <c r="K996" t="str">
        <f>""</f>
        <v/>
      </c>
      <c r="L996">
        <f>4.457490234</f>
        <v>4.4574902339999998</v>
      </c>
      <c r="M996">
        <f>3.525810059</f>
        <v>3.5258100589999999</v>
      </c>
      <c r="N996">
        <f>6.473569824</f>
        <v>6.4735698240000001</v>
      </c>
      <c r="O996">
        <f>7.571169922</f>
        <v>7.5711699220000002</v>
      </c>
    </row>
    <row r="997" spans="1:15" x14ac:dyDescent="0.25">
      <c r="A997" t="str">
        <f>"                    Ameren Corp"</f>
        <v xml:space="preserve">                    Ameren Corp</v>
      </c>
      <c r="B997" t="str">
        <f>"AEE US Equity"</f>
        <v>AEE US Equity</v>
      </c>
      <c r="C997" t="str">
        <f t="shared" si="117"/>
        <v>F0946</v>
      </c>
      <c r="D997" t="str">
        <f t="shared" si="118"/>
        <v>TOTAL_GHG_CO2_EMISSIONS</v>
      </c>
      <c r="E997" t="str">
        <f t="shared" si="119"/>
        <v>Dynamic</v>
      </c>
      <c r="F997" t="str">
        <f ca="1">IF(AND(ISNUMBER($F$2068),$B$1132=1),$F$2068,HLOOKUP(INDIRECT(ADDRESS(2,COLUMN())),OFFSET($K$2,0,0,ROW()-1,5),ROW()-1,FALSE))</f>
        <v/>
      </c>
      <c r="G997">
        <f ca="1">IF(AND(ISNUMBER($G$2068),$B$1132=1),$G$2068,HLOOKUP(INDIRECT(ADDRESS(2,COLUMN())),OFFSET($K$2,0,0,ROW()-1,5),ROW()-1,FALSE))</f>
        <v>28.30490039</v>
      </c>
      <c r="H997">
        <f ca="1">IF(AND(ISNUMBER($H$2068),$B$1132=1),$H$2068,HLOOKUP(INDIRECT(ADDRESS(2,COLUMN())),OFFSET($K$2,0,0,ROW()-1,5),ROW()-1,FALSE))</f>
        <v>26.025300779999998</v>
      </c>
      <c r="I997">
        <f ca="1">IF(AND(ISNUMBER($I$2068),$B$1132=1),$I$2068,HLOOKUP(INDIRECT(ADDRESS(2,COLUMN())),OFFSET($K$2,0,0,ROW()-1,5),ROW()-1,FALSE))</f>
        <v>24.476500000000001</v>
      </c>
      <c r="J997">
        <f ca="1">IF(AND(ISNUMBER($J$2068),$B$1132=1),$J$2068,HLOOKUP(INDIRECT(ADDRESS(2,COLUMN())),OFFSET($K$2,0,0,ROW()-1,5),ROW()-1,FALSE))</f>
        <v>29.662599610000001</v>
      </c>
      <c r="K997" t="str">
        <f>""</f>
        <v/>
      </c>
      <c r="L997">
        <f>28.30490039</f>
        <v>28.30490039</v>
      </c>
      <c r="M997">
        <f>26.02530078</f>
        <v>26.025300779999998</v>
      </c>
      <c r="N997">
        <f>24.4765</f>
        <v>24.476500000000001</v>
      </c>
      <c r="O997">
        <f>29.66259961</f>
        <v>29.662599610000001</v>
      </c>
    </row>
    <row r="998" spans="1:15" x14ac:dyDescent="0.25">
      <c r="A998" t="str">
        <f>"                    American Electric Power Co Inc"</f>
        <v xml:space="preserve">                    American Electric Power Co Inc</v>
      </c>
      <c r="B998" t="str">
        <f>"AEP US Equity"</f>
        <v>AEP US Equity</v>
      </c>
      <c r="C998" t="str">
        <f t="shared" si="117"/>
        <v>F0946</v>
      </c>
      <c r="D998" t="str">
        <f t="shared" si="118"/>
        <v>TOTAL_GHG_CO2_EMISSIONS</v>
      </c>
      <c r="E998" t="str">
        <f t="shared" si="119"/>
        <v>Dynamic</v>
      </c>
      <c r="F998" t="str">
        <f ca="1">IF(AND(ISNUMBER($F$2069),$B$1132=1),$F$2069,HLOOKUP(INDIRECT(ADDRESS(2,COLUMN())),OFFSET($K$2,0,0,ROW()-1,5),ROW()-1,FALSE))</f>
        <v/>
      </c>
      <c r="G998">
        <f ca="1">IF(AND(ISNUMBER($G$2069),$B$1132=1),$G$2069,HLOOKUP(INDIRECT(ADDRESS(2,COLUMN())),OFFSET($K$2,0,0,ROW()-1,5),ROW()-1,FALSE))</f>
        <v>56.719898440000001</v>
      </c>
      <c r="H998">
        <f ca="1">IF(AND(ISNUMBER($H$2069),$B$1132=1),$H$2069,HLOOKUP(INDIRECT(ADDRESS(2,COLUMN())),OFFSET($K$2,0,0,ROW()-1,5),ROW()-1,FALSE))</f>
        <v>49.680601559999999</v>
      </c>
      <c r="I998">
        <f ca="1">IF(AND(ISNUMBER($I$2069),$B$1132=1),$I$2069,HLOOKUP(INDIRECT(ADDRESS(2,COLUMN())),OFFSET($K$2,0,0,ROW()-1,5),ROW()-1,FALSE))</f>
        <v>79.290398440000004</v>
      </c>
      <c r="J998">
        <f ca="1">IF(AND(ISNUMBER($J$2069),$B$1132=1),$J$2069,HLOOKUP(INDIRECT(ADDRESS(2,COLUMN())),OFFSET($K$2,0,0,ROW()-1,5),ROW()-1,FALSE))</f>
        <v>91.100703129999999</v>
      </c>
      <c r="K998" t="str">
        <f>""</f>
        <v/>
      </c>
      <c r="L998">
        <f>56.71989844</f>
        <v>56.719898440000001</v>
      </c>
      <c r="M998">
        <f>49.68060156</f>
        <v>49.680601559999999</v>
      </c>
      <c r="N998">
        <f>79.29039844</f>
        <v>79.290398440000004</v>
      </c>
      <c r="O998">
        <f>91.10070313</f>
        <v>91.100703129999999</v>
      </c>
    </row>
    <row r="999" spans="1:15" x14ac:dyDescent="0.25">
      <c r="A999" t="str">
        <f>"                    Avista Corp"</f>
        <v xml:space="preserve">                    Avista Corp</v>
      </c>
      <c r="B999" t="str">
        <f>"AVA US Equity"</f>
        <v>AVA US Equity</v>
      </c>
      <c r="C999" t="str">
        <f t="shared" si="117"/>
        <v>F0946</v>
      </c>
      <c r="D999" t="str">
        <f t="shared" si="118"/>
        <v>TOTAL_GHG_CO2_EMISSIONS</v>
      </c>
      <c r="E999" t="str">
        <f t="shared" si="119"/>
        <v>Dynamic</v>
      </c>
      <c r="F999" t="str">
        <f ca="1">IF(AND(ISNUMBER($F$2070),$B$1132=1),$F$2070,HLOOKUP(INDIRECT(ADDRESS(2,COLUMN())),OFFSET($K$2,0,0,ROW()-1,5),ROW()-1,FALSE))</f>
        <v/>
      </c>
      <c r="G999" t="str">
        <f ca="1">IF(AND(ISNUMBER($G$2070),$B$1132=1),$G$2070,HLOOKUP(INDIRECT(ADDRESS(2,COLUMN())),OFFSET($K$2,0,0,ROW()-1,5),ROW()-1,FALSE))</f>
        <v/>
      </c>
      <c r="H999">
        <f ca="1">IF(AND(ISNUMBER($H$2070),$B$1132=1),$H$2070,HLOOKUP(INDIRECT(ADDRESS(2,COLUMN())),OFFSET($K$2,0,0,ROW()-1,5),ROW()-1,FALSE))</f>
        <v>3.1519899900000001</v>
      </c>
      <c r="I999">
        <f ca="1">IF(AND(ISNUMBER($I$2070),$B$1132=1),$I$2070,HLOOKUP(INDIRECT(ADDRESS(2,COLUMN())),OFFSET($K$2,0,0,ROW()-1,5),ROW()-1,FALSE))</f>
        <v>3.6024099120000002</v>
      </c>
      <c r="J999">
        <f ca="1">IF(AND(ISNUMBER($J$2070),$B$1132=1),$J$2070,HLOOKUP(INDIRECT(ADDRESS(2,COLUMN())),OFFSET($K$2,0,0,ROW()-1,5),ROW()-1,FALSE))</f>
        <v>3.3025900880000001</v>
      </c>
      <c r="K999" t="str">
        <f>""</f>
        <v/>
      </c>
      <c r="L999" t="str">
        <f>""</f>
        <v/>
      </c>
      <c r="M999">
        <f>3.15198999</f>
        <v>3.1519899900000001</v>
      </c>
      <c r="N999">
        <f>3.602409912</f>
        <v>3.6024099120000002</v>
      </c>
      <c r="O999">
        <f>3.302590088</f>
        <v>3.3025900880000001</v>
      </c>
    </row>
    <row r="1000" spans="1:15" x14ac:dyDescent="0.25">
      <c r="A1000" t="str">
        <f>"                    Alliant Energy Corp"</f>
        <v xml:space="preserve">                    Alliant Energy Corp</v>
      </c>
      <c r="B1000" t="str">
        <f>"LNT US Equity"</f>
        <v>LNT US Equity</v>
      </c>
      <c r="C1000" t="str">
        <f t="shared" si="117"/>
        <v>F0946</v>
      </c>
      <c r="D1000" t="str">
        <f t="shared" si="118"/>
        <v>TOTAL_GHG_CO2_EMISSIONS</v>
      </c>
      <c r="E1000" t="str">
        <f t="shared" si="119"/>
        <v>Dynamic</v>
      </c>
      <c r="F1000" t="str">
        <f ca="1">IF(AND(ISNUMBER($F$2071),$B$1132=1),$F$2071,HLOOKUP(INDIRECT(ADDRESS(2,COLUMN())),OFFSET($K$2,0,0,ROW()-1,5),ROW()-1,FALSE))</f>
        <v/>
      </c>
      <c r="G1000">
        <f ca="1">IF(AND(ISNUMBER($G$2071),$B$1132=1),$G$2071,HLOOKUP(INDIRECT(ADDRESS(2,COLUMN())),OFFSET($K$2,0,0,ROW()-1,5),ROW()-1,FALSE))</f>
        <v>15.690900389999999</v>
      </c>
      <c r="H1000">
        <f ca="1">IF(AND(ISNUMBER($H$2071),$B$1132=1),$H$2071,HLOOKUP(INDIRECT(ADDRESS(2,COLUMN())),OFFSET($K$2,0,0,ROW()-1,5),ROW()-1,FALSE))</f>
        <v>12.628500000000001</v>
      </c>
      <c r="I1000">
        <f ca="1">IF(AND(ISNUMBER($I$2071),$B$1132=1),$I$2071,HLOOKUP(INDIRECT(ADDRESS(2,COLUMN())),OFFSET($K$2,0,0,ROW()-1,5),ROW()-1,FALSE))</f>
        <v>14.30140039</v>
      </c>
      <c r="J1000">
        <f ca="1">IF(AND(ISNUMBER($J$2071),$B$1132=1),$J$2071,HLOOKUP(INDIRECT(ADDRESS(2,COLUMN())),OFFSET($K$2,0,0,ROW()-1,5),ROW()-1,FALSE))</f>
        <v>17.485199219999998</v>
      </c>
      <c r="K1000" t="str">
        <f>""</f>
        <v/>
      </c>
      <c r="L1000">
        <f>15.69090039</f>
        <v>15.690900389999999</v>
      </c>
      <c r="M1000">
        <f>12.6285</f>
        <v>12.628500000000001</v>
      </c>
      <c r="N1000">
        <f>14.30140039</f>
        <v>14.30140039</v>
      </c>
      <c r="O1000">
        <f>17.48519922</f>
        <v>17.485199219999998</v>
      </c>
    </row>
    <row r="1001" spans="1:15" x14ac:dyDescent="0.25">
      <c r="A1001" t="str">
        <f>"                    CenterPoint Energy Inc"</f>
        <v xml:space="preserve">                    CenterPoint Energy Inc</v>
      </c>
      <c r="B1001" t="str">
        <f>"CNP US Equity"</f>
        <v>CNP US Equity</v>
      </c>
      <c r="C1001" t="str">
        <f t="shared" si="117"/>
        <v>F0946</v>
      </c>
      <c r="D1001" t="str">
        <f t="shared" si="118"/>
        <v>TOTAL_GHG_CO2_EMISSIONS</v>
      </c>
      <c r="E1001" t="str">
        <f t="shared" si="119"/>
        <v>Dynamic</v>
      </c>
      <c r="F1001" t="str">
        <f ca="1">IF(AND(ISNUMBER($F$2072),$B$1132=1),$F$2072,HLOOKUP(INDIRECT(ADDRESS(2,COLUMN())),OFFSET($K$2,0,0,ROW()-1,5),ROW()-1,FALSE))</f>
        <v/>
      </c>
      <c r="G1001">
        <f ca="1">IF(AND(ISNUMBER($G$2072),$B$1132=1),$G$2072,HLOOKUP(INDIRECT(ADDRESS(2,COLUMN())),OFFSET($K$2,0,0,ROW()-1,5),ROW()-1,FALSE))</f>
        <v>7.0957099609999998</v>
      </c>
      <c r="H1001">
        <f ca="1">IF(AND(ISNUMBER($H$2072),$B$1132=1),$H$2072,HLOOKUP(INDIRECT(ADDRESS(2,COLUMN())),OFFSET($K$2,0,0,ROW()-1,5),ROW()-1,FALSE))</f>
        <v>5.2958398439999996</v>
      </c>
      <c r="I1001" t="str">
        <f ca="1">IF(AND(ISNUMBER($I$2072),$B$1132=1),$I$2072,HLOOKUP(INDIRECT(ADDRESS(2,COLUMN())),OFFSET($K$2,0,0,ROW()-1,5),ROW()-1,FALSE))</f>
        <v/>
      </c>
      <c r="J1001" t="str">
        <f ca="1">IF(AND(ISNUMBER($J$2072),$B$1132=1),$J$2072,HLOOKUP(INDIRECT(ADDRESS(2,COLUMN())),OFFSET($K$2,0,0,ROW()-1,5),ROW()-1,FALSE))</f>
        <v/>
      </c>
      <c r="K1001" t="str">
        <f>""</f>
        <v/>
      </c>
      <c r="L1001">
        <f>7.095709961</f>
        <v>7.0957099609999998</v>
      </c>
      <c r="M1001">
        <f>5.295839844</f>
        <v>5.2958398439999996</v>
      </c>
      <c r="N1001" t="str">
        <f>""</f>
        <v/>
      </c>
      <c r="O1001" t="str">
        <f>""</f>
        <v/>
      </c>
    </row>
    <row r="1002" spans="1:15" x14ac:dyDescent="0.25">
      <c r="A1002" t="str">
        <f>"                    CMS Energy Corp"</f>
        <v xml:space="preserve">                    CMS Energy Corp</v>
      </c>
      <c r="B1002" t="str">
        <f>"CMS US Equity"</f>
        <v>CMS US Equity</v>
      </c>
      <c r="C1002" t="str">
        <f t="shared" si="117"/>
        <v>F0946</v>
      </c>
      <c r="D1002" t="str">
        <f t="shared" si="118"/>
        <v>TOTAL_GHG_CO2_EMISSIONS</v>
      </c>
      <c r="E1002" t="str">
        <f t="shared" si="119"/>
        <v>Dynamic</v>
      </c>
      <c r="F1002" t="str">
        <f ca="1">IF(AND(ISNUMBER($F$2073),$B$1132=1),$F$2073,HLOOKUP(INDIRECT(ADDRESS(2,COLUMN())),OFFSET($K$2,0,0,ROW()-1,5),ROW()-1,FALSE))</f>
        <v/>
      </c>
      <c r="G1002">
        <f ca="1">IF(AND(ISNUMBER($G$2073),$B$1132=1),$G$2073,HLOOKUP(INDIRECT(ADDRESS(2,COLUMN())),OFFSET($K$2,0,0,ROW()-1,5),ROW()-1,FALSE))</f>
        <v>13.841599609999999</v>
      </c>
      <c r="H1002">
        <f ca="1">IF(AND(ISNUMBER($H$2073),$B$1132=1),$H$2073,HLOOKUP(INDIRECT(ADDRESS(2,COLUMN())),OFFSET($K$2,0,0,ROW()-1,5),ROW()-1,FALSE))</f>
        <v>11.5277002</v>
      </c>
      <c r="I1002">
        <f ca="1">IF(AND(ISNUMBER($I$2073),$B$1132=1),$I$2073,HLOOKUP(INDIRECT(ADDRESS(2,COLUMN())),OFFSET($K$2,0,0,ROW()-1,5),ROW()-1,FALSE))</f>
        <v>17.809000000000001</v>
      </c>
      <c r="J1002">
        <f ca="1">IF(AND(ISNUMBER($J$2073),$B$1132=1),$J$2073,HLOOKUP(INDIRECT(ADDRESS(2,COLUMN())),OFFSET($K$2,0,0,ROW()-1,5),ROW()-1,FALSE))</f>
        <v>19.161999999999999</v>
      </c>
      <c r="K1002" t="str">
        <f>""</f>
        <v/>
      </c>
      <c r="L1002">
        <f>13.84159961</f>
        <v>13.841599609999999</v>
      </c>
      <c r="M1002">
        <f>11.5277002</f>
        <v>11.5277002</v>
      </c>
      <c r="N1002">
        <f>17.809</f>
        <v>17.809000000000001</v>
      </c>
      <c r="O1002">
        <f>19.162</f>
        <v>19.161999999999999</v>
      </c>
    </row>
    <row r="1003" spans="1:15" x14ac:dyDescent="0.25">
      <c r="A1003" t="str">
        <f>"                    Dominion Energy Inc"</f>
        <v xml:space="preserve">                    Dominion Energy Inc</v>
      </c>
      <c r="B1003" t="str">
        <f>"D US Equity"</f>
        <v>D US Equity</v>
      </c>
      <c r="C1003" t="str">
        <f t="shared" si="117"/>
        <v>F0946</v>
      </c>
      <c r="D1003" t="str">
        <f t="shared" si="118"/>
        <v>TOTAL_GHG_CO2_EMISSIONS</v>
      </c>
      <c r="E1003" t="str">
        <f t="shared" si="119"/>
        <v>Dynamic</v>
      </c>
      <c r="F1003" t="str">
        <f ca="1">IF(AND(ISNUMBER($F$2074),$B$1132=1),$F$2074,HLOOKUP(INDIRECT(ADDRESS(2,COLUMN())),OFFSET($K$2,0,0,ROW()-1,5),ROW()-1,FALSE))</f>
        <v/>
      </c>
      <c r="G1003">
        <f ca="1">IF(AND(ISNUMBER($G$2074),$B$1132=1),$G$2074,HLOOKUP(INDIRECT(ADDRESS(2,COLUMN())),OFFSET($K$2,0,0,ROW()-1,5),ROW()-1,FALSE))</f>
        <v>35.01819922</v>
      </c>
      <c r="H1003">
        <f ca="1">IF(AND(ISNUMBER($H$2074),$B$1132=1),$H$2074,HLOOKUP(INDIRECT(ADDRESS(2,COLUMN())),OFFSET($K$2,0,0,ROW()-1,5),ROW()-1,FALSE))</f>
        <v>33.268999999999998</v>
      </c>
      <c r="I1003">
        <f ca="1">IF(AND(ISNUMBER($I$2074),$B$1132=1),$I$2074,HLOOKUP(INDIRECT(ADDRESS(2,COLUMN())),OFFSET($K$2,0,0,ROW()-1,5),ROW()-1,FALSE))</f>
        <v>31.976500000000001</v>
      </c>
      <c r="J1003">
        <f ca="1">IF(AND(ISNUMBER($J$2074),$B$1132=1),$J$2074,HLOOKUP(INDIRECT(ADDRESS(2,COLUMN())),OFFSET($K$2,0,0,ROW()-1,5),ROW()-1,FALSE))</f>
        <v>27.870599609999999</v>
      </c>
      <c r="K1003" t="str">
        <f>""</f>
        <v/>
      </c>
      <c r="L1003">
        <f>35.01819922</f>
        <v>35.01819922</v>
      </c>
      <c r="M1003">
        <f>33.269</f>
        <v>33.268999999999998</v>
      </c>
      <c r="N1003">
        <f>31.9765</f>
        <v>31.976500000000001</v>
      </c>
      <c r="O1003">
        <f>27.87059961</f>
        <v>27.870599609999999</v>
      </c>
    </row>
    <row r="1004" spans="1:15" x14ac:dyDescent="0.25">
      <c r="A1004" t="str">
        <f>"                    DTE Energy Co"</f>
        <v xml:space="preserve">                    DTE Energy Co</v>
      </c>
      <c r="B1004" t="str">
        <f>"DTE US Equity"</f>
        <v>DTE US Equity</v>
      </c>
      <c r="C1004" t="str">
        <f t="shared" si="117"/>
        <v>F0946</v>
      </c>
      <c r="D1004" t="str">
        <f t="shared" si="118"/>
        <v>TOTAL_GHG_CO2_EMISSIONS</v>
      </c>
      <c r="E1004" t="str">
        <f t="shared" si="119"/>
        <v>Dynamic</v>
      </c>
      <c r="F1004" t="str">
        <f ca="1">IF(AND(ISNUMBER($F$2075),$B$1132=1),$F$2075,HLOOKUP(INDIRECT(ADDRESS(2,COLUMN())),OFFSET($K$2,0,0,ROW()-1,5),ROW()-1,FALSE))</f>
        <v/>
      </c>
      <c r="G1004" t="str">
        <f ca="1">IF(AND(ISNUMBER($G$2075),$B$1132=1),$G$2075,HLOOKUP(INDIRECT(ADDRESS(2,COLUMN())),OFFSET($K$2,0,0,ROW()-1,5),ROW()-1,FALSE))</f>
        <v/>
      </c>
      <c r="H1004">
        <f ca="1">IF(AND(ISNUMBER($H$2075),$B$1132=1),$H$2075,HLOOKUP(INDIRECT(ADDRESS(2,COLUMN())),OFFSET($K$2,0,0,ROW()-1,5),ROW()-1,FALSE))</f>
        <v>24.837199219999999</v>
      </c>
      <c r="I1004">
        <f ca="1">IF(AND(ISNUMBER($I$2075),$B$1132=1),$I$2075,HLOOKUP(INDIRECT(ADDRESS(2,COLUMN())),OFFSET($K$2,0,0,ROW()-1,5),ROW()-1,FALSE))</f>
        <v>32.433</v>
      </c>
      <c r="J1004">
        <f ca="1">IF(AND(ISNUMBER($J$2075),$B$1132=1),$J$2075,HLOOKUP(INDIRECT(ADDRESS(2,COLUMN())),OFFSET($K$2,0,0,ROW()-1,5),ROW()-1,FALSE))</f>
        <v>36.183999999999997</v>
      </c>
      <c r="K1004" t="str">
        <f>""</f>
        <v/>
      </c>
      <c r="L1004" t="str">
        <f>""</f>
        <v/>
      </c>
      <c r="M1004">
        <f>24.83719922</f>
        <v>24.837199219999999</v>
      </c>
      <c r="N1004">
        <f>32.433</f>
        <v>32.433</v>
      </c>
      <c r="O1004">
        <f>36.184</f>
        <v>36.183999999999997</v>
      </c>
    </row>
    <row r="1005" spans="1:15" x14ac:dyDescent="0.25">
      <c r="A1005" t="str">
        <f>"                    Duke Energy Corp"</f>
        <v xml:space="preserve">                    Duke Energy Corp</v>
      </c>
      <c r="B1005" t="str">
        <f>"DUK US Equity"</f>
        <v>DUK US Equity</v>
      </c>
      <c r="C1005" t="str">
        <f t="shared" si="117"/>
        <v>F0946</v>
      </c>
      <c r="D1005" t="str">
        <f t="shared" si="118"/>
        <v>TOTAL_GHG_CO2_EMISSIONS</v>
      </c>
      <c r="E1005" t="str">
        <f t="shared" si="119"/>
        <v>Dynamic</v>
      </c>
      <c r="F1005">
        <f ca="1">IF(AND(ISNUMBER($F$2076),$B$1132=1),$F$2076,HLOOKUP(INDIRECT(ADDRESS(2,COLUMN())),OFFSET($K$2,0,0,ROW()-1,5),ROW()-1,FALSE))</f>
        <v>8.6104003910000007</v>
      </c>
      <c r="G1005">
        <f ca="1">IF(AND(ISNUMBER($G$2076),$B$1132=1),$G$2076,HLOOKUP(INDIRECT(ADDRESS(2,COLUMN())),OFFSET($K$2,0,0,ROW()-1,5),ROW()-1,FALSE))</f>
        <v>78.050101560000002</v>
      </c>
      <c r="H1005">
        <f ca="1">IF(AND(ISNUMBER($H$2076),$B$1132=1),$H$2076,HLOOKUP(INDIRECT(ADDRESS(2,COLUMN())),OFFSET($K$2,0,0,ROW()-1,5),ROW()-1,FALSE))</f>
        <v>74.979703130000004</v>
      </c>
      <c r="I1005">
        <f ca="1">IF(AND(ISNUMBER($I$2076),$B$1132=1),$I$2076,HLOOKUP(INDIRECT(ADDRESS(2,COLUMN())),OFFSET($K$2,0,0,ROW()-1,5),ROW()-1,FALSE))</f>
        <v>85.530203130000004</v>
      </c>
      <c r="J1005">
        <f ca="1">IF(AND(ISNUMBER($J$2076),$B$1132=1),$J$2076,HLOOKUP(INDIRECT(ADDRESS(2,COLUMN())),OFFSET($K$2,0,0,ROW()-1,5),ROW()-1,FALSE))</f>
        <v>96.572000000000003</v>
      </c>
      <c r="K1005">
        <f>8.610400391</f>
        <v>8.6104003910000007</v>
      </c>
      <c r="L1005">
        <f>78.05010156</f>
        <v>78.050101560000002</v>
      </c>
      <c r="M1005">
        <f>74.97970313</f>
        <v>74.979703130000004</v>
      </c>
      <c r="N1005">
        <f>85.53020313</f>
        <v>85.530203130000004</v>
      </c>
      <c r="O1005">
        <f>96.572</f>
        <v>96.572000000000003</v>
      </c>
    </row>
    <row r="1006" spans="1:15" x14ac:dyDescent="0.25">
      <c r="A1006" t="str">
        <f>"                    Edison International"</f>
        <v xml:space="preserve">                    Edison International</v>
      </c>
      <c r="B1006" t="str">
        <f>"EIX US Equity"</f>
        <v>EIX US Equity</v>
      </c>
      <c r="C1006" t="str">
        <f t="shared" si="117"/>
        <v>F0946</v>
      </c>
      <c r="D1006" t="str">
        <f t="shared" si="118"/>
        <v>TOTAL_GHG_CO2_EMISSIONS</v>
      </c>
      <c r="E1006" t="str">
        <f t="shared" si="119"/>
        <v>Dynamic</v>
      </c>
      <c r="F1006" t="str">
        <f ca="1">IF(AND(ISNUMBER($F$2077),$B$1132=1),$F$2077,HLOOKUP(INDIRECT(ADDRESS(2,COLUMN())),OFFSET($K$2,0,0,ROW()-1,5),ROW()-1,FALSE))</f>
        <v/>
      </c>
      <c r="G1006">
        <f ca="1">IF(AND(ISNUMBER($G$2077),$B$1132=1),$G$2077,HLOOKUP(INDIRECT(ADDRESS(2,COLUMN())),OFFSET($K$2,0,0,ROW()-1,5),ROW()-1,FALSE))</f>
        <v>1.8</v>
      </c>
      <c r="H1006">
        <f ca="1">IF(AND(ISNUMBER($H$2077),$B$1132=1),$H$2077,HLOOKUP(INDIRECT(ADDRESS(2,COLUMN())),OFFSET($K$2,0,0,ROW()-1,5),ROW()-1,FALSE))</f>
        <v>2.2000000000000002</v>
      </c>
      <c r="I1006">
        <f ca="1">IF(AND(ISNUMBER($I$2077),$B$1132=1),$I$2077,HLOOKUP(INDIRECT(ADDRESS(2,COLUMN())),OFFSET($K$2,0,0,ROW()-1,5),ROW()-1,FALSE))</f>
        <v>2.2000000000000002</v>
      </c>
      <c r="J1006">
        <f ca="1">IF(AND(ISNUMBER($J$2077),$B$1132=1),$J$2077,HLOOKUP(INDIRECT(ADDRESS(2,COLUMN())),OFFSET($K$2,0,0,ROW()-1,5),ROW()-1,FALSE))</f>
        <v>2.2000000000000002</v>
      </c>
      <c r="K1006" t="str">
        <f>""</f>
        <v/>
      </c>
      <c r="L1006">
        <f>1.8</f>
        <v>1.8</v>
      </c>
      <c r="M1006">
        <f>2.2</f>
        <v>2.2000000000000002</v>
      </c>
      <c r="N1006">
        <f>2.2</f>
        <v>2.2000000000000002</v>
      </c>
      <c r="O1006">
        <f>2.2</f>
        <v>2.2000000000000002</v>
      </c>
    </row>
    <row r="1007" spans="1:15" x14ac:dyDescent="0.25">
      <c r="A1007" t="str">
        <f>"                    Entergy Corp"</f>
        <v xml:space="preserve">                    Entergy Corp</v>
      </c>
      <c r="B1007" t="str">
        <f>"ETR US Equity"</f>
        <v>ETR US Equity</v>
      </c>
      <c r="C1007" t="str">
        <f t="shared" si="117"/>
        <v>F0946</v>
      </c>
      <c r="D1007" t="str">
        <f t="shared" si="118"/>
        <v>TOTAL_GHG_CO2_EMISSIONS</v>
      </c>
      <c r="E1007" t="str">
        <f t="shared" si="119"/>
        <v>Dynamic</v>
      </c>
      <c r="F1007">
        <f ca="1">IF(AND(ISNUMBER($F$2078),$B$1132=1),$F$2078,HLOOKUP(INDIRECT(ADDRESS(2,COLUMN())),OFFSET($K$2,0,0,ROW()-1,5),ROW()-1,FALSE))</f>
        <v>39.503</v>
      </c>
      <c r="G1007">
        <f ca="1">IF(AND(ISNUMBER($G$2078),$B$1132=1),$G$2078,HLOOKUP(INDIRECT(ADDRESS(2,COLUMN())),OFFSET($K$2,0,0,ROW()-1,5),ROW()-1,FALSE))</f>
        <v>35.672499999999999</v>
      </c>
      <c r="H1007">
        <f ca="1">IF(AND(ISNUMBER($H$2078),$B$1132=1),$H$2078,HLOOKUP(INDIRECT(ADDRESS(2,COLUMN())),OFFSET($K$2,0,0,ROW()-1,5),ROW()-1,FALSE))</f>
        <v>33.064300780000003</v>
      </c>
      <c r="I1007">
        <f ca="1">IF(AND(ISNUMBER($I$2078),$B$1132=1),$I$2078,HLOOKUP(INDIRECT(ADDRESS(2,COLUMN())),OFFSET($K$2,0,0,ROW()-1,5),ROW()-1,FALSE))</f>
        <v>37.5</v>
      </c>
      <c r="J1007">
        <f ca="1">IF(AND(ISNUMBER($J$2078),$B$1132=1),$J$2078,HLOOKUP(INDIRECT(ADDRESS(2,COLUMN())),OFFSET($K$2,0,0,ROW()-1,5),ROW()-1,FALSE))</f>
        <v>40.049999999999997</v>
      </c>
      <c r="K1007">
        <f>39.503</f>
        <v>39.503</v>
      </c>
      <c r="L1007">
        <f>35.6725</f>
        <v>35.672499999999999</v>
      </c>
      <c r="M1007">
        <f>33.06430078</f>
        <v>33.064300780000003</v>
      </c>
      <c r="N1007">
        <f>37.5</f>
        <v>37.5</v>
      </c>
      <c r="O1007">
        <f>40.05</f>
        <v>40.049999999999997</v>
      </c>
    </row>
    <row r="1008" spans="1:15" x14ac:dyDescent="0.25">
      <c r="A1008" t="str">
        <f>"                    Evergy Inc"</f>
        <v xml:space="preserve">                    Evergy Inc</v>
      </c>
      <c r="B1008" t="str">
        <f>"EVRG US Equity"</f>
        <v>EVRG US Equity</v>
      </c>
      <c r="C1008" t="str">
        <f t="shared" si="117"/>
        <v>F0946</v>
      </c>
      <c r="D1008" t="str">
        <f t="shared" si="118"/>
        <v>TOTAL_GHG_CO2_EMISSIONS</v>
      </c>
      <c r="E1008" t="str">
        <f t="shared" si="119"/>
        <v>Dynamic</v>
      </c>
      <c r="F1008" t="str">
        <f ca="1">IF(AND(ISNUMBER($F$2079),$B$1132=1),$F$2079,HLOOKUP(INDIRECT(ADDRESS(2,COLUMN())),OFFSET($K$2,0,0,ROW()-1,5),ROW()-1,FALSE))</f>
        <v/>
      </c>
      <c r="G1008">
        <f ca="1">IF(AND(ISNUMBER($G$2079),$B$1132=1),$G$2079,HLOOKUP(INDIRECT(ADDRESS(2,COLUMN())),OFFSET($K$2,0,0,ROW()-1,5),ROW()-1,FALSE))</f>
        <v>26.5425</v>
      </c>
      <c r="H1008" t="str">
        <f ca="1">IF(AND(ISNUMBER($H$2079),$B$1132=1),$H$2079,HLOOKUP(INDIRECT(ADDRESS(2,COLUMN())),OFFSET($K$2,0,0,ROW()-1,5),ROW()-1,FALSE))</f>
        <v/>
      </c>
      <c r="I1008" t="str">
        <f ca="1">IF(AND(ISNUMBER($I$2079),$B$1132=1),$I$2079,HLOOKUP(INDIRECT(ADDRESS(2,COLUMN())),OFFSET($K$2,0,0,ROW()-1,5),ROW()-1,FALSE))</f>
        <v/>
      </c>
      <c r="J1008" t="str">
        <f ca="1">IF(AND(ISNUMBER($J$2079),$B$1132=1),$J$2079,HLOOKUP(INDIRECT(ADDRESS(2,COLUMN())),OFFSET($K$2,0,0,ROW()-1,5),ROW()-1,FALSE))</f>
        <v/>
      </c>
      <c r="K1008" t="str">
        <f>""</f>
        <v/>
      </c>
      <c r="L1008">
        <f>26.5425</f>
        <v>26.5425</v>
      </c>
      <c r="M1008" t="str">
        <f>""</f>
        <v/>
      </c>
      <c r="N1008" t="str">
        <f>""</f>
        <v/>
      </c>
      <c r="O1008" t="str">
        <f>""</f>
        <v/>
      </c>
    </row>
    <row r="1009" spans="1:15" x14ac:dyDescent="0.25">
      <c r="A1009" t="str">
        <f>"                    Hawaiian Electric Industries I"</f>
        <v xml:space="preserve">                    Hawaiian Electric Industries I</v>
      </c>
      <c r="B1009" t="str">
        <f>"HE US Equity"</f>
        <v>HE US Equity</v>
      </c>
      <c r="C1009" t="str">
        <f t="shared" si="117"/>
        <v>F0946</v>
      </c>
      <c r="D1009" t="str">
        <f t="shared" si="118"/>
        <v>TOTAL_GHG_CO2_EMISSIONS</v>
      </c>
      <c r="E1009" t="str">
        <f t="shared" si="119"/>
        <v>Dynamic</v>
      </c>
      <c r="F1009" t="str">
        <f ca="1">IF(AND(ISNUMBER($F$2080),$B$1132=1),$F$2080,HLOOKUP(INDIRECT(ADDRESS(2,COLUMN())),OFFSET($K$2,0,0,ROW()-1,5),ROW()-1,FALSE))</f>
        <v/>
      </c>
      <c r="G1009">
        <f ca="1">IF(AND(ISNUMBER($G$2080),$B$1132=1),$G$2080,HLOOKUP(INDIRECT(ADDRESS(2,COLUMN())),OFFSET($K$2,0,0,ROW()-1,5),ROW()-1,FALSE))</f>
        <v>3.8061298830000001</v>
      </c>
      <c r="H1009" t="str">
        <f ca="1">IF(AND(ISNUMBER($H$2080),$B$1132=1),$H$2080,HLOOKUP(INDIRECT(ADDRESS(2,COLUMN())),OFFSET($K$2,0,0,ROW()-1,5),ROW()-1,FALSE))</f>
        <v/>
      </c>
      <c r="I1009" t="str">
        <f ca="1">IF(AND(ISNUMBER($I$2080),$B$1132=1),$I$2080,HLOOKUP(INDIRECT(ADDRESS(2,COLUMN())),OFFSET($K$2,0,0,ROW()-1,5),ROW()-1,FALSE))</f>
        <v/>
      </c>
      <c r="J1009" t="str">
        <f ca="1">IF(AND(ISNUMBER($J$2080),$B$1132=1),$J$2080,HLOOKUP(INDIRECT(ADDRESS(2,COLUMN())),OFFSET($K$2,0,0,ROW()-1,5),ROW()-1,FALSE))</f>
        <v/>
      </c>
      <c r="K1009" t="str">
        <f>""</f>
        <v/>
      </c>
      <c r="L1009">
        <f>3.806129883</f>
        <v>3.8061298830000001</v>
      </c>
      <c r="M1009" t="str">
        <f>""</f>
        <v/>
      </c>
      <c r="N1009" t="str">
        <f>""</f>
        <v/>
      </c>
      <c r="O1009" t="str">
        <f>""</f>
        <v/>
      </c>
    </row>
    <row r="1010" spans="1:15" x14ac:dyDescent="0.25">
      <c r="A1010" t="str">
        <f>"                    IDACORP Inc"</f>
        <v xml:space="preserve">                    IDACORP Inc</v>
      </c>
      <c r="B1010" t="str">
        <f>"IDA US Equity"</f>
        <v>IDA US Equity</v>
      </c>
      <c r="C1010" t="str">
        <f t="shared" si="117"/>
        <v>F0946</v>
      </c>
      <c r="D1010" t="str">
        <f t="shared" si="118"/>
        <v>TOTAL_GHG_CO2_EMISSIONS</v>
      </c>
      <c r="E1010" t="str">
        <f t="shared" si="119"/>
        <v>Dynamic</v>
      </c>
      <c r="F1010">
        <f ca="1">IF(AND(ISNUMBER($F$2081),$B$1132=1),$F$2081,HLOOKUP(INDIRECT(ADDRESS(2,COLUMN())),OFFSET($K$2,0,0,ROW()-1,5),ROW()-1,FALSE))</f>
        <v>4.8773798829999997</v>
      </c>
      <c r="G1010">
        <f ca="1">IF(AND(ISNUMBER($G$2081),$B$1132=1),$G$2081,HLOOKUP(INDIRECT(ADDRESS(2,COLUMN())),OFFSET($K$2,0,0,ROW()-1,5),ROW()-1,FALSE))</f>
        <v>4.2889999999999997</v>
      </c>
      <c r="H1010">
        <f ca="1">IF(AND(ISNUMBER($H$2081),$B$1132=1),$H$2081,HLOOKUP(INDIRECT(ADDRESS(2,COLUMN())),OFFSET($K$2,0,0,ROW()-1,5),ROW()-1,FALSE))</f>
        <v>4.9273999020000003</v>
      </c>
      <c r="I1010">
        <f ca="1">IF(AND(ISNUMBER($I$2081),$B$1132=1),$I$2081,HLOOKUP(INDIRECT(ADDRESS(2,COLUMN())),OFFSET($K$2,0,0,ROW()-1,5),ROW()-1,FALSE))</f>
        <v>4.0352099609999996</v>
      </c>
      <c r="J1010">
        <f ca="1">IF(AND(ISNUMBER($J$2081),$B$1132=1),$J$2081,HLOOKUP(INDIRECT(ADDRESS(2,COLUMN())),OFFSET($K$2,0,0,ROW()-1,5),ROW()-1,FALSE))</f>
        <v>3.9585300289999998</v>
      </c>
      <c r="K1010">
        <f>4.877379883</f>
        <v>4.8773798829999997</v>
      </c>
      <c r="L1010">
        <f>4.289</f>
        <v>4.2889999999999997</v>
      </c>
      <c r="M1010">
        <f>4.927399902</f>
        <v>4.9273999020000003</v>
      </c>
      <c r="N1010">
        <f>4.035209961</f>
        <v>4.0352099609999996</v>
      </c>
      <c r="O1010">
        <f>3.958530029</f>
        <v>3.9585300289999998</v>
      </c>
    </row>
    <row r="1011" spans="1:15" x14ac:dyDescent="0.25">
      <c r="A1011" t="str">
        <f>"                    NorthWestern Corp"</f>
        <v xml:space="preserve">                    NorthWestern Corp</v>
      </c>
      <c r="B1011" t="str">
        <f>"NWE US Equity"</f>
        <v>NWE US Equity</v>
      </c>
      <c r="C1011" t="str">
        <f t="shared" si="117"/>
        <v>F0946</v>
      </c>
      <c r="D1011" t="str">
        <f t="shared" si="118"/>
        <v>TOTAL_GHG_CO2_EMISSIONS</v>
      </c>
      <c r="E1011" t="str">
        <f t="shared" si="119"/>
        <v>Dynamic</v>
      </c>
      <c r="F1011" t="str">
        <f ca="1">IF(AND(ISNUMBER($F$2082),$B$1132=1),$F$2082,HLOOKUP(INDIRECT(ADDRESS(2,COLUMN())),OFFSET($K$2,0,0,ROW()-1,5),ROW()-1,FALSE))</f>
        <v/>
      </c>
      <c r="G1011" t="str">
        <f ca="1">IF(AND(ISNUMBER($G$2082),$B$1132=1),$G$2082,HLOOKUP(INDIRECT(ADDRESS(2,COLUMN())),OFFSET($K$2,0,0,ROW()-1,5),ROW()-1,FALSE))</f>
        <v/>
      </c>
      <c r="H1011">
        <f ca="1">IF(AND(ISNUMBER($H$2082),$B$1132=1),$H$2082,HLOOKUP(INDIRECT(ADDRESS(2,COLUMN())),OFFSET($K$2,0,0,ROW()-1,5),ROW()-1,FALSE))</f>
        <v>3.4810200199999999</v>
      </c>
      <c r="I1011">
        <f ca="1">IF(AND(ISNUMBER($I$2082),$B$1132=1),$I$2082,HLOOKUP(INDIRECT(ADDRESS(2,COLUMN())),OFFSET($K$2,0,0,ROW()-1,5),ROW()-1,FALSE))</f>
        <v>3.9306999509999998</v>
      </c>
      <c r="J1011">
        <f ca="1">IF(AND(ISNUMBER($J$2082),$B$1132=1),$J$2082,HLOOKUP(INDIRECT(ADDRESS(2,COLUMN())),OFFSET($K$2,0,0,ROW()-1,5),ROW()-1,FALSE))</f>
        <v>4.4656899409999999</v>
      </c>
      <c r="K1011" t="str">
        <f>""</f>
        <v/>
      </c>
      <c r="L1011" t="str">
        <f>""</f>
        <v/>
      </c>
      <c r="M1011">
        <f>3.48102002</f>
        <v>3.4810200199999999</v>
      </c>
      <c r="N1011">
        <f>3.930699951</f>
        <v>3.9306999509999998</v>
      </c>
      <c r="O1011">
        <f>4.465689941</f>
        <v>4.4656899409999999</v>
      </c>
    </row>
    <row r="1012" spans="1:15" x14ac:dyDescent="0.25">
      <c r="A1012" t="str">
        <f>"                    PG&amp;E Corp"</f>
        <v xml:space="preserve">                    PG&amp;E Corp</v>
      </c>
      <c r="B1012" t="str">
        <f>"PCG US Equity"</f>
        <v>PCG US Equity</v>
      </c>
      <c r="C1012" t="str">
        <f t="shared" si="117"/>
        <v>F0946</v>
      </c>
      <c r="D1012" t="str">
        <f t="shared" si="118"/>
        <v>TOTAL_GHG_CO2_EMISSIONS</v>
      </c>
      <c r="E1012" t="str">
        <f t="shared" si="119"/>
        <v>Dynamic</v>
      </c>
      <c r="F1012" t="str">
        <f ca="1">IF(AND(ISNUMBER($F$2083),$B$1132=1),$F$2083,HLOOKUP(INDIRECT(ADDRESS(2,COLUMN())),OFFSET($K$2,0,0,ROW()-1,5),ROW()-1,FALSE))</f>
        <v/>
      </c>
      <c r="G1012">
        <f ca="1">IF(AND(ISNUMBER($G$2083),$B$1132=1),$G$2083,HLOOKUP(INDIRECT(ADDRESS(2,COLUMN())),OFFSET($K$2,0,0,ROW()-1,5),ROW()-1,FALSE))</f>
        <v>5.2924301759999999</v>
      </c>
      <c r="H1012">
        <f ca="1">IF(AND(ISNUMBER($H$2083),$B$1132=1),$H$2083,HLOOKUP(INDIRECT(ADDRESS(2,COLUMN())),OFFSET($K$2,0,0,ROW()-1,5),ROW()-1,FALSE))</f>
        <v>5.1373701169999997</v>
      </c>
      <c r="I1012">
        <f ca="1">IF(AND(ISNUMBER($I$2083),$B$1132=1),$I$2083,HLOOKUP(INDIRECT(ADDRESS(2,COLUMN())),OFFSET($K$2,0,0,ROW()-1,5),ROW()-1,FALSE))</f>
        <v>7.4261899409999996</v>
      </c>
      <c r="J1012">
        <f ca="1">IF(AND(ISNUMBER($J$2083),$B$1132=1),$J$2083,HLOOKUP(INDIRECT(ADDRESS(2,COLUMN())),OFFSET($K$2,0,0,ROW()-1,5),ROW()-1,FALSE))</f>
        <v>4.9316401369999996</v>
      </c>
      <c r="K1012" t="str">
        <f>""</f>
        <v/>
      </c>
      <c r="L1012">
        <f>5.292430176</f>
        <v>5.2924301759999999</v>
      </c>
      <c r="M1012">
        <f>5.137370117</f>
        <v>5.1373701169999997</v>
      </c>
      <c r="N1012">
        <f>7.426189941</f>
        <v>7.4261899409999996</v>
      </c>
      <c r="O1012">
        <f>4.931640137</f>
        <v>4.9316401369999996</v>
      </c>
    </row>
    <row r="1013" spans="1:15" x14ac:dyDescent="0.25">
      <c r="A1013" t="str">
        <f>"                    PNM Resources Inc"</f>
        <v xml:space="preserve">                    PNM Resources Inc</v>
      </c>
      <c r="B1013" t="str">
        <f>"PNM US Equity"</f>
        <v>PNM US Equity</v>
      </c>
      <c r="C1013" t="str">
        <f t="shared" si="117"/>
        <v>F0946</v>
      </c>
      <c r="D1013" t="str">
        <f t="shared" si="118"/>
        <v>TOTAL_GHG_CO2_EMISSIONS</v>
      </c>
      <c r="E1013" t="str">
        <f t="shared" si="119"/>
        <v>Dynamic</v>
      </c>
      <c r="F1013" t="str">
        <f ca="1">IF(AND(ISNUMBER($F$2084),$B$1132=1),$F$2084,HLOOKUP(INDIRECT(ADDRESS(2,COLUMN())),OFFSET($K$2,0,0,ROW()-1,5),ROW()-1,FALSE))</f>
        <v/>
      </c>
      <c r="G1013" t="str">
        <f ca="1">IF(AND(ISNUMBER($G$2084),$B$1132=1),$G$2084,HLOOKUP(INDIRECT(ADDRESS(2,COLUMN())),OFFSET($K$2,0,0,ROW()-1,5),ROW()-1,FALSE))</f>
        <v/>
      </c>
      <c r="H1013" t="str">
        <f ca="1">IF(AND(ISNUMBER($H$2084),$B$1132=1),$H$2084,HLOOKUP(INDIRECT(ADDRESS(2,COLUMN())),OFFSET($K$2,0,0,ROW()-1,5),ROW()-1,FALSE))</f>
        <v/>
      </c>
      <c r="I1013" t="str">
        <f ca="1">IF(AND(ISNUMBER($I$2084),$B$1132=1),$I$2084,HLOOKUP(INDIRECT(ADDRESS(2,COLUMN())),OFFSET($K$2,0,0,ROW()-1,5),ROW()-1,FALSE))</f>
        <v/>
      </c>
      <c r="J1013" t="str">
        <f ca="1">IF(AND(ISNUMBER($J$2084),$B$1132=1),$J$2084,HLOOKUP(INDIRECT(ADDRESS(2,COLUMN())),OFFSET($K$2,0,0,ROW()-1,5),ROW()-1,FALSE))</f>
        <v/>
      </c>
      <c r="K1013" t="str">
        <f>""</f>
        <v/>
      </c>
      <c r="L1013" t="str">
        <f>""</f>
        <v/>
      </c>
      <c r="M1013" t="str">
        <f>""</f>
        <v/>
      </c>
      <c r="N1013" t="str">
        <f>""</f>
        <v/>
      </c>
      <c r="O1013" t="str">
        <f>""</f>
        <v/>
      </c>
    </row>
    <row r="1014" spans="1:15" x14ac:dyDescent="0.25">
      <c r="A1014" t="str">
        <f>"                    PPL Corp"</f>
        <v xml:space="preserve">                    PPL Corp</v>
      </c>
      <c r="B1014" t="str">
        <f>"PPL US Equity"</f>
        <v>PPL US Equity</v>
      </c>
      <c r="C1014" t="str">
        <f t="shared" si="117"/>
        <v>F0946</v>
      </c>
      <c r="D1014" t="str">
        <f t="shared" si="118"/>
        <v>TOTAL_GHG_CO2_EMISSIONS</v>
      </c>
      <c r="E1014" t="str">
        <f t="shared" si="119"/>
        <v>Dynamic</v>
      </c>
      <c r="F1014">
        <f ca="1">IF(AND(ISNUMBER($F$2085),$B$1132=1),$F$2085,HLOOKUP(INDIRECT(ADDRESS(2,COLUMN())),OFFSET($K$2,0,0,ROW()-1,5),ROW()-1,FALSE))</f>
        <v>26.9085</v>
      </c>
      <c r="G1014">
        <f ca="1">IF(AND(ISNUMBER($G$2085),$B$1132=1),$G$2085,HLOOKUP(INDIRECT(ADDRESS(2,COLUMN())),OFFSET($K$2,0,0,ROW()-1,5),ROW()-1,FALSE))</f>
        <v>26.46919922</v>
      </c>
      <c r="H1014">
        <f ca="1">IF(AND(ISNUMBER($H$2085),$B$1132=1),$H$2085,HLOOKUP(INDIRECT(ADDRESS(2,COLUMN())),OFFSET($K$2,0,0,ROW()-1,5),ROW()-1,FALSE))</f>
        <v>25.673400390000001</v>
      </c>
      <c r="I1014">
        <f ca="1">IF(AND(ISNUMBER($I$2085),$B$1132=1),$I$2085,HLOOKUP(INDIRECT(ADDRESS(2,COLUMN())),OFFSET($K$2,0,0,ROW()-1,5),ROW()-1,FALSE))</f>
        <v>27.433199219999999</v>
      </c>
      <c r="J1014">
        <f ca="1">IF(AND(ISNUMBER($J$2085),$B$1132=1),$J$2085,HLOOKUP(INDIRECT(ADDRESS(2,COLUMN())),OFFSET($K$2,0,0,ROW()-1,5),ROW()-1,FALSE))</f>
        <v>29.946999999999999</v>
      </c>
      <c r="K1014">
        <f>26.9085</f>
        <v>26.9085</v>
      </c>
      <c r="L1014">
        <f>26.46919922</f>
        <v>26.46919922</v>
      </c>
      <c r="M1014">
        <f>25.67340039</f>
        <v>25.673400390000001</v>
      </c>
      <c r="N1014">
        <f>27.43319922</f>
        <v>27.433199219999999</v>
      </c>
      <c r="O1014">
        <f>29.947</f>
        <v>29.946999999999999</v>
      </c>
    </row>
    <row r="1015" spans="1:15" x14ac:dyDescent="0.25">
      <c r="A1015" t="str">
        <f>"                    Pinnacle West Capital Corp"</f>
        <v xml:space="preserve">                    Pinnacle West Capital Corp</v>
      </c>
      <c r="B1015" t="str">
        <f>"PNW US Equity"</f>
        <v>PNW US Equity</v>
      </c>
      <c r="C1015" t="str">
        <f t="shared" si="117"/>
        <v>F0946</v>
      </c>
      <c r="D1015" t="str">
        <f t="shared" si="118"/>
        <v>TOTAL_GHG_CO2_EMISSIONS</v>
      </c>
      <c r="E1015" t="str">
        <f t="shared" si="119"/>
        <v>Dynamic</v>
      </c>
      <c r="F1015" t="str">
        <f ca="1">IF(AND(ISNUMBER($F$2086),$B$1132=1),$F$2086,HLOOKUP(INDIRECT(ADDRESS(2,COLUMN())),OFFSET($K$2,0,0,ROW()-1,5),ROW()-1,FALSE))</f>
        <v/>
      </c>
      <c r="G1015">
        <f ca="1">IF(AND(ISNUMBER($G$2086),$B$1132=1),$G$2086,HLOOKUP(INDIRECT(ADDRESS(2,COLUMN())),OFFSET($K$2,0,0,ROW()-1,5),ROW()-1,FALSE))</f>
        <v>11.46140039</v>
      </c>
      <c r="H1015">
        <f ca="1">IF(AND(ISNUMBER($H$2086),$B$1132=1),$H$2086,HLOOKUP(INDIRECT(ADDRESS(2,COLUMN())),OFFSET($K$2,0,0,ROW()-1,5),ROW()-1,FALSE))</f>
        <v>11.37409961</v>
      </c>
      <c r="I1015">
        <f ca="1">IF(AND(ISNUMBER($I$2086),$B$1132=1),$I$2086,HLOOKUP(INDIRECT(ADDRESS(2,COLUMN())),OFFSET($K$2,0,0,ROW()-1,5),ROW()-1,FALSE))</f>
        <v>12.3127002</v>
      </c>
      <c r="J1015">
        <f ca="1">IF(AND(ISNUMBER($J$2086),$B$1132=1),$J$2086,HLOOKUP(INDIRECT(ADDRESS(2,COLUMN())),OFFSET($K$2,0,0,ROW()-1,5),ROW()-1,FALSE))</f>
        <v>12.02240039</v>
      </c>
      <c r="K1015" t="str">
        <f>""</f>
        <v/>
      </c>
      <c r="L1015">
        <f>11.46140039</f>
        <v>11.46140039</v>
      </c>
      <c r="M1015">
        <f>11.37409961</f>
        <v>11.37409961</v>
      </c>
      <c r="N1015">
        <f>12.3127002</f>
        <v>12.3127002</v>
      </c>
      <c r="O1015">
        <f>12.02240039</f>
        <v>12.02240039</v>
      </c>
    </row>
    <row r="1016" spans="1:15" x14ac:dyDescent="0.25">
      <c r="A1016" t="str">
        <f>"                    Portland General Electric Co"</f>
        <v xml:space="preserve">                    Portland General Electric Co</v>
      </c>
      <c r="B1016" t="str">
        <f>"POR US Equity"</f>
        <v>POR US Equity</v>
      </c>
      <c r="C1016" t="str">
        <f t="shared" si="117"/>
        <v>F0946</v>
      </c>
      <c r="D1016" t="str">
        <f t="shared" si="118"/>
        <v>TOTAL_GHG_CO2_EMISSIONS</v>
      </c>
      <c r="E1016" t="str">
        <f t="shared" si="119"/>
        <v>Dynamic</v>
      </c>
      <c r="F1016">
        <f ca="1">IF(AND(ISNUMBER($F$2087),$B$1132=1),$F$2087,HLOOKUP(INDIRECT(ADDRESS(2,COLUMN())),OFFSET($K$2,0,0,ROW()-1,5),ROW()-1,FALSE))</f>
        <v>5.647180176</v>
      </c>
      <c r="G1016">
        <f ca="1">IF(AND(ISNUMBER($G$2087),$B$1132=1),$G$2087,HLOOKUP(INDIRECT(ADDRESS(2,COLUMN())),OFFSET($K$2,0,0,ROW()-1,5),ROW()-1,FALSE))</f>
        <v>5.9099199220000003</v>
      </c>
      <c r="H1016" t="str">
        <f ca="1">IF(AND(ISNUMBER($H$2087),$B$1132=1),$H$2087,HLOOKUP(INDIRECT(ADDRESS(2,COLUMN())),OFFSET($K$2,0,0,ROW()-1,5),ROW()-1,FALSE))</f>
        <v/>
      </c>
      <c r="I1016" t="str">
        <f ca="1">IF(AND(ISNUMBER($I$2087),$B$1132=1),$I$2087,HLOOKUP(INDIRECT(ADDRESS(2,COLUMN())),OFFSET($K$2,0,0,ROW()-1,5),ROW()-1,FALSE))</f>
        <v/>
      </c>
      <c r="J1016" t="str">
        <f ca="1">IF(AND(ISNUMBER($J$2087),$B$1132=1),$J$2087,HLOOKUP(INDIRECT(ADDRESS(2,COLUMN())),OFFSET($K$2,0,0,ROW()-1,5),ROW()-1,FALSE))</f>
        <v/>
      </c>
      <c r="K1016">
        <f>5.647180176</f>
        <v>5.647180176</v>
      </c>
      <c r="L1016">
        <f>5.909919922</f>
        <v>5.9099199220000003</v>
      </c>
      <c r="M1016" t="str">
        <f>""</f>
        <v/>
      </c>
      <c r="N1016" t="str">
        <f>""</f>
        <v/>
      </c>
      <c r="O1016" t="str">
        <f>""</f>
        <v/>
      </c>
    </row>
    <row r="1017" spans="1:15" x14ac:dyDescent="0.25">
      <c r="A1017" t="str">
        <f>"                    Southern Co/The"</f>
        <v xml:space="preserve">                    Southern Co/The</v>
      </c>
      <c r="B1017" t="str">
        <f>"SO US Equity"</f>
        <v>SO US Equity</v>
      </c>
      <c r="C1017" t="str">
        <f t="shared" si="117"/>
        <v>F0946</v>
      </c>
      <c r="D1017" t="str">
        <f t="shared" si="118"/>
        <v>TOTAL_GHG_CO2_EMISSIONS</v>
      </c>
      <c r="E1017" t="str">
        <f t="shared" si="119"/>
        <v>Dynamic</v>
      </c>
      <c r="F1017" t="str">
        <f ca="1">IF(AND(ISNUMBER($F$2088),$B$1132=1),$F$2088,HLOOKUP(INDIRECT(ADDRESS(2,COLUMN())),OFFSET($K$2,0,0,ROW()-1,5),ROW()-1,FALSE))</f>
        <v/>
      </c>
      <c r="G1017">
        <f ca="1">IF(AND(ISNUMBER($G$2088),$B$1132=1),$G$2088,HLOOKUP(INDIRECT(ADDRESS(2,COLUMN())),OFFSET($K$2,0,0,ROW()-1,5),ROW()-1,FALSE))</f>
        <v>82.639499999999998</v>
      </c>
      <c r="H1017">
        <f ca="1">IF(AND(ISNUMBER($H$2088),$B$1132=1),$H$2088,HLOOKUP(INDIRECT(ADDRESS(2,COLUMN())),OFFSET($K$2,0,0,ROW()-1,5),ROW()-1,FALSE))</f>
        <v>75.316601559999995</v>
      </c>
      <c r="I1017">
        <f ca="1">IF(AND(ISNUMBER($I$2088),$B$1132=1),$I$2088,HLOOKUP(INDIRECT(ADDRESS(2,COLUMN())),OFFSET($K$2,0,0,ROW()-1,5),ROW()-1,FALSE))</f>
        <v>88.420703130000007</v>
      </c>
      <c r="J1017">
        <f ca="1">IF(AND(ISNUMBER($J$2088),$B$1132=1),$J$2088,HLOOKUP(INDIRECT(ADDRESS(2,COLUMN())),OFFSET($K$2,0,0,ROW()-1,5),ROW()-1,FALSE))</f>
        <v>105.065</v>
      </c>
      <c r="K1017" t="str">
        <f>""</f>
        <v/>
      </c>
      <c r="L1017">
        <f>82.6395</f>
        <v>82.639499999999998</v>
      </c>
      <c r="M1017">
        <f>75.31660156</f>
        <v>75.316601559999995</v>
      </c>
      <c r="N1017">
        <f>88.42070313</f>
        <v>88.420703130000007</v>
      </c>
      <c r="O1017">
        <f>105.065</f>
        <v>105.065</v>
      </c>
    </row>
    <row r="1018" spans="1:15" x14ac:dyDescent="0.25">
      <c r="A1018" t="str">
        <f>"                    WEC Energy Group Inc"</f>
        <v xml:space="preserve">                    WEC Energy Group Inc</v>
      </c>
      <c r="B1018" t="str">
        <f>"WEC US Equity"</f>
        <v>WEC US Equity</v>
      </c>
      <c r="C1018" t="str">
        <f t="shared" si="117"/>
        <v>F0946</v>
      </c>
      <c r="D1018" t="str">
        <f t="shared" si="118"/>
        <v>TOTAL_GHG_CO2_EMISSIONS</v>
      </c>
      <c r="E1018" t="str">
        <f t="shared" si="119"/>
        <v>Dynamic</v>
      </c>
      <c r="F1018" t="str">
        <f ca="1">IF(AND(ISNUMBER($F$2089),$B$1132=1),$F$2089,HLOOKUP(INDIRECT(ADDRESS(2,COLUMN())),OFFSET($K$2,0,0,ROW()-1,5),ROW()-1,FALSE))</f>
        <v/>
      </c>
      <c r="G1018">
        <f ca="1">IF(AND(ISNUMBER($G$2089),$B$1132=1),$G$2089,HLOOKUP(INDIRECT(ADDRESS(2,COLUMN())),OFFSET($K$2,0,0,ROW()-1,5),ROW()-1,FALSE))</f>
        <v>21.757999999999999</v>
      </c>
      <c r="H1018">
        <f ca="1">IF(AND(ISNUMBER($H$2089),$B$1132=1),$H$2089,HLOOKUP(INDIRECT(ADDRESS(2,COLUMN())),OFFSET($K$2,0,0,ROW()-1,5),ROW()-1,FALSE))</f>
        <v>20.241</v>
      </c>
      <c r="I1018">
        <f ca="1">IF(AND(ISNUMBER($I$2089),$B$1132=1),$I$2089,HLOOKUP(INDIRECT(ADDRESS(2,COLUMN())),OFFSET($K$2,0,0,ROW()-1,5),ROW()-1,FALSE))</f>
        <v>22.177</v>
      </c>
      <c r="J1018">
        <f ca="1">IF(AND(ISNUMBER($J$2089),$B$1132=1),$J$2089,HLOOKUP(INDIRECT(ADDRESS(2,COLUMN())),OFFSET($K$2,0,0,ROW()-1,5),ROW()-1,FALSE))</f>
        <v>27.103999999999999</v>
      </c>
      <c r="K1018" t="str">
        <f>""</f>
        <v/>
      </c>
      <c r="L1018">
        <f>21.758</f>
        <v>21.757999999999999</v>
      </c>
      <c r="M1018">
        <f>20.241</f>
        <v>20.241</v>
      </c>
      <c r="N1018">
        <f>22.177</f>
        <v>22.177</v>
      </c>
      <c r="O1018">
        <f>27.104</f>
        <v>27.103999999999999</v>
      </c>
    </row>
    <row r="1019" spans="1:15" x14ac:dyDescent="0.25">
      <c r="A1019" t="str">
        <f>"                    Xcel Energy Inc"</f>
        <v xml:space="preserve">                    Xcel Energy Inc</v>
      </c>
      <c r="B1019" t="str">
        <f>"XEL US Equity"</f>
        <v>XEL US Equity</v>
      </c>
      <c r="C1019" t="str">
        <f t="shared" si="117"/>
        <v>F0946</v>
      </c>
      <c r="D1019" t="str">
        <f t="shared" si="118"/>
        <v>TOTAL_GHG_CO2_EMISSIONS</v>
      </c>
      <c r="E1019" t="str">
        <f t="shared" si="119"/>
        <v>Dynamic</v>
      </c>
      <c r="F1019">
        <f ca="1">IF(AND(ISNUMBER($F$2090),$B$1132=1),$F$2090,HLOOKUP(INDIRECT(ADDRESS(2,COLUMN())),OFFSET($K$2,0,0,ROW()-1,5),ROW()-1,FALSE))</f>
        <v>38.700000000000003</v>
      </c>
      <c r="G1019">
        <f ca="1">IF(AND(ISNUMBER($G$2090),$B$1132=1),$G$2090,HLOOKUP(INDIRECT(ADDRESS(2,COLUMN())),OFFSET($K$2,0,0,ROW()-1,5),ROW()-1,FALSE))</f>
        <v>40.200000000000003</v>
      </c>
      <c r="H1019">
        <f ca="1">IF(AND(ISNUMBER($H$2090),$B$1132=1),$H$2090,HLOOKUP(INDIRECT(ADDRESS(2,COLUMN())),OFFSET($K$2,0,0,ROW()-1,5),ROW()-1,FALSE))</f>
        <v>37.336500000000001</v>
      </c>
      <c r="I1019">
        <f ca="1">IF(AND(ISNUMBER($I$2090),$B$1132=1),$I$2090,HLOOKUP(INDIRECT(ADDRESS(2,COLUMN())),OFFSET($K$2,0,0,ROW()-1,5),ROW()-1,FALSE))</f>
        <v>44.663601559999996</v>
      </c>
      <c r="J1019">
        <f ca="1">IF(AND(ISNUMBER($J$2090),$B$1132=1),$J$2090,HLOOKUP(INDIRECT(ADDRESS(2,COLUMN())),OFFSET($K$2,0,0,ROW()-1,5),ROW()-1,FALSE))</f>
        <v>47.945999999999998</v>
      </c>
      <c r="K1019">
        <f>38.7</f>
        <v>38.700000000000003</v>
      </c>
      <c r="L1019">
        <f>40.2</f>
        <v>40.200000000000003</v>
      </c>
      <c r="M1019">
        <f>37.3365</f>
        <v>37.336500000000001</v>
      </c>
      <c r="N1019">
        <f>44.66360156</f>
        <v>44.663601559999996</v>
      </c>
      <c r="O1019">
        <f>47.946</f>
        <v>47.945999999999998</v>
      </c>
    </row>
    <row r="1020" spans="1:15" x14ac:dyDescent="0.25">
      <c r="A1020" t="str">
        <f>"                Power Generation"</f>
        <v xml:space="preserve">                Power Generation</v>
      </c>
      <c r="B1020" t="str">
        <f>""</f>
        <v/>
      </c>
      <c r="E1020" t="str">
        <f>"Sum"</f>
        <v>Sum</v>
      </c>
      <c r="F1020">
        <f ca="1">IF(ISERROR(IF(SUM($F$1021,$F$1058) = 0, "", SUM($F$1021,$F$1058))), "", (IF(SUM($F$1021,$F$1058) = 0, "", SUM($F$1021,$F$1058))))</f>
        <v>1527.7650184619999</v>
      </c>
      <c r="G1020">
        <f ca="1">IF(ISERROR(IF(SUM($G$1021,$G$1058) = 0, "", SUM($G$1021,$G$1058))), "", (IF(SUM($G$1021,$G$1058) = 0, "", SUM($G$1021,$G$1058))))</f>
        <v>1967.9657593800002</v>
      </c>
      <c r="H1020">
        <f ca="1">IF(ISERROR(IF(SUM($H$1021,$H$1058) = 0, "", SUM($H$1021,$H$1058))), "", (IF(SUM($H$1021,$H$1058) = 0, "", SUM($H$1021,$H$1058))))</f>
        <v>2258.593799277</v>
      </c>
      <c r="I1020">
        <f ca="1">IF(ISERROR(IF(SUM($I$1021,$I$1058) = 0, "", SUM($I$1021,$I$1058))), "", (IF(SUM($I$1021,$I$1058) = 0, "", SUM($I$1021,$I$1058))))</f>
        <v>2305.1268935929997</v>
      </c>
      <c r="J1020">
        <f ca="1">IF(ISERROR(IF(SUM($J$1021,$J$1058) = 0, "", SUM($J$1021,$J$1058))), "", (IF(SUM($J$1021,$J$1058) = 0, "", SUM($J$1021,$J$1058))))</f>
        <v>2680.2872549949998</v>
      </c>
      <c r="K1020" t="str">
        <f>""</f>
        <v/>
      </c>
      <c r="L1020">
        <f>1967.965759</f>
        <v>1967.9657589999999</v>
      </c>
      <c r="M1020">
        <f>2258.593799</f>
        <v>2258.5937990000002</v>
      </c>
      <c r="N1020">
        <f>2305.126894</f>
        <v>2305.126894</v>
      </c>
      <c r="O1020">
        <f>2680.287255</f>
        <v>2680.2872550000002</v>
      </c>
    </row>
    <row r="1021" spans="1:15" x14ac:dyDescent="0.25">
      <c r="A1021" t="str">
        <f>"                    Europe Power Generation"</f>
        <v xml:space="preserve">                    Europe Power Generation</v>
      </c>
      <c r="B1021" t="str">
        <f>""</f>
        <v/>
      </c>
      <c r="E1021" t="str">
        <f>"Sum"</f>
        <v>Sum</v>
      </c>
      <c r="F1021">
        <f ca="1">IF(ISERROR(IF(SUM($F$1022:$F$1057) = 0, "", SUM($F$1022:$F$1057))), "", (IF(SUM($F$1022:$F$1057) = 0, "", SUM($F$1022:$F$1057))))</f>
        <v>388.93270486300003</v>
      </c>
      <c r="G1021">
        <f ca="1">IF(ISERROR(IF(SUM($G$1022:$G$1057) = 0, "", SUM($G$1022:$G$1057))), "", (IF(SUM($G$1022:$G$1057) = 0, "", SUM($G$1022:$G$1057))))</f>
        <v>543.88842465300013</v>
      </c>
      <c r="H1021">
        <f ca="1">IF(ISERROR(IF(SUM($H$1022:$H$1057) = 0, "", SUM($H$1022:$H$1057))), "", (IF(SUM($H$1022:$H$1057) = 0, "", SUM($H$1022:$H$1057))))</f>
        <v>485.90731433599996</v>
      </c>
      <c r="I1021">
        <f ca="1">IF(ISERROR(IF(SUM($I$1022:$I$1057) = 0, "", SUM($I$1022:$I$1057))), "", (IF(SUM($I$1022:$I$1057) = 0, "", SUM($I$1022:$I$1057))))</f>
        <v>513.37810615600006</v>
      </c>
      <c r="J1021">
        <f ca="1">IF(ISERROR(IF(SUM($J$1022:$J$1057) = 0, "", SUM($J$1022:$J$1057))), "", (IF(SUM($J$1022:$J$1057) = 0, "", SUM($J$1022:$J$1057))))</f>
        <v>618.42156837799996</v>
      </c>
      <c r="K1021">
        <f>388.9327049</f>
        <v>388.93270489999998</v>
      </c>
      <c r="L1021">
        <f>543.8884246</f>
        <v>543.88842460000001</v>
      </c>
      <c r="M1021">
        <f>485.9073143</f>
        <v>485.9073143</v>
      </c>
      <c r="N1021">
        <f>513.3781062</f>
        <v>513.37810620000005</v>
      </c>
      <c r="O1021">
        <f>618.4215684</f>
        <v>618.42156839999996</v>
      </c>
    </row>
    <row r="1022" spans="1:15" x14ac:dyDescent="0.25">
      <c r="A1022" t="str">
        <f>"                        A2A SpA"</f>
        <v xml:space="preserve">                        A2A SpA</v>
      </c>
      <c r="B1022" t="str">
        <f>"A2A IM Equity"</f>
        <v>A2A IM Equity</v>
      </c>
      <c r="C1022" t="str">
        <f t="shared" ref="C1022:C1057" si="120">"F0946"</f>
        <v>F0946</v>
      </c>
      <c r="D1022" t="str">
        <f t="shared" ref="D1022:D1057" si="121">"TOTAL_GHG_CO2_EMISSIONS"</f>
        <v>TOTAL_GHG_CO2_EMISSIONS</v>
      </c>
      <c r="E1022" t="str">
        <f t="shared" ref="E1022:E1057" si="122">"Dynamic"</f>
        <v>Dynamic</v>
      </c>
      <c r="F1022">
        <f ca="1">IF(AND(ISNUMBER($F$2091),$B$1132=1),$F$2091,HLOOKUP(INDIRECT(ADDRESS(2,COLUMN())),OFFSET($K$2,0,0,ROW()-1,5),ROW()-1,FALSE))</f>
        <v>8.9094999999999995</v>
      </c>
      <c r="G1022">
        <f ca="1">IF(AND(ISNUMBER($G$2091),$B$1132=1),$G$2091,HLOOKUP(INDIRECT(ADDRESS(2,COLUMN())),OFFSET($K$2,0,0,ROW()-1,5),ROW()-1,FALSE))</f>
        <v>7.4061000979999996</v>
      </c>
      <c r="H1022">
        <f ca="1">IF(AND(ISNUMBER($H$2091),$B$1132=1),$H$2091,HLOOKUP(INDIRECT(ADDRESS(2,COLUMN())),OFFSET($K$2,0,0,ROW()-1,5),ROW()-1,FALSE))</f>
        <v>5.9628398440000003</v>
      </c>
      <c r="I1022">
        <f ca="1">IF(AND(ISNUMBER($I$2091),$B$1132=1),$I$2091,HLOOKUP(INDIRECT(ADDRESS(2,COLUMN())),OFFSET($K$2,0,0,ROW()-1,5),ROW()-1,FALSE))</f>
        <v>7.0565698240000003</v>
      </c>
      <c r="J1022">
        <f ca="1">IF(AND(ISNUMBER($J$2091),$B$1132=1),$J$2091,HLOOKUP(INDIRECT(ADDRESS(2,COLUMN())),OFFSET($K$2,0,0,ROW()-1,5),ROW()-1,FALSE))</f>
        <v>7.6012001949999997</v>
      </c>
      <c r="K1022">
        <f>8.9095</f>
        <v>8.9094999999999995</v>
      </c>
      <c r="L1022">
        <f>7.406100098</f>
        <v>7.4061000979999996</v>
      </c>
      <c r="M1022">
        <f>5.962839844</f>
        <v>5.9628398440000003</v>
      </c>
      <c r="N1022">
        <f>7.056569824</f>
        <v>7.0565698240000003</v>
      </c>
      <c r="O1022">
        <f>7.601200195</f>
        <v>7.6012001949999997</v>
      </c>
    </row>
    <row r="1023" spans="1:15" x14ac:dyDescent="0.25">
      <c r="A1023" t="str">
        <f>"                        Acciona SA"</f>
        <v xml:space="preserve">                        Acciona SA</v>
      </c>
      <c r="B1023" t="str">
        <f>"ANA SM Equity"</f>
        <v>ANA SM Equity</v>
      </c>
      <c r="C1023" t="str">
        <f t="shared" si="120"/>
        <v>F0946</v>
      </c>
      <c r="D1023" t="str">
        <f t="shared" si="121"/>
        <v>TOTAL_GHG_CO2_EMISSIONS</v>
      </c>
      <c r="E1023" t="str">
        <f t="shared" si="122"/>
        <v>Dynamic</v>
      </c>
      <c r="F1023">
        <f ca="1">IF(AND(ISNUMBER($F$2092),$B$1132=1),$F$2092,HLOOKUP(INDIRECT(ADDRESS(2,COLUMN())),OFFSET($K$2,0,0,ROW()-1,5),ROW()-1,FALSE))</f>
        <v>0.29938501000000001</v>
      </c>
      <c r="G1023">
        <f ca="1">IF(AND(ISNUMBER($G$2092),$B$1132=1),$G$2092,HLOOKUP(INDIRECT(ADDRESS(2,COLUMN())),OFFSET($K$2,0,0,ROW()-1,5),ROW()-1,FALSE))</f>
        <v>0.30451098599999998</v>
      </c>
      <c r="H1023">
        <f ca="1">IF(AND(ISNUMBER($H$2092),$B$1132=1),$H$2092,HLOOKUP(INDIRECT(ADDRESS(2,COLUMN())),OFFSET($K$2,0,0,ROW()-1,5),ROW()-1,FALSE))</f>
        <v>0.20585699499999999</v>
      </c>
      <c r="I1023">
        <f ca="1">IF(AND(ISNUMBER($I$2092),$B$1132=1),$I$2092,HLOOKUP(INDIRECT(ADDRESS(2,COLUMN())),OFFSET($K$2,0,0,ROW()-1,5),ROW()-1,FALSE))</f>
        <v>0.16600000000000001</v>
      </c>
      <c r="J1023">
        <f ca="1">IF(AND(ISNUMBER($J$2092),$B$1132=1),$J$2092,HLOOKUP(INDIRECT(ADDRESS(2,COLUMN())),OFFSET($K$2,0,0,ROW()-1,5),ROW()-1,FALSE))</f>
        <v>0.438</v>
      </c>
      <c r="K1023">
        <f>0.29938501</f>
        <v>0.29938501000000001</v>
      </c>
      <c r="L1023">
        <f>0.304510986</f>
        <v>0.30451098599999998</v>
      </c>
      <c r="M1023">
        <f>0.205856995</f>
        <v>0.20585699499999999</v>
      </c>
      <c r="N1023">
        <f>0.166</f>
        <v>0.16600000000000001</v>
      </c>
      <c r="O1023">
        <f>0.438</f>
        <v>0.438</v>
      </c>
    </row>
    <row r="1024" spans="1:15" x14ac:dyDescent="0.25">
      <c r="A1024" t="str">
        <f>"                        ACEA SpA"</f>
        <v xml:space="preserve">                        ACEA SpA</v>
      </c>
      <c r="B1024" t="str">
        <f>"ACE IM Equity"</f>
        <v>ACE IM Equity</v>
      </c>
      <c r="C1024" t="str">
        <f t="shared" si="120"/>
        <v>F0946</v>
      </c>
      <c r="D1024" t="str">
        <f t="shared" si="121"/>
        <v>TOTAL_GHG_CO2_EMISSIONS</v>
      </c>
      <c r="E1024" t="str">
        <f t="shared" si="122"/>
        <v>Dynamic</v>
      </c>
      <c r="F1024">
        <f ca="1">IF(AND(ISNUMBER($F$2093),$B$1132=1),$F$2093,HLOOKUP(INDIRECT(ADDRESS(2,COLUMN())),OFFSET($K$2,0,0,ROW()-1,5),ROW()-1,FALSE))</f>
        <v>0.40435198999999999</v>
      </c>
      <c r="G1024">
        <f ca="1">IF(AND(ISNUMBER($G$2093),$B$1132=1),$G$2093,HLOOKUP(INDIRECT(ADDRESS(2,COLUMN())),OFFSET($K$2,0,0,ROW()-1,5),ROW()-1,FALSE))</f>
        <v>0.76522497599999995</v>
      </c>
      <c r="H1024">
        <f ca="1">IF(AND(ISNUMBER($H$2093),$B$1132=1),$H$2093,HLOOKUP(INDIRECT(ADDRESS(2,COLUMN())),OFFSET($K$2,0,0,ROW()-1,5),ROW()-1,FALSE))</f>
        <v>0.76391601600000003</v>
      </c>
      <c r="I1024">
        <f ca="1">IF(AND(ISNUMBER($I$2093),$B$1132=1),$I$2093,HLOOKUP(INDIRECT(ADDRESS(2,COLUMN())),OFFSET($K$2,0,0,ROW()-1,5),ROW()-1,FALSE))</f>
        <v>0.719270996</v>
      </c>
      <c r="J1024">
        <f ca="1">IF(AND(ISNUMBER($J$2093),$B$1132=1),$J$2093,HLOOKUP(INDIRECT(ADDRESS(2,COLUMN())),OFFSET($K$2,0,0,ROW()-1,5),ROW()-1,FALSE))</f>
        <v>0.679869995</v>
      </c>
      <c r="K1024">
        <f>0.40435199</f>
        <v>0.40435198999999999</v>
      </c>
      <c r="L1024">
        <f>0.765224976</f>
        <v>0.76522497599999995</v>
      </c>
      <c r="M1024">
        <f>0.763916016</f>
        <v>0.76391601600000003</v>
      </c>
      <c r="N1024">
        <f>0.719270996</f>
        <v>0.719270996</v>
      </c>
      <c r="O1024">
        <f>0.679869995</f>
        <v>0.679869995</v>
      </c>
    </row>
    <row r="1025" spans="1:15" x14ac:dyDescent="0.25">
      <c r="A1025" t="str">
        <f>"                        BKW AG"</f>
        <v xml:space="preserve">                        BKW AG</v>
      </c>
      <c r="B1025" t="str">
        <f>"BKW SW Equity"</f>
        <v>BKW SW Equity</v>
      </c>
      <c r="C1025" t="str">
        <f t="shared" si="120"/>
        <v>F0946</v>
      </c>
      <c r="D1025" t="str">
        <f t="shared" si="121"/>
        <v>TOTAL_GHG_CO2_EMISSIONS</v>
      </c>
      <c r="E1025" t="str">
        <f t="shared" si="122"/>
        <v>Dynamic</v>
      </c>
      <c r="F1025">
        <f ca="1">IF(AND(ISNUMBER($F$2094),$B$1132=1),$F$2094,HLOOKUP(INDIRECT(ADDRESS(2,COLUMN())),OFFSET($K$2,0,0,ROW()-1,5),ROW()-1,FALSE))</f>
        <v>2.4358000000000001E-2</v>
      </c>
      <c r="G1025" t="str">
        <f ca="1">IF(AND(ISNUMBER($G$2094),$B$1132=1),$G$2094,HLOOKUP(INDIRECT(ADDRESS(2,COLUMN())),OFFSET($K$2,0,0,ROW()-1,5),ROW()-1,FALSE))</f>
        <v/>
      </c>
      <c r="H1025" t="str">
        <f ca="1">IF(AND(ISNUMBER($H$2094),$B$1132=1),$H$2094,HLOOKUP(INDIRECT(ADDRESS(2,COLUMN())),OFFSET($K$2,0,0,ROW()-1,5),ROW()-1,FALSE))</f>
        <v/>
      </c>
      <c r="I1025" t="str">
        <f ca="1">IF(AND(ISNUMBER($I$2094),$B$1132=1),$I$2094,HLOOKUP(INDIRECT(ADDRESS(2,COLUMN())),OFFSET($K$2,0,0,ROW()-1,5),ROW()-1,FALSE))</f>
        <v/>
      </c>
      <c r="J1025" t="str">
        <f ca="1">IF(AND(ISNUMBER($J$2094),$B$1132=1),$J$2094,HLOOKUP(INDIRECT(ADDRESS(2,COLUMN())),OFFSET($K$2,0,0,ROW()-1,5),ROW()-1,FALSE))</f>
        <v/>
      </c>
      <c r="K1025">
        <f>0.024358</f>
        <v>2.4358000000000001E-2</v>
      </c>
      <c r="L1025" t="str">
        <f>""</f>
        <v/>
      </c>
      <c r="M1025" t="str">
        <f>""</f>
        <v/>
      </c>
      <c r="N1025" t="str">
        <f>""</f>
        <v/>
      </c>
      <c r="O1025" t="str">
        <f>""</f>
        <v/>
      </c>
    </row>
    <row r="1026" spans="1:15" x14ac:dyDescent="0.25">
      <c r="A1026" t="str">
        <f>"                        Centrica PLC"</f>
        <v xml:space="preserve">                        Centrica PLC</v>
      </c>
      <c r="B1026" t="str">
        <f>"CNA LN Equity"</f>
        <v>CNA LN Equity</v>
      </c>
      <c r="C1026" t="str">
        <f t="shared" si="120"/>
        <v>F0946</v>
      </c>
      <c r="D1026" t="str">
        <f t="shared" si="121"/>
        <v>TOTAL_GHG_CO2_EMISSIONS</v>
      </c>
      <c r="E1026" t="str">
        <f t="shared" si="122"/>
        <v>Dynamic</v>
      </c>
      <c r="F1026">
        <f ca="1">IF(AND(ISNUMBER($F$2095),$B$1132=1),$F$2095,HLOOKUP(INDIRECT(ADDRESS(2,COLUMN())),OFFSET($K$2,0,0,ROW()-1,5),ROW()-1,FALSE))</f>
        <v>2.010410034</v>
      </c>
      <c r="G1026">
        <f ca="1">IF(AND(ISNUMBER($G$2095),$B$1132=1),$G$2095,HLOOKUP(INDIRECT(ADDRESS(2,COLUMN())),OFFSET($K$2,0,0,ROW()-1,5),ROW()-1,FALSE))</f>
        <v>0.23611900299999999</v>
      </c>
      <c r="H1026">
        <f ca="1">IF(AND(ISNUMBER($H$2095),$B$1132=1),$H$2095,HLOOKUP(INDIRECT(ADDRESS(2,COLUMN())),OFFSET($K$2,0,0,ROW()-1,5),ROW()-1,FALSE))</f>
        <v>1.9257500000000001</v>
      </c>
      <c r="I1026">
        <f ca="1">IF(AND(ISNUMBER($I$2095),$B$1132=1),$I$2095,HLOOKUP(INDIRECT(ADDRESS(2,COLUMN())),OFFSET($K$2,0,0,ROW()-1,5),ROW()-1,FALSE))</f>
        <v>2.2835100100000001</v>
      </c>
      <c r="J1026">
        <f ca="1">IF(AND(ISNUMBER($J$2095),$B$1132=1),$J$2095,HLOOKUP(INDIRECT(ADDRESS(2,COLUMN())),OFFSET($K$2,0,0,ROW()-1,5),ROW()-1,FALSE))</f>
        <v>1.737119995</v>
      </c>
      <c r="K1026">
        <f>2.010410034</f>
        <v>2.010410034</v>
      </c>
      <c r="L1026">
        <f>0.236119003</f>
        <v>0.23611900299999999</v>
      </c>
      <c r="M1026">
        <f>1.92575</f>
        <v>1.9257500000000001</v>
      </c>
      <c r="N1026">
        <f>2.28351001</f>
        <v>2.2835100100000001</v>
      </c>
      <c r="O1026">
        <f>1.737119995</f>
        <v>1.737119995</v>
      </c>
    </row>
    <row r="1027" spans="1:15" x14ac:dyDescent="0.25">
      <c r="A1027" t="str">
        <f>"                        CEZ AS"</f>
        <v xml:space="preserve">                        CEZ AS</v>
      </c>
      <c r="B1027" t="str">
        <f>"CEZ CP Equity"</f>
        <v>CEZ CP Equity</v>
      </c>
      <c r="C1027" t="str">
        <f t="shared" si="120"/>
        <v>F0946</v>
      </c>
      <c r="D1027" t="str">
        <f t="shared" si="121"/>
        <v>TOTAL_GHG_CO2_EMISSIONS</v>
      </c>
      <c r="E1027" t="str">
        <f t="shared" si="122"/>
        <v>Dynamic</v>
      </c>
      <c r="F1027">
        <f ca="1">IF(AND(ISNUMBER($F$2096),$B$1132=1),$F$2096,HLOOKUP(INDIRECT(ADDRESS(2,COLUMN())),OFFSET($K$2,0,0,ROW()-1,5),ROW()-1,FALSE))</f>
        <v>18.161099610000001</v>
      </c>
      <c r="G1027">
        <f ca="1">IF(AND(ISNUMBER($G$2096),$B$1132=1),$G$2096,HLOOKUP(INDIRECT(ADDRESS(2,COLUMN())),OFFSET($K$2,0,0,ROW()-1,5),ROW()-1,FALSE))</f>
        <v>19.137199219999999</v>
      </c>
      <c r="H1027">
        <f ca="1">IF(AND(ISNUMBER($H$2096),$B$1132=1),$H$2096,HLOOKUP(INDIRECT(ADDRESS(2,COLUMN())),OFFSET($K$2,0,0,ROW()-1,5),ROW()-1,FALSE))</f>
        <v>25.065900389999999</v>
      </c>
      <c r="I1027" t="str">
        <f ca="1">IF(AND(ISNUMBER($I$2096),$B$1132=1),$I$2096,HLOOKUP(INDIRECT(ADDRESS(2,COLUMN())),OFFSET($K$2,0,0,ROW()-1,5),ROW()-1,FALSE))</f>
        <v/>
      </c>
      <c r="J1027" t="str">
        <f ca="1">IF(AND(ISNUMBER($J$2096),$B$1132=1),$J$2096,HLOOKUP(INDIRECT(ADDRESS(2,COLUMN())),OFFSET($K$2,0,0,ROW()-1,5),ROW()-1,FALSE))</f>
        <v/>
      </c>
      <c r="K1027">
        <f>18.16109961</f>
        <v>18.161099610000001</v>
      </c>
      <c r="L1027">
        <f>19.13719922</f>
        <v>19.137199219999999</v>
      </c>
      <c r="M1027">
        <f>25.06590039</f>
        <v>25.065900389999999</v>
      </c>
      <c r="N1027" t="str">
        <f>""</f>
        <v/>
      </c>
      <c r="O1027" t="str">
        <f>""</f>
        <v/>
      </c>
    </row>
    <row r="1028" spans="1:15" x14ac:dyDescent="0.25">
      <c r="A1028" t="str">
        <f>"                        Drax Group PLC"</f>
        <v xml:space="preserve">                        Drax Group PLC</v>
      </c>
      <c r="B1028" t="str">
        <f>"DRX LN Equity"</f>
        <v>DRX LN Equity</v>
      </c>
      <c r="C1028" t="str">
        <f t="shared" si="120"/>
        <v>F0946</v>
      </c>
      <c r="D1028" t="str">
        <f t="shared" si="121"/>
        <v>TOTAL_GHG_CO2_EMISSIONS</v>
      </c>
      <c r="E1028" t="str">
        <f t="shared" si="122"/>
        <v>Dynamic</v>
      </c>
      <c r="F1028">
        <f ca="1">IF(AND(ISNUMBER($F$2097),$B$1132=1),$F$2097,HLOOKUP(INDIRECT(ADDRESS(2,COLUMN())),OFFSET($K$2,0,0,ROW()-1,5),ROW()-1,FALSE))</f>
        <v>0.66900000000000004</v>
      </c>
      <c r="G1028">
        <f ca="1">IF(AND(ISNUMBER($G$2097),$B$1132=1),$G$2097,HLOOKUP(INDIRECT(ADDRESS(2,COLUMN())),OFFSET($K$2,0,0,ROW()-1,5),ROW()-1,FALSE))</f>
        <v>1.2549999999999999</v>
      </c>
      <c r="H1028">
        <f ca="1">IF(AND(ISNUMBER($H$2097),$B$1132=1),$H$2097,HLOOKUP(INDIRECT(ADDRESS(2,COLUMN())),OFFSET($K$2,0,0,ROW()-1,5),ROW()-1,FALSE))</f>
        <v>3.08</v>
      </c>
      <c r="I1028">
        <f ca="1">IF(AND(ISNUMBER($I$2097),$B$1132=1),$I$2097,HLOOKUP(INDIRECT(ADDRESS(2,COLUMN())),OFFSET($K$2,0,0,ROW()-1,5),ROW()-1,FALSE))</f>
        <v>2.371</v>
      </c>
      <c r="J1028">
        <f ca="1">IF(AND(ISNUMBER($J$2097),$B$1132=1),$J$2097,HLOOKUP(INDIRECT(ADDRESS(2,COLUMN())),OFFSET($K$2,0,0,ROW()-1,5),ROW()-1,FALSE))</f>
        <v>4.484</v>
      </c>
      <c r="K1028">
        <f>0.669</f>
        <v>0.66900000000000004</v>
      </c>
      <c r="L1028">
        <f>1.255</f>
        <v>1.2549999999999999</v>
      </c>
      <c r="M1028">
        <f>3.08</f>
        <v>3.08</v>
      </c>
      <c r="N1028">
        <f>2.371</f>
        <v>2.371</v>
      </c>
      <c r="O1028">
        <f>4.484</f>
        <v>4.484</v>
      </c>
    </row>
    <row r="1029" spans="1:15" x14ac:dyDescent="0.25">
      <c r="A1029" t="str">
        <f>"                        EDP Renovaveis SA"</f>
        <v xml:space="preserve">                        EDP Renovaveis SA</v>
      </c>
      <c r="B1029" t="str">
        <f>"EDPR PL Equity"</f>
        <v>EDPR PL Equity</v>
      </c>
      <c r="C1029" t="str">
        <f t="shared" si="120"/>
        <v>F0946</v>
      </c>
      <c r="D1029" t="str">
        <f t="shared" si="121"/>
        <v>TOTAL_GHG_CO2_EMISSIONS</v>
      </c>
      <c r="E1029" t="str">
        <f t="shared" si="122"/>
        <v>Dynamic</v>
      </c>
      <c r="F1029">
        <f ca="1">IF(AND(ISNUMBER($F$2098),$B$1132=1),$F$2098,HLOOKUP(INDIRECT(ADDRESS(2,COLUMN())),OFFSET($K$2,0,0,ROW()-1,5),ROW()-1,FALSE))</f>
        <v>3.083E-2</v>
      </c>
      <c r="G1029">
        <f ca="1">IF(AND(ISNUMBER($G$2098),$B$1132=1),$G$2098,HLOOKUP(INDIRECT(ADDRESS(2,COLUMN())),OFFSET($K$2,0,0,ROW()-1,5),ROW()-1,FALSE))</f>
        <v>2.9825999999999998E-2</v>
      </c>
      <c r="H1029">
        <f ca="1">IF(AND(ISNUMBER($H$2098),$B$1132=1),$H$2098,HLOOKUP(INDIRECT(ADDRESS(2,COLUMN())),OFFSET($K$2,0,0,ROW()-1,5),ROW()-1,FALSE))</f>
        <v>3.0834998999999998E-2</v>
      </c>
      <c r="I1029">
        <f ca="1">IF(AND(ISNUMBER($I$2098),$B$1132=1),$I$2098,HLOOKUP(INDIRECT(ADDRESS(2,COLUMN())),OFFSET($K$2,0,0,ROW()-1,5),ROW()-1,FALSE))</f>
        <v>2.8809000000000001E-2</v>
      </c>
      <c r="J1029">
        <f ca="1">IF(AND(ISNUMBER($J$2098),$B$1132=1),$J$2098,HLOOKUP(INDIRECT(ADDRESS(2,COLUMN())),OFFSET($K$2,0,0,ROW()-1,5),ROW()-1,FALSE))</f>
        <v>3.2727000999999999E-2</v>
      </c>
      <c r="K1029">
        <f>0.03083</f>
        <v>3.083E-2</v>
      </c>
      <c r="L1029">
        <f>0.029826</f>
        <v>2.9825999999999998E-2</v>
      </c>
      <c r="M1029">
        <f>0.030834999</f>
        <v>3.0834998999999998E-2</v>
      </c>
      <c r="N1029">
        <f>0.028809</f>
        <v>2.8809000000000001E-2</v>
      </c>
      <c r="O1029">
        <f>0.032727001</f>
        <v>3.2727000999999999E-2</v>
      </c>
    </row>
    <row r="1030" spans="1:15" x14ac:dyDescent="0.25">
      <c r="A1030" t="str">
        <f>"                        Encavis AG"</f>
        <v xml:space="preserve">                        Encavis AG</v>
      </c>
      <c r="B1030" t="str">
        <f>"ECV GR Equity"</f>
        <v>ECV GR Equity</v>
      </c>
      <c r="C1030" t="str">
        <f t="shared" si="120"/>
        <v>F0946</v>
      </c>
      <c r="D1030" t="str">
        <f t="shared" si="121"/>
        <v>TOTAL_GHG_CO2_EMISSIONS</v>
      </c>
      <c r="E1030" t="str">
        <f t="shared" si="122"/>
        <v>Dynamic</v>
      </c>
      <c r="F1030" t="str">
        <f ca="1">IF(AND(ISNUMBER($F$2099),$B$1132=1),$F$2099,HLOOKUP(INDIRECT(ADDRESS(2,COLUMN())),OFFSET($K$2,0,0,ROW()-1,5),ROW()-1,FALSE))</f>
        <v/>
      </c>
      <c r="G1030" t="str">
        <f ca="1">IF(AND(ISNUMBER($G$2099),$B$1132=1),$G$2099,HLOOKUP(INDIRECT(ADDRESS(2,COLUMN())),OFFSET($K$2,0,0,ROW()-1,5),ROW()-1,FALSE))</f>
        <v/>
      </c>
      <c r="H1030" t="str">
        <f ca="1">IF(AND(ISNUMBER($H$2099),$B$1132=1),$H$2099,HLOOKUP(INDIRECT(ADDRESS(2,COLUMN())),OFFSET($K$2,0,0,ROW()-1,5),ROW()-1,FALSE))</f>
        <v/>
      </c>
      <c r="I1030" t="str">
        <f ca="1">IF(AND(ISNUMBER($I$2099),$B$1132=1),$I$2099,HLOOKUP(INDIRECT(ADDRESS(2,COLUMN())),OFFSET($K$2,0,0,ROW()-1,5),ROW()-1,FALSE))</f>
        <v/>
      </c>
      <c r="J1030" t="str">
        <f ca="1">IF(AND(ISNUMBER($J$2099),$B$1132=1),$J$2099,HLOOKUP(INDIRECT(ADDRESS(2,COLUMN())),OFFSET($K$2,0,0,ROW()-1,5),ROW()-1,FALSE))</f>
        <v/>
      </c>
      <c r="K1030" t="str">
        <f>""</f>
        <v/>
      </c>
      <c r="L1030" t="str">
        <f>""</f>
        <v/>
      </c>
      <c r="M1030" t="str">
        <f>""</f>
        <v/>
      </c>
      <c r="N1030" t="str">
        <f>""</f>
        <v/>
      </c>
      <c r="O1030" t="str">
        <f>""</f>
        <v/>
      </c>
    </row>
    <row r="1031" spans="1:15" x14ac:dyDescent="0.25">
      <c r="A1031" t="str">
        <f>"                        Endesa SA"</f>
        <v xml:space="preserve">                        Endesa SA</v>
      </c>
      <c r="B1031" t="str">
        <f>"ELE SM Equity"</f>
        <v>ELE SM Equity</v>
      </c>
      <c r="C1031" t="str">
        <f t="shared" si="120"/>
        <v>F0946</v>
      </c>
      <c r="D1031" t="str">
        <f t="shared" si="121"/>
        <v>TOTAL_GHG_CO2_EMISSIONS</v>
      </c>
      <c r="E1031" t="str">
        <f t="shared" si="122"/>
        <v>Dynamic</v>
      </c>
      <c r="F1031" t="str">
        <f ca="1">IF(AND(ISNUMBER($F$2100),$B$1132=1),$F$2100,HLOOKUP(INDIRECT(ADDRESS(2,COLUMN())),OFFSET($K$2,0,0,ROW()-1,5),ROW()-1,FALSE))</f>
        <v/>
      </c>
      <c r="G1031">
        <f ca="1">IF(AND(ISNUMBER($G$2100),$B$1132=1),$G$2100,HLOOKUP(INDIRECT(ADDRESS(2,COLUMN())),OFFSET($K$2,0,0,ROW()-1,5),ROW()-1,FALSE))</f>
        <v>11.2457998</v>
      </c>
      <c r="H1031">
        <f ca="1">IF(AND(ISNUMBER($H$2100),$B$1132=1),$H$2100,HLOOKUP(INDIRECT(ADDRESS(2,COLUMN())),OFFSET($K$2,0,0,ROW()-1,5),ROW()-1,FALSE))</f>
        <v>10.811700200000001</v>
      </c>
      <c r="I1031">
        <f ca="1">IF(AND(ISNUMBER($I$2100),$B$1132=1),$I$2100,HLOOKUP(INDIRECT(ADDRESS(2,COLUMN())),OFFSET($K$2,0,0,ROW()-1,5),ROW()-1,FALSE))</f>
        <v>18.194500000000001</v>
      </c>
      <c r="J1031">
        <f ca="1">IF(AND(ISNUMBER($J$2100),$B$1132=1),$J$2100,HLOOKUP(INDIRECT(ADDRESS(2,COLUMN())),OFFSET($K$2,0,0,ROW()-1,5),ROW()-1,FALSE))</f>
        <v>32.668500000000002</v>
      </c>
      <c r="K1031" t="str">
        <f>""</f>
        <v/>
      </c>
      <c r="L1031">
        <f>11.2457998</f>
        <v>11.2457998</v>
      </c>
      <c r="M1031">
        <f>10.8117002</f>
        <v>10.811700200000001</v>
      </c>
      <c r="N1031">
        <f>18.1945</f>
        <v>18.194500000000001</v>
      </c>
      <c r="O1031">
        <f>32.6685</f>
        <v>32.668500000000002</v>
      </c>
    </row>
    <row r="1032" spans="1:15" x14ac:dyDescent="0.25">
      <c r="A1032" t="str">
        <f>"                        Enea SA"</f>
        <v xml:space="preserve">                        Enea SA</v>
      </c>
      <c r="B1032" t="str">
        <f>"ENA PW Equity"</f>
        <v>ENA PW Equity</v>
      </c>
      <c r="C1032" t="str">
        <f t="shared" si="120"/>
        <v>F0946</v>
      </c>
      <c r="D1032" t="str">
        <f t="shared" si="121"/>
        <v>TOTAL_GHG_CO2_EMISSIONS</v>
      </c>
      <c r="E1032" t="str">
        <f t="shared" si="122"/>
        <v>Dynamic</v>
      </c>
      <c r="F1032">
        <f ca="1">IF(AND(ISNUMBER($F$2101),$B$1132=1),$F$2101,HLOOKUP(INDIRECT(ADDRESS(2,COLUMN())),OFFSET($K$2,0,0,ROW()-1,5),ROW()-1,FALSE))</f>
        <v>23.392300779999999</v>
      </c>
      <c r="G1032">
        <f ca="1">IF(AND(ISNUMBER($G$2101),$B$1132=1),$G$2101,HLOOKUP(INDIRECT(ADDRESS(2,COLUMN())),OFFSET($K$2,0,0,ROW()-1,5),ROW()-1,FALSE))</f>
        <v>22.708400390000001</v>
      </c>
      <c r="H1032">
        <f ca="1">IF(AND(ISNUMBER($H$2101),$B$1132=1),$H$2101,HLOOKUP(INDIRECT(ADDRESS(2,COLUMN())),OFFSET($K$2,0,0,ROW()-1,5),ROW()-1,FALSE))</f>
        <v>18.671300779999999</v>
      </c>
      <c r="I1032">
        <f ca="1">IF(AND(ISNUMBER($I$2101),$B$1132=1),$I$2101,HLOOKUP(INDIRECT(ADDRESS(2,COLUMN())),OFFSET($K$2,0,0,ROW()-1,5),ROW()-1,FALSE))</f>
        <v>21.64759961</v>
      </c>
      <c r="J1032">
        <f ca="1">IF(AND(ISNUMBER($J$2101),$B$1132=1),$J$2101,HLOOKUP(INDIRECT(ADDRESS(2,COLUMN())),OFFSET($K$2,0,0,ROW()-1,5),ROW()-1,FALSE))</f>
        <v>14.365299800000001</v>
      </c>
      <c r="K1032">
        <f>23.39230078</f>
        <v>23.392300779999999</v>
      </c>
      <c r="L1032">
        <f>22.70840039</f>
        <v>22.708400390000001</v>
      </c>
      <c r="M1032">
        <f>18.67130078</f>
        <v>18.671300779999999</v>
      </c>
      <c r="N1032">
        <f>21.64759961</f>
        <v>21.64759961</v>
      </c>
      <c r="O1032">
        <f>14.3652998</f>
        <v>14.365299800000001</v>
      </c>
    </row>
    <row r="1033" spans="1:15" x14ac:dyDescent="0.25">
      <c r="A1033" t="str">
        <f>"                        Enel SpA"</f>
        <v xml:space="preserve">                        Enel SpA</v>
      </c>
      <c r="B1033" t="str">
        <f>"ENEL IM Equity"</f>
        <v>ENEL IM Equity</v>
      </c>
      <c r="C1033" t="str">
        <f t="shared" si="120"/>
        <v>F0946</v>
      </c>
      <c r="D1033" t="str">
        <f t="shared" si="121"/>
        <v>TOTAL_GHG_CO2_EMISSIONS</v>
      </c>
      <c r="E1033" t="str">
        <f t="shared" si="122"/>
        <v>Dynamic</v>
      </c>
      <c r="F1033">
        <f ca="1">IF(AND(ISNUMBER($F$2102),$B$1132=1),$F$2102,HLOOKUP(INDIRECT(ADDRESS(2,COLUMN())),OFFSET($K$2,0,0,ROW()-1,5),ROW()-1,FALSE))</f>
        <v>57.1</v>
      </c>
      <c r="G1033">
        <f ca="1">IF(AND(ISNUMBER($G$2102),$B$1132=1),$G$2102,HLOOKUP(INDIRECT(ADDRESS(2,COLUMN())),OFFSET($K$2,0,0,ROW()-1,5),ROW()-1,FALSE))</f>
        <v>55.873398440000003</v>
      </c>
      <c r="H1033">
        <f ca="1">IF(AND(ISNUMBER($H$2102),$B$1132=1),$H$2102,HLOOKUP(INDIRECT(ADDRESS(2,COLUMN())),OFFSET($K$2,0,0,ROW()-1,5),ROW()-1,FALSE))</f>
        <v>50.25</v>
      </c>
      <c r="I1033">
        <f ca="1">IF(AND(ISNUMBER($I$2102),$B$1132=1),$I$2102,HLOOKUP(INDIRECT(ADDRESS(2,COLUMN())),OFFSET($K$2,0,0,ROW()-1,5),ROW()-1,FALSE))</f>
        <v>75.349999999999994</v>
      </c>
      <c r="J1033">
        <f ca="1">IF(AND(ISNUMBER($J$2102),$B$1132=1),$J$2102,HLOOKUP(INDIRECT(ADDRESS(2,COLUMN())),OFFSET($K$2,0,0,ROW()-1,5),ROW()-1,FALSE))</f>
        <v>95.89</v>
      </c>
      <c r="K1033">
        <f>57.1</f>
        <v>57.1</v>
      </c>
      <c r="L1033">
        <f>55.87339844</f>
        <v>55.873398440000003</v>
      </c>
      <c r="M1033">
        <f>50.25</f>
        <v>50.25</v>
      </c>
      <c r="N1033">
        <f>75.35</f>
        <v>75.349999999999994</v>
      </c>
      <c r="O1033">
        <f>95.89</f>
        <v>95.89</v>
      </c>
    </row>
    <row r="1034" spans="1:15" x14ac:dyDescent="0.25">
      <c r="A1034" t="str">
        <f>"                        EDP - Energias de Portugal SA"</f>
        <v xml:space="preserve">                        EDP - Energias de Portugal SA</v>
      </c>
      <c r="B1034" t="str">
        <f>"EDP PL Equity"</f>
        <v>EDP PL Equity</v>
      </c>
      <c r="C1034" t="str">
        <f t="shared" si="120"/>
        <v>F0946</v>
      </c>
      <c r="D1034" t="str">
        <f t="shared" si="121"/>
        <v>TOTAL_GHG_CO2_EMISSIONS</v>
      </c>
      <c r="E1034" t="str">
        <f t="shared" si="122"/>
        <v>Dynamic</v>
      </c>
      <c r="F1034" t="str">
        <f ca="1">IF(AND(ISNUMBER($F$2103),$B$1132=1),$F$2103,HLOOKUP(INDIRECT(ADDRESS(2,COLUMN())),OFFSET($K$2,0,0,ROW()-1,5),ROW()-1,FALSE))</f>
        <v/>
      </c>
      <c r="G1034">
        <f ca="1">IF(AND(ISNUMBER($G$2103),$B$1132=1),$G$2103,HLOOKUP(INDIRECT(ADDRESS(2,COLUMN())),OFFSET($K$2,0,0,ROW()-1,5),ROW()-1,FALSE))</f>
        <v>10.61</v>
      </c>
      <c r="H1034">
        <f ca="1">IF(AND(ISNUMBER($H$2103),$B$1132=1),$H$2103,HLOOKUP(INDIRECT(ADDRESS(2,COLUMN())),OFFSET($K$2,0,0,ROW()-1,5),ROW()-1,FALSE))</f>
        <v>9.9050097659999992</v>
      </c>
      <c r="I1034">
        <f ca="1">IF(AND(ISNUMBER($I$2103),$B$1132=1),$I$2103,HLOOKUP(INDIRECT(ADDRESS(2,COLUMN())),OFFSET($K$2,0,0,ROW()-1,5),ROW()-1,FALSE))</f>
        <v>15.20890039</v>
      </c>
      <c r="J1034">
        <f ca="1">IF(AND(ISNUMBER($J$2103),$B$1132=1),$J$2103,HLOOKUP(INDIRECT(ADDRESS(2,COLUMN())),OFFSET($K$2,0,0,ROW()-1,5),ROW()-1,FALSE))</f>
        <v>19.031099609999998</v>
      </c>
      <c r="K1034" t="str">
        <f>""</f>
        <v/>
      </c>
      <c r="L1034">
        <f>10.61</f>
        <v>10.61</v>
      </c>
      <c r="M1034">
        <f>9.905009766</f>
        <v>9.9050097659999992</v>
      </c>
      <c r="N1034">
        <f>15.20890039</f>
        <v>15.20890039</v>
      </c>
      <c r="O1034">
        <f>19.03109961</f>
        <v>19.031099609999998</v>
      </c>
    </row>
    <row r="1035" spans="1:15" x14ac:dyDescent="0.25">
      <c r="A1035" t="str">
        <f>"                        Energiedienst Holding AG"</f>
        <v xml:space="preserve">                        Energiedienst Holding AG</v>
      </c>
      <c r="B1035" t="str">
        <f>"EDHN SW Equity"</f>
        <v>EDHN SW Equity</v>
      </c>
      <c r="C1035" t="str">
        <f t="shared" si="120"/>
        <v>F0946</v>
      </c>
      <c r="D1035" t="str">
        <f t="shared" si="121"/>
        <v>TOTAL_GHG_CO2_EMISSIONS</v>
      </c>
      <c r="E1035" t="str">
        <f t="shared" si="122"/>
        <v>Dynamic</v>
      </c>
      <c r="F1035">
        <f ca="1">IF(AND(ISNUMBER($F$2104),$B$1132=1),$F$2104,HLOOKUP(INDIRECT(ADDRESS(2,COLUMN())),OFFSET($K$2,0,0,ROW()-1,5),ROW()-1,FALSE))</f>
        <v>3.5689999E-2</v>
      </c>
      <c r="G1035">
        <f ca="1">IF(AND(ISNUMBER($G$2104),$B$1132=1),$G$2104,HLOOKUP(INDIRECT(ADDRESS(2,COLUMN())),OFFSET($K$2,0,0,ROW()-1,5),ROW()-1,FALSE))</f>
        <v>4.0742001E-2</v>
      </c>
      <c r="H1035" t="str">
        <f ca="1">IF(AND(ISNUMBER($H$2104),$B$1132=1),$H$2104,HLOOKUP(INDIRECT(ADDRESS(2,COLUMN())),OFFSET($K$2,0,0,ROW()-1,5),ROW()-1,FALSE))</f>
        <v/>
      </c>
      <c r="I1035" t="str">
        <f ca="1">IF(AND(ISNUMBER($I$2104),$B$1132=1),$I$2104,HLOOKUP(INDIRECT(ADDRESS(2,COLUMN())),OFFSET($K$2,0,0,ROW()-1,5),ROW()-1,FALSE))</f>
        <v/>
      </c>
      <c r="J1035" t="str">
        <f ca="1">IF(AND(ISNUMBER($J$2104),$B$1132=1),$J$2104,HLOOKUP(INDIRECT(ADDRESS(2,COLUMN())),OFFSET($K$2,0,0,ROW()-1,5),ROW()-1,FALSE))</f>
        <v/>
      </c>
      <c r="K1035">
        <f>0.035689999</f>
        <v>3.5689999E-2</v>
      </c>
      <c r="L1035">
        <f>0.040742001</f>
        <v>4.0742001E-2</v>
      </c>
      <c r="M1035" t="str">
        <f>""</f>
        <v/>
      </c>
      <c r="N1035" t="str">
        <f>""</f>
        <v/>
      </c>
      <c r="O1035" t="str">
        <f>""</f>
        <v/>
      </c>
    </row>
    <row r="1036" spans="1:15" x14ac:dyDescent="0.25">
      <c r="A1036" t="str">
        <f>"                        Electricite de France SA"</f>
        <v xml:space="preserve">                        Electricite de France SA</v>
      </c>
      <c r="B1036" t="str">
        <f>"EDF FP Equity"</f>
        <v>EDF FP Equity</v>
      </c>
      <c r="C1036" t="str">
        <f t="shared" si="120"/>
        <v>F0946</v>
      </c>
      <c r="D1036" t="str">
        <f t="shared" si="121"/>
        <v>TOTAL_GHG_CO2_EMISSIONS</v>
      </c>
      <c r="E1036" t="str">
        <f t="shared" si="122"/>
        <v>Dynamic</v>
      </c>
      <c r="F1036">
        <f ca="1">IF(AND(ISNUMBER($F$2105),$B$1132=1),$F$2105,HLOOKUP(INDIRECT(ADDRESS(2,COLUMN())),OFFSET($K$2,0,0,ROW()-1,5),ROW()-1,FALSE))</f>
        <v>24.39</v>
      </c>
      <c r="G1036">
        <f ca="1">IF(AND(ISNUMBER($G$2105),$B$1132=1),$G$2105,HLOOKUP(INDIRECT(ADDRESS(2,COLUMN())),OFFSET($K$2,0,0,ROW()-1,5),ROW()-1,FALSE))</f>
        <v>27.67</v>
      </c>
      <c r="H1036">
        <f ca="1">IF(AND(ISNUMBER($H$2105),$B$1132=1),$H$2105,HLOOKUP(INDIRECT(ADDRESS(2,COLUMN())),OFFSET($K$2,0,0,ROW()-1,5),ROW()-1,FALSE))</f>
        <v>28.011800780000002</v>
      </c>
      <c r="I1036">
        <f ca="1">IF(AND(ISNUMBER($I$2105),$B$1132=1),$I$2105,HLOOKUP(INDIRECT(ADDRESS(2,COLUMN())),OFFSET($K$2,0,0,ROW()-1,5),ROW()-1,FALSE))</f>
        <v>33.3795</v>
      </c>
      <c r="J1036">
        <f ca="1">IF(AND(ISNUMBER($J$2105),$B$1132=1),$J$2105,HLOOKUP(INDIRECT(ADDRESS(2,COLUMN())),OFFSET($K$2,0,0,ROW()-1,5),ROW()-1,FALSE))</f>
        <v>36.169800780000003</v>
      </c>
      <c r="K1036">
        <f>24.39</f>
        <v>24.39</v>
      </c>
      <c r="L1036">
        <f>27.67</f>
        <v>27.67</v>
      </c>
      <c r="M1036">
        <f>28.01180078</f>
        <v>28.011800780000002</v>
      </c>
      <c r="N1036">
        <f>33.3795</f>
        <v>33.3795</v>
      </c>
      <c r="O1036">
        <f>36.16980078</f>
        <v>36.169800780000003</v>
      </c>
    </row>
    <row r="1037" spans="1:15" x14ac:dyDescent="0.25">
      <c r="A1037" t="str">
        <f>"                        Engie SA"</f>
        <v xml:space="preserve">                        Engie SA</v>
      </c>
      <c r="B1037" t="str">
        <f>"ENGI FP Equity"</f>
        <v>ENGI FP Equity</v>
      </c>
      <c r="C1037" t="str">
        <f t="shared" si="120"/>
        <v>F0946</v>
      </c>
      <c r="D1037" t="str">
        <f t="shared" si="121"/>
        <v>TOTAL_GHG_CO2_EMISSIONS</v>
      </c>
      <c r="E1037" t="str">
        <f t="shared" si="122"/>
        <v>Dynamic</v>
      </c>
      <c r="F1037">
        <f ca="1">IF(AND(ISNUMBER($F$2106),$B$1132=1),$F$2106,HLOOKUP(INDIRECT(ADDRESS(2,COLUMN())),OFFSET($K$2,0,0,ROW()-1,5),ROW()-1,FALSE))</f>
        <v>30.584</v>
      </c>
      <c r="G1037">
        <f ca="1">IF(AND(ISNUMBER($G$2106),$B$1132=1),$G$2106,HLOOKUP(INDIRECT(ADDRESS(2,COLUMN())),OFFSET($K$2,0,0,ROW()-1,5),ROW()-1,FALSE))</f>
        <v>39.451398439999998</v>
      </c>
      <c r="H1037">
        <f ca="1">IF(AND(ISNUMBER($H$2106),$B$1132=1),$H$2106,HLOOKUP(INDIRECT(ADDRESS(2,COLUMN())),OFFSET($K$2,0,0,ROW()-1,5),ROW()-1,FALSE))</f>
        <v>40.919601559999997</v>
      </c>
      <c r="I1037">
        <f ca="1">IF(AND(ISNUMBER($I$2106),$B$1132=1),$I$2106,HLOOKUP(INDIRECT(ADDRESS(2,COLUMN())),OFFSET($K$2,0,0,ROW()-1,5),ROW()-1,FALSE))</f>
        <v>56.470800779999998</v>
      </c>
      <c r="J1037">
        <f ca="1">IF(AND(ISNUMBER($J$2106),$B$1132=1),$J$2106,HLOOKUP(INDIRECT(ADDRESS(2,COLUMN())),OFFSET($K$2,0,0,ROW()-1,5),ROW()-1,FALSE))</f>
        <v>69.201999999999998</v>
      </c>
      <c r="K1037">
        <f>30.584</f>
        <v>30.584</v>
      </c>
      <c r="L1037">
        <f>39.45139844</f>
        <v>39.451398439999998</v>
      </c>
      <c r="M1037">
        <f>40.91960156</f>
        <v>40.919601559999997</v>
      </c>
      <c r="N1037">
        <f>56.47080078</f>
        <v>56.470800779999998</v>
      </c>
      <c r="O1037">
        <f>69.202</f>
        <v>69.201999999999998</v>
      </c>
    </row>
    <row r="1038" spans="1:15" x14ac:dyDescent="0.25">
      <c r="A1038" t="str">
        <f>"                        EVN AG"</f>
        <v xml:space="preserve">                        EVN AG</v>
      </c>
      <c r="B1038" t="str">
        <f>"EVN AV Equity"</f>
        <v>EVN AV Equity</v>
      </c>
      <c r="C1038" t="str">
        <f t="shared" si="120"/>
        <v>F0946</v>
      </c>
      <c r="D1038" t="str">
        <f t="shared" si="121"/>
        <v>TOTAL_GHG_CO2_EMISSIONS</v>
      </c>
      <c r="E1038" t="str">
        <f t="shared" si="122"/>
        <v>Dynamic</v>
      </c>
      <c r="F1038">
        <f ca="1">IF(AND(ISNUMBER($F$2107),$B$1132=1),$F$2107,HLOOKUP(INDIRECT(ADDRESS(2,COLUMN())),OFFSET($K$2,0,0,ROW()-1,5),ROW()-1,FALSE))</f>
        <v>2.4422199710000001</v>
      </c>
      <c r="G1038">
        <f ca="1">IF(AND(ISNUMBER($G$2107),$B$1132=1),$G$2107,HLOOKUP(INDIRECT(ADDRESS(2,COLUMN())),OFFSET($K$2,0,0,ROW()-1,5),ROW()-1,FALSE))</f>
        <v>3.4198300779999999</v>
      </c>
      <c r="H1038">
        <f ca="1">IF(AND(ISNUMBER($H$2107),$B$1132=1),$H$2107,HLOOKUP(INDIRECT(ADDRESS(2,COLUMN())),OFFSET($K$2,0,0,ROW()-1,5),ROW()-1,FALSE))</f>
        <v>2.43272998</v>
      </c>
      <c r="I1038">
        <f ca="1">IF(AND(ISNUMBER($I$2107),$B$1132=1),$I$2107,HLOOKUP(INDIRECT(ADDRESS(2,COLUMN())),OFFSET($K$2,0,0,ROW()-1,5),ROW()-1,FALSE))</f>
        <v>3.710580078</v>
      </c>
      <c r="J1038">
        <f ca="1">IF(AND(ISNUMBER($J$2107),$B$1132=1),$J$2107,HLOOKUP(INDIRECT(ADDRESS(2,COLUMN())),OFFSET($K$2,0,0,ROW()-1,5),ROW()-1,FALSE))</f>
        <v>2.787879883</v>
      </c>
      <c r="K1038">
        <f>2.442219971</f>
        <v>2.4422199710000001</v>
      </c>
      <c r="L1038">
        <f>3.419830078</f>
        <v>3.4198300779999999</v>
      </c>
      <c r="M1038">
        <f>2.43272998</f>
        <v>2.43272998</v>
      </c>
      <c r="N1038">
        <f>3.710580078</f>
        <v>3.710580078</v>
      </c>
      <c r="O1038">
        <f>2.787879883</f>
        <v>2.787879883</v>
      </c>
    </row>
    <row r="1039" spans="1:15" x14ac:dyDescent="0.25">
      <c r="A1039" t="str">
        <f>"                        Falck Renewables SpA"</f>
        <v xml:space="preserve">                        Falck Renewables SpA</v>
      </c>
      <c r="B1039" t="str">
        <f>"FKR IM Equity"</f>
        <v>FKR IM Equity</v>
      </c>
      <c r="C1039" t="str">
        <f t="shared" si="120"/>
        <v>F0946</v>
      </c>
      <c r="D1039" t="str">
        <f t="shared" si="121"/>
        <v>TOTAL_GHG_CO2_EMISSIONS</v>
      </c>
      <c r="E1039" t="str">
        <f t="shared" si="122"/>
        <v>Dynamic</v>
      </c>
      <c r="F1039" t="str">
        <f ca="1">IF(AND(ISNUMBER($F$2108),$B$1132=1),$F$2108,HLOOKUP(INDIRECT(ADDRESS(2,COLUMN())),OFFSET($K$2,0,0,ROW()-1,5),ROW()-1,FALSE))</f>
        <v/>
      </c>
      <c r="G1039">
        <f ca="1">IF(AND(ISNUMBER($G$2108),$B$1132=1),$G$2108,HLOOKUP(INDIRECT(ADDRESS(2,COLUMN())),OFFSET($K$2,0,0,ROW()-1,5),ROW()-1,FALSE))</f>
        <v>0.173453995</v>
      </c>
      <c r="H1039">
        <f ca="1">IF(AND(ISNUMBER($H$2108),$B$1132=1),$H$2108,HLOOKUP(INDIRECT(ADDRESS(2,COLUMN())),OFFSET($K$2,0,0,ROW()-1,5),ROW()-1,FALSE))</f>
        <v>0.15849000599999999</v>
      </c>
      <c r="I1039">
        <f ca="1">IF(AND(ISNUMBER($I$2108),$B$1132=1),$I$2108,HLOOKUP(INDIRECT(ADDRESS(2,COLUMN())),OFFSET($K$2,0,0,ROW()-1,5),ROW()-1,FALSE))</f>
        <v>0.11262699900000001</v>
      </c>
      <c r="J1039">
        <f ca="1">IF(AND(ISNUMBER($J$2108),$B$1132=1),$J$2108,HLOOKUP(INDIRECT(ADDRESS(2,COLUMN())),OFFSET($K$2,0,0,ROW()-1,5),ROW()-1,FALSE))</f>
        <v>0.114427002</v>
      </c>
      <c r="K1039" t="str">
        <f>""</f>
        <v/>
      </c>
      <c r="L1039">
        <f>0.173453995</f>
        <v>0.173453995</v>
      </c>
      <c r="M1039">
        <f>0.158490006</f>
        <v>0.15849000599999999</v>
      </c>
      <c r="N1039">
        <f>0.112626999</f>
        <v>0.11262699900000001</v>
      </c>
      <c r="O1039">
        <f>0.114427002</f>
        <v>0.114427002</v>
      </c>
    </row>
    <row r="1040" spans="1:15" x14ac:dyDescent="0.25">
      <c r="A1040" t="str">
        <f>"                        Fortum Oyj"</f>
        <v xml:space="preserve">                        Fortum Oyj</v>
      </c>
      <c r="B1040" t="str">
        <f>"FORTUM FH Equity"</f>
        <v>FORTUM FH Equity</v>
      </c>
      <c r="C1040" t="str">
        <f t="shared" si="120"/>
        <v>F0946</v>
      </c>
      <c r="D1040" t="str">
        <f t="shared" si="121"/>
        <v>TOTAL_GHG_CO2_EMISSIONS</v>
      </c>
      <c r="E1040" t="str">
        <f t="shared" si="122"/>
        <v>Dynamic</v>
      </c>
      <c r="F1040">
        <f ca="1">IF(AND(ISNUMBER($F$2109),$B$1132=1),$F$2109,HLOOKUP(INDIRECT(ADDRESS(2,COLUMN())),OFFSET($K$2,0,0,ROW()-1,5),ROW()-1,FALSE))</f>
        <v>17.04</v>
      </c>
      <c r="G1040">
        <f ca="1">IF(AND(ISNUMBER($G$2109),$B$1132=1),$G$2109,HLOOKUP(INDIRECT(ADDRESS(2,COLUMN())),OFFSET($K$2,0,0,ROW()-1,5),ROW()-1,FALSE))</f>
        <v>69.732796879999995</v>
      </c>
      <c r="H1040">
        <f ca="1">IF(AND(ISNUMBER($H$2109),$B$1132=1),$H$2109,HLOOKUP(INDIRECT(ADDRESS(2,COLUMN())),OFFSET($K$2,0,0,ROW()-1,5),ROW()-1,FALSE))</f>
        <v>49.675800780000003</v>
      </c>
      <c r="I1040">
        <f ca="1">IF(AND(ISNUMBER($I$2109),$B$1132=1),$I$2109,HLOOKUP(INDIRECT(ADDRESS(2,COLUMN())),OFFSET($K$2,0,0,ROW()-1,5),ROW()-1,FALSE))</f>
        <v>19.404499999999999</v>
      </c>
      <c r="J1040">
        <f ca="1">IF(AND(ISNUMBER($J$2109),$B$1132=1),$J$2109,HLOOKUP(INDIRECT(ADDRESS(2,COLUMN())),OFFSET($K$2,0,0,ROW()-1,5),ROW()-1,FALSE))</f>
        <v>20.30380078</v>
      </c>
      <c r="K1040">
        <f>17.04</f>
        <v>17.04</v>
      </c>
      <c r="L1040">
        <f>69.73279688</f>
        <v>69.732796879999995</v>
      </c>
      <c r="M1040">
        <f>49.67580078</f>
        <v>49.675800780000003</v>
      </c>
      <c r="N1040">
        <f>19.4045</f>
        <v>19.404499999999999</v>
      </c>
      <c r="O1040">
        <f>20.30380078</f>
        <v>20.30380078</v>
      </c>
    </row>
    <row r="1041" spans="1:15" x14ac:dyDescent="0.25">
      <c r="A1041" t="str">
        <f>"                        Iren SpA"</f>
        <v xml:space="preserve">                        Iren SpA</v>
      </c>
      <c r="B1041" t="str">
        <f>"IRE IM Equity"</f>
        <v>IRE IM Equity</v>
      </c>
      <c r="C1041" t="str">
        <f t="shared" si="120"/>
        <v>F0946</v>
      </c>
      <c r="D1041" t="str">
        <f t="shared" si="121"/>
        <v>TOTAL_GHG_CO2_EMISSIONS</v>
      </c>
      <c r="E1041" t="str">
        <f t="shared" si="122"/>
        <v>Dynamic</v>
      </c>
      <c r="F1041">
        <f ca="1">IF(AND(ISNUMBER($F$2110),$B$1132=1),$F$2110,HLOOKUP(INDIRECT(ADDRESS(2,COLUMN())),OFFSET($K$2,0,0,ROW()-1,5),ROW()-1,FALSE))</f>
        <v>3.5690800779999998</v>
      </c>
      <c r="G1041">
        <f ca="1">IF(AND(ISNUMBER($G$2110),$B$1132=1),$G$2110,HLOOKUP(INDIRECT(ADDRESS(2,COLUMN())),OFFSET($K$2,0,0,ROW()-1,5),ROW()-1,FALSE))</f>
        <v>4.0902299800000002</v>
      </c>
      <c r="H1041">
        <f ca="1">IF(AND(ISNUMBER($H$2110),$B$1132=1),$H$2110,HLOOKUP(INDIRECT(ADDRESS(2,COLUMN())),OFFSET($K$2,0,0,ROW()-1,5),ROW()-1,FALSE))</f>
        <v>3.9813798829999998</v>
      </c>
      <c r="I1041">
        <f ca="1">IF(AND(ISNUMBER($I$2110),$B$1132=1),$I$2110,HLOOKUP(INDIRECT(ADDRESS(2,COLUMN())),OFFSET($K$2,0,0,ROW()-1,5),ROW()-1,FALSE))</f>
        <v>4.0485800779999996</v>
      </c>
      <c r="J1041">
        <f ca="1">IF(AND(ISNUMBER($J$2110),$B$1132=1),$J$2110,HLOOKUP(INDIRECT(ADDRESS(2,COLUMN())),OFFSET($K$2,0,0,ROW()-1,5),ROW()-1,FALSE))</f>
        <v>3.4540300290000001</v>
      </c>
      <c r="K1041">
        <f>3.569080078</f>
        <v>3.5690800779999998</v>
      </c>
      <c r="L1041">
        <f>4.09022998</f>
        <v>4.0902299800000002</v>
      </c>
      <c r="M1041">
        <f>3.981379883</f>
        <v>3.9813798829999998</v>
      </c>
      <c r="N1041">
        <f>4.048580078</f>
        <v>4.0485800779999996</v>
      </c>
      <c r="O1041">
        <f>3.454030029</f>
        <v>3.4540300290000001</v>
      </c>
    </row>
    <row r="1042" spans="1:15" x14ac:dyDescent="0.25">
      <c r="A1042" t="str">
        <f>"                        Iberdrola SA"</f>
        <v xml:space="preserve">                        Iberdrola SA</v>
      </c>
      <c r="B1042" t="str">
        <f>"IBE SM Equity"</f>
        <v>IBE SM Equity</v>
      </c>
      <c r="C1042" t="str">
        <f t="shared" si="120"/>
        <v>F0946</v>
      </c>
      <c r="D1042" t="str">
        <f t="shared" si="121"/>
        <v>TOTAL_GHG_CO2_EMISSIONS</v>
      </c>
      <c r="E1042" t="str">
        <f t="shared" si="122"/>
        <v>Dynamic</v>
      </c>
      <c r="F1042">
        <f ca="1">IF(AND(ISNUMBER($F$2111),$B$1132=1),$F$2111,HLOOKUP(INDIRECT(ADDRESS(2,COLUMN())),OFFSET($K$2,0,0,ROW()-1,5),ROW()-1,FALSE))</f>
        <v>13.2257002</v>
      </c>
      <c r="G1042">
        <f ca="1">IF(AND(ISNUMBER($G$2111),$B$1132=1),$G$2111,HLOOKUP(INDIRECT(ADDRESS(2,COLUMN())),OFFSET($K$2,0,0,ROW()-1,5),ROW()-1,FALSE))</f>
        <v>15.341200199999999</v>
      </c>
      <c r="H1042">
        <f ca="1">IF(AND(ISNUMBER($H$2111),$B$1132=1),$H$2111,HLOOKUP(INDIRECT(ADDRESS(2,COLUMN())),OFFSET($K$2,0,0,ROW()-1,5),ROW()-1,FALSE))</f>
        <v>14.89309961</v>
      </c>
      <c r="I1042">
        <f ca="1">IF(AND(ISNUMBER($I$2111),$B$1132=1),$I$2111,HLOOKUP(INDIRECT(ADDRESS(2,COLUMN())),OFFSET($K$2,0,0,ROW()-1,5),ROW()-1,FALSE))</f>
        <v>15.5087998</v>
      </c>
      <c r="J1042">
        <f ca="1">IF(AND(ISNUMBER($J$2111),$B$1132=1),$J$2111,HLOOKUP(INDIRECT(ADDRESS(2,COLUMN())),OFFSET($K$2,0,0,ROW()-1,5),ROW()-1,FALSE))</f>
        <v>27.11290039</v>
      </c>
      <c r="K1042">
        <f>13.2257002</f>
        <v>13.2257002</v>
      </c>
      <c r="L1042">
        <f>15.3412002</f>
        <v>15.341200199999999</v>
      </c>
      <c r="M1042">
        <f>14.89309961</f>
        <v>14.89309961</v>
      </c>
      <c r="N1042">
        <f>15.5087998</f>
        <v>15.5087998</v>
      </c>
      <c r="O1042">
        <f>27.11290039</f>
        <v>27.11290039</v>
      </c>
    </row>
    <row r="1043" spans="1:15" x14ac:dyDescent="0.25">
      <c r="A1043" t="str">
        <f>"                        MVV Energie AG"</f>
        <v xml:space="preserve">                        MVV Energie AG</v>
      </c>
      <c r="B1043" t="str">
        <f>"MVV1 GR Equity"</f>
        <v>MVV1 GR Equity</v>
      </c>
      <c r="C1043" t="str">
        <f t="shared" si="120"/>
        <v>F0946</v>
      </c>
      <c r="D1043" t="str">
        <f t="shared" si="121"/>
        <v>TOTAL_GHG_CO2_EMISSIONS</v>
      </c>
      <c r="E1043" t="str">
        <f t="shared" si="122"/>
        <v>Dynamic</v>
      </c>
      <c r="F1043">
        <f ca="1">IF(AND(ISNUMBER($F$2112),$B$1132=1),$F$2112,HLOOKUP(INDIRECT(ADDRESS(2,COLUMN())),OFFSET($K$2,0,0,ROW()-1,5),ROW()-1,FALSE))</f>
        <v>3.794</v>
      </c>
      <c r="G1043">
        <f ca="1">IF(AND(ISNUMBER($G$2112),$B$1132=1),$G$2112,HLOOKUP(INDIRECT(ADDRESS(2,COLUMN())),OFFSET($K$2,0,0,ROW()-1,5),ROW()-1,FALSE))</f>
        <v>3.64</v>
      </c>
      <c r="H1043">
        <f ca="1">IF(AND(ISNUMBER($H$2112),$B$1132=1),$H$2112,HLOOKUP(INDIRECT(ADDRESS(2,COLUMN())),OFFSET($K$2,0,0,ROW()-1,5),ROW()-1,FALSE))</f>
        <v>3.5339999999999998</v>
      </c>
      <c r="I1043">
        <f ca="1">IF(AND(ISNUMBER($I$2112),$B$1132=1),$I$2112,HLOOKUP(INDIRECT(ADDRESS(2,COLUMN())),OFFSET($K$2,0,0,ROW()-1,5),ROW()-1,FALSE))</f>
        <v>3.59</v>
      </c>
      <c r="J1043">
        <f ca="1">IF(AND(ISNUMBER($J$2112),$B$1132=1),$J$2112,HLOOKUP(INDIRECT(ADDRESS(2,COLUMN())),OFFSET($K$2,0,0,ROW()-1,5),ROW()-1,FALSE))</f>
        <v>3.8769999999999998</v>
      </c>
      <c r="K1043">
        <f>3.794</f>
        <v>3.794</v>
      </c>
      <c r="L1043">
        <f>3.64</f>
        <v>3.64</v>
      </c>
      <c r="M1043">
        <f>3.534</f>
        <v>3.5339999999999998</v>
      </c>
      <c r="N1043">
        <f>3.59</f>
        <v>3.59</v>
      </c>
      <c r="O1043">
        <f>3.877</f>
        <v>3.8769999999999998</v>
      </c>
    </row>
    <row r="1044" spans="1:15" x14ac:dyDescent="0.25">
      <c r="A1044" t="str">
        <f>"                        Naturgy Energy Group SA"</f>
        <v xml:space="preserve">                        Naturgy Energy Group SA</v>
      </c>
      <c r="B1044" t="str">
        <f>"NTGY SM Equity"</f>
        <v>NTGY SM Equity</v>
      </c>
      <c r="C1044" t="str">
        <f t="shared" si="120"/>
        <v>F0946</v>
      </c>
      <c r="D1044" t="str">
        <f t="shared" si="121"/>
        <v>TOTAL_GHG_CO2_EMISSIONS</v>
      </c>
      <c r="E1044" t="str">
        <f t="shared" si="122"/>
        <v>Dynamic</v>
      </c>
      <c r="F1044">
        <f ca="1">IF(AND(ISNUMBER($F$2113),$B$1132=1),$F$2113,HLOOKUP(INDIRECT(ADDRESS(2,COLUMN())),OFFSET($K$2,0,0,ROW()-1,5),ROW()-1,FALSE))</f>
        <v>15.105</v>
      </c>
      <c r="G1044">
        <f ca="1">IF(AND(ISNUMBER($G$2113),$B$1132=1),$G$2113,HLOOKUP(INDIRECT(ADDRESS(2,COLUMN())),OFFSET($K$2,0,0,ROW()-1,5),ROW()-1,FALSE))</f>
        <v>13.4522998</v>
      </c>
      <c r="H1044">
        <f ca="1">IF(AND(ISNUMBER($H$2113),$B$1132=1),$H$2113,HLOOKUP(INDIRECT(ADDRESS(2,COLUMN())),OFFSET($K$2,0,0,ROW()-1,5),ROW()-1,FALSE))</f>
        <v>15.455500000000001</v>
      </c>
      <c r="I1044">
        <f ca="1">IF(AND(ISNUMBER($I$2113),$B$1132=1),$I$2113,HLOOKUP(INDIRECT(ADDRESS(2,COLUMN())),OFFSET($K$2,0,0,ROW()-1,5),ROW()-1,FALSE))</f>
        <v>16.51390039</v>
      </c>
      <c r="J1044">
        <f ca="1">IF(AND(ISNUMBER($J$2113),$B$1132=1),$J$2113,HLOOKUP(INDIRECT(ADDRESS(2,COLUMN())),OFFSET($K$2,0,0,ROW()-1,5),ROW()-1,FALSE))</f>
        <v>19.399000000000001</v>
      </c>
      <c r="K1044">
        <f>15.105</f>
        <v>15.105</v>
      </c>
      <c r="L1044">
        <f>13.4522998</f>
        <v>13.4522998</v>
      </c>
      <c r="M1044">
        <f>15.4555</f>
        <v>15.455500000000001</v>
      </c>
      <c r="N1044">
        <f>16.51390039</f>
        <v>16.51390039</v>
      </c>
      <c r="O1044">
        <f>19.399</f>
        <v>19.399000000000001</v>
      </c>
    </row>
    <row r="1045" spans="1:15" x14ac:dyDescent="0.25">
      <c r="A1045" t="str">
        <f>"                        Neoen SA"</f>
        <v xml:space="preserve">                        Neoen SA</v>
      </c>
      <c r="B1045" t="str">
        <f>"NEOEN FP Equity"</f>
        <v>NEOEN FP Equity</v>
      </c>
      <c r="C1045" t="str">
        <f t="shared" si="120"/>
        <v>F0946</v>
      </c>
      <c r="D1045" t="str">
        <f t="shared" si="121"/>
        <v>TOTAL_GHG_CO2_EMISSIONS</v>
      </c>
      <c r="E1045" t="str">
        <f t="shared" si="122"/>
        <v>Dynamic</v>
      </c>
      <c r="F1045" t="str">
        <f ca="1">IF(AND(ISNUMBER($F$2114),$B$1132=1),$F$2114,HLOOKUP(INDIRECT(ADDRESS(2,COLUMN())),OFFSET($K$2,0,0,ROW()-1,5),ROW()-1,FALSE))</f>
        <v/>
      </c>
      <c r="G1045" t="str">
        <f ca="1">IF(AND(ISNUMBER($G$2114),$B$1132=1),$G$2114,HLOOKUP(INDIRECT(ADDRESS(2,COLUMN())),OFFSET($K$2,0,0,ROW()-1,5),ROW()-1,FALSE))</f>
        <v/>
      </c>
      <c r="H1045" t="str">
        <f ca="1">IF(AND(ISNUMBER($H$2114),$B$1132=1),$H$2114,HLOOKUP(INDIRECT(ADDRESS(2,COLUMN())),OFFSET($K$2,0,0,ROW()-1,5),ROW()-1,FALSE))</f>
        <v/>
      </c>
      <c r="I1045" t="str">
        <f ca="1">IF(AND(ISNUMBER($I$2114),$B$1132=1),$I$2114,HLOOKUP(INDIRECT(ADDRESS(2,COLUMN())),OFFSET($K$2,0,0,ROW()-1,5),ROW()-1,FALSE))</f>
        <v/>
      </c>
      <c r="J1045" t="str">
        <f ca="1">IF(AND(ISNUMBER($J$2114),$B$1132=1),$J$2114,HLOOKUP(INDIRECT(ADDRESS(2,COLUMN())),OFFSET($K$2,0,0,ROW()-1,5),ROW()-1,FALSE))</f>
        <v/>
      </c>
      <c r="K1045" t="str">
        <f>""</f>
        <v/>
      </c>
      <c r="L1045" t="str">
        <f>""</f>
        <v/>
      </c>
      <c r="M1045" t="str">
        <f>""</f>
        <v/>
      </c>
      <c r="N1045" t="str">
        <f>""</f>
        <v/>
      </c>
      <c r="O1045" t="str">
        <f>""</f>
        <v/>
      </c>
    </row>
    <row r="1046" spans="1:15" x14ac:dyDescent="0.25">
      <c r="A1046" t="str">
        <f>"                        Orsted AS"</f>
        <v xml:space="preserve">                        Orsted AS</v>
      </c>
      <c r="B1046" t="str">
        <f>"ORSTED DC Equity"</f>
        <v>ORSTED DC Equity</v>
      </c>
      <c r="C1046" t="str">
        <f t="shared" si="120"/>
        <v>F0946</v>
      </c>
      <c r="D1046" t="str">
        <f t="shared" si="121"/>
        <v>TOTAL_GHG_CO2_EMISSIONS</v>
      </c>
      <c r="E1046" t="str">
        <f t="shared" si="122"/>
        <v>Dynamic</v>
      </c>
      <c r="F1046">
        <f ca="1">IF(AND(ISNUMBER($F$2115),$B$1132=1),$F$2115,HLOOKUP(INDIRECT(ADDRESS(2,COLUMN())),OFFSET($K$2,0,0,ROW()-1,5),ROW()-1,FALSE))</f>
        <v>2.5550000000000002</v>
      </c>
      <c r="G1046">
        <f ca="1">IF(AND(ISNUMBER($G$2115),$B$1132=1),$G$2115,HLOOKUP(INDIRECT(ADDRESS(2,COLUMN())),OFFSET($K$2,0,0,ROW()-1,5),ROW()-1,FALSE))</f>
        <v>2.1949999999999998</v>
      </c>
      <c r="H1046">
        <f ca="1">IF(AND(ISNUMBER($H$2115),$B$1132=1),$H$2115,HLOOKUP(INDIRECT(ADDRESS(2,COLUMN())),OFFSET($K$2,0,0,ROW()-1,5),ROW()-1,FALSE))</f>
        <v>1.962</v>
      </c>
      <c r="I1046">
        <f ca="1">IF(AND(ISNUMBER($I$2115),$B$1132=1),$I$2115,HLOOKUP(INDIRECT(ADDRESS(2,COLUMN())),OFFSET($K$2,0,0,ROW()-1,5),ROW()-1,FALSE))</f>
        <v>1.9690000000000001</v>
      </c>
      <c r="J1046">
        <f ca="1">IF(AND(ISNUMBER($J$2115),$B$1132=1),$J$2115,HLOOKUP(INDIRECT(ADDRESS(2,COLUMN())),OFFSET($K$2,0,0,ROW()-1,5),ROW()-1,FALSE))</f>
        <v>3.6339999999999999</v>
      </c>
      <c r="K1046">
        <f>2.555</f>
        <v>2.5550000000000002</v>
      </c>
      <c r="L1046">
        <f>2.195</f>
        <v>2.1949999999999998</v>
      </c>
      <c r="M1046">
        <f>1.962</f>
        <v>1.962</v>
      </c>
      <c r="N1046">
        <f>1.969</f>
        <v>1.9690000000000001</v>
      </c>
      <c r="O1046">
        <f>3.634</f>
        <v>3.6339999999999999</v>
      </c>
    </row>
    <row r="1047" spans="1:15" x14ac:dyDescent="0.25">
      <c r="A1047" t="str">
        <f>"                        PGE Polska Grupa Energetyczna"</f>
        <v xml:space="preserve">                        PGE Polska Grupa Energetyczna</v>
      </c>
      <c r="B1047" t="str">
        <f>"PGE PW Equity"</f>
        <v>PGE PW Equity</v>
      </c>
      <c r="C1047" t="str">
        <f t="shared" si="120"/>
        <v>F0946</v>
      </c>
      <c r="D1047" t="str">
        <f t="shared" si="121"/>
        <v>TOTAL_GHG_CO2_EMISSIONS</v>
      </c>
      <c r="E1047" t="str">
        <f t="shared" si="122"/>
        <v>Dynamic</v>
      </c>
      <c r="F1047" t="str">
        <f ca="1">IF(AND(ISNUMBER($F$2116),$B$1132=1),$F$2116,HLOOKUP(INDIRECT(ADDRESS(2,COLUMN())),OFFSET($K$2,0,0,ROW()-1,5),ROW()-1,FALSE))</f>
        <v/>
      </c>
      <c r="G1047">
        <f ca="1">IF(AND(ISNUMBER($G$2116),$B$1132=1),$G$2116,HLOOKUP(INDIRECT(ADDRESS(2,COLUMN())),OFFSET($K$2,0,0,ROW()-1,5),ROW()-1,FALSE))</f>
        <v>73.170203130000004</v>
      </c>
      <c r="H1047">
        <f ca="1">IF(AND(ISNUMBER($H$2116),$B$1132=1),$H$2116,HLOOKUP(INDIRECT(ADDRESS(2,COLUMN())),OFFSET($K$2,0,0,ROW()-1,5),ROW()-1,FALSE))</f>
        <v>59.518800779999999</v>
      </c>
      <c r="I1047">
        <f ca="1">IF(AND(ISNUMBER($I$2116),$B$1132=1),$I$2116,HLOOKUP(INDIRECT(ADDRESS(2,COLUMN())),OFFSET($K$2,0,0,ROW()-1,5),ROW()-1,FALSE))</f>
        <v>60.66330078</v>
      </c>
      <c r="J1047">
        <f ca="1">IF(AND(ISNUMBER($J$2116),$B$1132=1),$J$2116,HLOOKUP(INDIRECT(ADDRESS(2,COLUMN())),OFFSET($K$2,0,0,ROW()-1,5),ROW()-1,FALSE))</f>
        <v>58.916199220000003</v>
      </c>
      <c r="K1047" t="str">
        <f>""</f>
        <v/>
      </c>
      <c r="L1047">
        <f>73.17020313</f>
        <v>73.170203130000004</v>
      </c>
      <c r="M1047">
        <f>59.51880078</f>
        <v>59.518800779999999</v>
      </c>
      <c r="N1047">
        <f>60.66330078</f>
        <v>60.66330078</v>
      </c>
      <c r="O1047">
        <f>58.91619922</f>
        <v>58.916199220000003</v>
      </c>
    </row>
    <row r="1048" spans="1:15" x14ac:dyDescent="0.25">
      <c r="A1048" t="str">
        <f>"                        Public Power Corp SA"</f>
        <v xml:space="preserve">                        Public Power Corp SA</v>
      </c>
      <c r="B1048" t="str">
        <f>"PPC GA Equity"</f>
        <v>PPC GA Equity</v>
      </c>
      <c r="C1048" t="str">
        <f t="shared" si="120"/>
        <v>F0946</v>
      </c>
      <c r="D1048" t="str">
        <f t="shared" si="121"/>
        <v>TOTAL_GHG_CO2_EMISSIONS</v>
      </c>
      <c r="E1048" t="str">
        <f t="shared" si="122"/>
        <v>Dynamic</v>
      </c>
      <c r="F1048" t="str">
        <f ca="1">IF(AND(ISNUMBER($F$2117),$B$1132=1),$F$2117,HLOOKUP(INDIRECT(ADDRESS(2,COLUMN())),OFFSET($K$2,0,0,ROW()-1,5),ROW()-1,FALSE))</f>
        <v/>
      </c>
      <c r="G1048">
        <f ca="1">IF(AND(ISNUMBER($G$2117),$B$1132=1),$G$2117,HLOOKUP(INDIRECT(ADDRESS(2,COLUMN())),OFFSET($K$2,0,0,ROW()-1,5),ROW()-1,FALSE))</f>
        <v>13.635099609999999</v>
      </c>
      <c r="H1048">
        <f ca="1">IF(AND(ISNUMBER($H$2117),$B$1132=1),$H$2117,HLOOKUP(INDIRECT(ADDRESS(2,COLUMN())),OFFSET($K$2,0,0,ROW()-1,5),ROW()-1,FALSE))</f>
        <v>13.38159961</v>
      </c>
      <c r="I1048" t="str">
        <f ca="1">IF(AND(ISNUMBER($I$2117),$B$1132=1),$I$2117,HLOOKUP(INDIRECT(ADDRESS(2,COLUMN())),OFFSET($K$2,0,0,ROW()-1,5),ROW()-1,FALSE))</f>
        <v/>
      </c>
      <c r="J1048" t="str">
        <f ca="1">IF(AND(ISNUMBER($J$2117),$B$1132=1),$J$2117,HLOOKUP(INDIRECT(ADDRESS(2,COLUMN())),OFFSET($K$2,0,0,ROW()-1,5),ROW()-1,FALSE))</f>
        <v/>
      </c>
      <c r="K1048" t="str">
        <f>""</f>
        <v/>
      </c>
      <c r="L1048">
        <f>13.63509961</f>
        <v>13.635099609999999</v>
      </c>
      <c r="M1048">
        <f>13.38159961</f>
        <v>13.38159961</v>
      </c>
      <c r="N1048" t="str">
        <f>""</f>
        <v/>
      </c>
      <c r="O1048" t="str">
        <f>""</f>
        <v/>
      </c>
    </row>
    <row r="1049" spans="1:15" x14ac:dyDescent="0.25">
      <c r="A1049" t="str">
        <f>"                        Romande Energie Holding SA"</f>
        <v xml:space="preserve">                        Romande Energie Holding SA</v>
      </c>
      <c r="B1049" t="str">
        <f>"HREN SW Equity"</f>
        <v>HREN SW Equity</v>
      </c>
      <c r="C1049" t="str">
        <f t="shared" si="120"/>
        <v>F0946</v>
      </c>
      <c r="D1049" t="str">
        <f t="shared" si="121"/>
        <v>TOTAL_GHG_CO2_EMISSIONS</v>
      </c>
      <c r="E1049" t="str">
        <f t="shared" si="122"/>
        <v>Dynamic</v>
      </c>
      <c r="F1049">
        <f ca="1">IF(AND(ISNUMBER($F$2118),$B$1132=1),$F$2118,HLOOKUP(INDIRECT(ADDRESS(2,COLUMN())),OFFSET($K$2,0,0,ROW()-1,5),ROW()-1,FALSE))</f>
        <v>1.0134000000000001E-2</v>
      </c>
      <c r="G1049">
        <f ca="1">IF(AND(ISNUMBER($G$2118),$B$1132=1),$G$2118,HLOOKUP(INDIRECT(ADDRESS(2,COLUMN())),OFFSET($K$2,0,0,ROW()-1,5),ROW()-1,FALSE))</f>
        <v>7.247E-3</v>
      </c>
      <c r="H1049">
        <f ca="1">IF(AND(ISNUMBER($H$2118),$B$1132=1),$H$2118,HLOOKUP(INDIRECT(ADDRESS(2,COLUMN())),OFFSET($K$2,0,0,ROW()-1,5),ROW()-1,FALSE))</f>
        <v>6.7190000000000001E-3</v>
      </c>
      <c r="I1049" t="str">
        <f ca="1">IF(AND(ISNUMBER($I$2118),$B$1132=1),$I$2118,HLOOKUP(INDIRECT(ADDRESS(2,COLUMN())),OFFSET($K$2,0,0,ROW()-1,5),ROW()-1,FALSE))</f>
        <v/>
      </c>
      <c r="J1049" t="str">
        <f ca="1">IF(AND(ISNUMBER($J$2118),$B$1132=1),$J$2118,HLOOKUP(INDIRECT(ADDRESS(2,COLUMN())),OFFSET($K$2,0,0,ROW()-1,5),ROW()-1,FALSE))</f>
        <v/>
      </c>
      <c r="K1049">
        <f>0.010134</f>
        <v>1.0134000000000001E-2</v>
      </c>
      <c r="L1049">
        <f>0.007247</f>
        <v>7.247E-3</v>
      </c>
      <c r="M1049">
        <f>0.006719</f>
        <v>6.7190000000000001E-3</v>
      </c>
      <c r="N1049" t="str">
        <f>""</f>
        <v/>
      </c>
      <c r="O1049" t="str">
        <f>""</f>
        <v/>
      </c>
    </row>
    <row r="1050" spans="1:15" x14ac:dyDescent="0.25">
      <c r="A1050" t="str">
        <f>"                        RWE AG"</f>
        <v xml:space="preserve">                        RWE AG</v>
      </c>
      <c r="B1050" t="str">
        <f>"RWE GR Equity"</f>
        <v>RWE GR Equity</v>
      </c>
      <c r="C1050" t="str">
        <f t="shared" si="120"/>
        <v>F0946</v>
      </c>
      <c r="D1050" t="str">
        <f t="shared" si="121"/>
        <v>TOTAL_GHG_CO2_EMISSIONS</v>
      </c>
      <c r="E1050" t="str">
        <f t="shared" si="122"/>
        <v>Dynamic</v>
      </c>
      <c r="F1050">
        <f ca="1">IF(AND(ISNUMBER($F$2119),$B$1132=1),$F$2119,HLOOKUP(INDIRECT(ADDRESS(2,COLUMN())),OFFSET($K$2,0,0,ROW()-1,5),ROW()-1,FALSE))</f>
        <v>92.4</v>
      </c>
      <c r="G1050">
        <f ca="1">IF(AND(ISNUMBER($G$2119),$B$1132=1),$G$2119,HLOOKUP(INDIRECT(ADDRESS(2,COLUMN())),OFFSET($K$2,0,0,ROW()-1,5),ROW()-1,FALSE))</f>
        <v>89.6</v>
      </c>
      <c r="H1050">
        <f ca="1">IF(AND(ISNUMBER($H$2119),$B$1132=1),$H$2119,HLOOKUP(INDIRECT(ADDRESS(2,COLUMN())),OFFSET($K$2,0,0,ROW()-1,5),ROW()-1,FALSE))</f>
        <v>72.932000000000002</v>
      </c>
      <c r="I1050">
        <f ca="1">IF(AND(ISNUMBER($I$2119),$B$1132=1),$I$2119,HLOOKUP(INDIRECT(ADDRESS(2,COLUMN())),OFFSET($K$2,0,0,ROW()-1,5),ROW()-1,FALSE))</f>
        <v>96.42</v>
      </c>
      <c r="J1050">
        <f ca="1">IF(AND(ISNUMBER($J$2119),$B$1132=1),$J$2119,HLOOKUP(INDIRECT(ADDRESS(2,COLUMN())),OFFSET($K$2,0,0,ROW()-1,5),ROW()-1,FALSE))</f>
        <v>125.4</v>
      </c>
      <c r="K1050">
        <f>92.4</f>
        <v>92.4</v>
      </c>
      <c r="L1050">
        <f>89.6</f>
        <v>89.6</v>
      </c>
      <c r="M1050">
        <f>72.932</f>
        <v>72.932000000000002</v>
      </c>
      <c r="N1050">
        <f>96.42</f>
        <v>96.42</v>
      </c>
      <c r="O1050">
        <f>125.4</f>
        <v>125.4</v>
      </c>
    </row>
    <row r="1051" spans="1:15" x14ac:dyDescent="0.25">
      <c r="A1051" t="str">
        <f>"                        Scatec ASA"</f>
        <v xml:space="preserve">                        Scatec ASA</v>
      </c>
      <c r="B1051" t="str">
        <f>"SCATC NO Equity"</f>
        <v>SCATC NO Equity</v>
      </c>
      <c r="C1051" t="str">
        <f t="shared" si="120"/>
        <v>F0946</v>
      </c>
      <c r="D1051" t="str">
        <f t="shared" si="121"/>
        <v>TOTAL_GHG_CO2_EMISSIONS</v>
      </c>
      <c r="E1051" t="str">
        <f t="shared" si="122"/>
        <v>Dynamic</v>
      </c>
      <c r="F1051" t="str">
        <f ca="1">IF(AND(ISNUMBER($F$2120),$B$1132=1),$F$2120,HLOOKUP(INDIRECT(ADDRESS(2,COLUMN())),OFFSET($K$2,0,0,ROW()-1,5),ROW()-1,FALSE))</f>
        <v/>
      </c>
      <c r="G1051">
        <f ca="1">IF(AND(ISNUMBER($G$2120),$B$1132=1),$G$2120,HLOOKUP(INDIRECT(ADDRESS(2,COLUMN())),OFFSET($K$2,0,0,ROW()-1,5),ROW()-1,FALSE))</f>
        <v>5.868E-3</v>
      </c>
      <c r="H1051">
        <f ca="1">IF(AND(ISNUMBER($H$2120),$B$1132=1),$H$2120,HLOOKUP(INDIRECT(ADDRESS(2,COLUMN())),OFFSET($K$2,0,0,ROW()-1,5),ROW()-1,FALSE))</f>
        <v>6.4429999999999999E-3</v>
      </c>
      <c r="I1051">
        <f ca="1">IF(AND(ISNUMBER($I$2120),$B$1132=1),$I$2120,HLOOKUP(INDIRECT(ADDRESS(2,COLUMN())),OFFSET($K$2,0,0,ROW()-1,5),ROW()-1,FALSE))</f>
        <v>6.9052999999999996E-3</v>
      </c>
      <c r="J1051">
        <f ca="1">IF(AND(ISNUMBER($J$2120),$B$1132=1),$J$2120,HLOOKUP(INDIRECT(ADDRESS(2,COLUMN())),OFFSET($K$2,0,0,ROW()-1,5),ROW()-1,FALSE))</f>
        <v>6.0834000000000001E-3</v>
      </c>
      <c r="K1051" t="str">
        <f>""</f>
        <v/>
      </c>
      <c r="L1051">
        <f>0.005868</f>
        <v>5.868E-3</v>
      </c>
      <c r="M1051">
        <f>0.006443</f>
        <v>6.4429999999999999E-3</v>
      </c>
      <c r="N1051">
        <f>0.0069053</f>
        <v>6.9052999999999996E-3</v>
      </c>
      <c r="O1051">
        <f>0.0060834</f>
        <v>6.0834000000000001E-3</v>
      </c>
    </row>
    <row r="1052" spans="1:15" x14ac:dyDescent="0.25">
      <c r="A1052" t="str">
        <f>"                        SSE PLC"</f>
        <v xml:space="preserve">                        SSE PLC</v>
      </c>
      <c r="B1052" t="str">
        <f>"SSE LN Equity"</f>
        <v>SSE LN Equity</v>
      </c>
      <c r="C1052" t="str">
        <f t="shared" si="120"/>
        <v>F0946</v>
      </c>
      <c r="D1052" t="str">
        <f t="shared" si="121"/>
        <v>TOTAL_GHG_CO2_EMISSIONS</v>
      </c>
      <c r="E1052" t="str">
        <f t="shared" si="122"/>
        <v>Dynamic</v>
      </c>
      <c r="F1052" t="str">
        <f ca="1">IF(AND(ISNUMBER($F$2121),$B$1132=1),$F$2121,HLOOKUP(INDIRECT(ADDRESS(2,COLUMN())),OFFSET($K$2,0,0,ROW()-1,5),ROW()-1,FALSE))</f>
        <v/>
      </c>
      <c r="G1052">
        <f ca="1">IF(AND(ISNUMBER($G$2121),$B$1132=1),$G$2121,HLOOKUP(INDIRECT(ADDRESS(2,COLUMN())),OFFSET($K$2,0,0,ROW()-1,5),ROW()-1,FALSE))</f>
        <v>6.2380898440000001</v>
      </c>
      <c r="H1052">
        <f ca="1">IF(AND(ISNUMBER($H$2121),$B$1132=1),$H$2121,HLOOKUP(INDIRECT(ADDRESS(2,COLUMN())),OFFSET($K$2,0,0,ROW()-1,5),ROW()-1,FALSE))</f>
        <v>7.6338500979999999</v>
      </c>
      <c r="I1052">
        <f ca="1">IF(AND(ISNUMBER($I$2121),$B$1132=1),$I$2121,HLOOKUP(INDIRECT(ADDRESS(2,COLUMN())),OFFSET($K$2,0,0,ROW()-1,5),ROW()-1,FALSE))</f>
        <v>8.9076601560000004</v>
      </c>
      <c r="J1052">
        <f ca="1">IF(AND(ISNUMBER($J$2121),$B$1132=1),$J$2121,HLOOKUP(INDIRECT(ADDRESS(2,COLUMN())),OFFSET($K$2,0,0,ROW()-1,5),ROW()-1,FALSE))</f>
        <v>9.5140302729999995</v>
      </c>
      <c r="K1052" t="str">
        <f>""</f>
        <v/>
      </c>
      <c r="L1052">
        <f>6.238089844</f>
        <v>6.2380898440000001</v>
      </c>
      <c r="M1052">
        <f>7.633850098</f>
        <v>7.6338500979999999</v>
      </c>
      <c r="N1052">
        <f>8.907660156</f>
        <v>8.9076601560000004</v>
      </c>
      <c r="O1052">
        <f>9.514030273</f>
        <v>9.5140302729999995</v>
      </c>
    </row>
    <row r="1053" spans="1:15" x14ac:dyDescent="0.25">
      <c r="A1053" t="str">
        <f>"                        Tauron Polska Energia SA"</f>
        <v xml:space="preserve">                        Tauron Polska Energia SA</v>
      </c>
      <c r="B1053" t="str">
        <f>"TPE PW Equity"</f>
        <v>TPE PW Equity</v>
      </c>
      <c r="C1053" t="str">
        <f t="shared" si="120"/>
        <v>F0946</v>
      </c>
      <c r="D1053" t="str">
        <f t="shared" si="121"/>
        <v>TOTAL_GHG_CO2_EMISSIONS</v>
      </c>
      <c r="E1053" t="str">
        <f t="shared" si="122"/>
        <v>Dynamic</v>
      </c>
      <c r="F1053">
        <f ca="1">IF(AND(ISNUMBER($F$2122),$B$1132=1),$F$2122,HLOOKUP(INDIRECT(ADDRESS(2,COLUMN())),OFFSET($K$2,0,0,ROW()-1,5),ROW()-1,FALSE))</f>
        <v>15.428900390000001</v>
      </c>
      <c r="G1053" t="str">
        <f ca="1">IF(AND(ISNUMBER($G$2122),$B$1132=1),$G$2122,HLOOKUP(INDIRECT(ADDRESS(2,COLUMN())),OFFSET($K$2,0,0,ROW()-1,5),ROW()-1,FALSE))</f>
        <v/>
      </c>
      <c r="H1053" t="str">
        <f ca="1">IF(AND(ISNUMBER($H$2122),$B$1132=1),$H$2122,HLOOKUP(INDIRECT(ADDRESS(2,COLUMN())),OFFSET($K$2,0,0,ROW()-1,5),ROW()-1,FALSE))</f>
        <v/>
      </c>
      <c r="I1053" t="str">
        <f ca="1">IF(AND(ISNUMBER($I$2122),$B$1132=1),$I$2122,HLOOKUP(INDIRECT(ADDRESS(2,COLUMN())),OFFSET($K$2,0,0,ROW()-1,5),ROW()-1,FALSE))</f>
        <v/>
      </c>
      <c r="J1053" t="str">
        <f ca="1">IF(AND(ISNUMBER($J$2122),$B$1132=1),$J$2122,HLOOKUP(INDIRECT(ADDRESS(2,COLUMN())),OFFSET($K$2,0,0,ROW()-1,5),ROW()-1,FALSE))</f>
        <v/>
      </c>
      <c r="K1053">
        <f>15.42890039</f>
        <v>15.428900390000001</v>
      </c>
      <c r="L1053" t="str">
        <f>""</f>
        <v/>
      </c>
      <c r="M1053" t="str">
        <f>""</f>
        <v/>
      </c>
      <c r="N1053" t="str">
        <f>""</f>
        <v/>
      </c>
      <c r="O1053" t="str">
        <f>""</f>
        <v/>
      </c>
    </row>
    <row r="1054" spans="1:15" x14ac:dyDescent="0.25">
      <c r="A1054" t="str">
        <f>"                        Terna Energy SA"</f>
        <v xml:space="preserve">                        Terna Energy SA</v>
      </c>
      <c r="B1054" t="str">
        <f>"TENERGY GA Equity"</f>
        <v>TENERGY GA Equity</v>
      </c>
      <c r="C1054" t="str">
        <f t="shared" si="120"/>
        <v>F0946</v>
      </c>
      <c r="D1054" t="str">
        <f t="shared" si="121"/>
        <v>TOTAL_GHG_CO2_EMISSIONS</v>
      </c>
      <c r="E1054" t="str">
        <f t="shared" si="122"/>
        <v>Dynamic</v>
      </c>
      <c r="F1054">
        <f ca="1">IF(AND(ISNUMBER($F$2123),$B$1132=1),$F$2123,HLOOKUP(INDIRECT(ADDRESS(2,COLUMN())),OFFSET($K$2,0,0,ROW()-1,5),ROW()-1,FALSE))</f>
        <v>3.0447999999999999E-3</v>
      </c>
      <c r="G1054">
        <f ca="1">IF(AND(ISNUMBER($G$2123),$B$1132=1),$G$2123,HLOOKUP(INDIRECT(ADDRESS(2,COLUMN())),OFFSET($K$2,0,0,ROW()-1,5),ROW()-1,FALSE))</f>
        <v>4.2560000000000002E-3</v>
      </c>
      <c r="H1054">
        <f ca="1">IF(AND(ISNUMBER($H$2123),$B$1132=1),$H$2123,HLOOKUP(INDIRECT(ADDRESS(2,COLUMN())),OFFSET($K$2,0,0,ROW()-1,5),ROW()-1,FALSE))</f>
        <v>1.19682E-2</v>
      </c>
      <c r="I1054">
        <f ca="1">IF(AND(ISNUMBER($I$2123),$B$1132=1),$I$2123,HLOOKUP(INDIRECT(ADDRESS(2,COLUMN())),OFFSET($K$2,0,0,ROW()-1,5),ROW()-1,FALSE))</f>
        <v>9.1419899999999991E-3</v>
      </c>
      <c r="J1054" t="str">
        <f ca="1">IF(AND(ISNUMBER($J$2123),$B$1132=1),$J$2123,HLOOKUP(INDIRECT(ADDRESS(2,COLUMN())),OFFSET($K$2,0,0,ROW()-1,5),ROW()-1,FALSE))</f>
        <v/>
      </c>
      <c r="K1054">
        <f>0.0030448</f>
        <v>3.0447999999999999E-3</v>
      </c>
      <c r="L1054">
        <f>0.004256</f>
        <v>4.2560000000000002E-3</v>
      </c>
      <c r="M1054">
        <f>0.0119682</f>
        <v>1.19682E-2</v>
      </c>
      <c r="N1054">
        <f>0.00914199</f>
        <v>9.1419899999999991E-3</v>
      </c>
      <c r="O1054" t="str">
        <f>""</f>
        <v/>
      </c>
    </row>
    <row r="1055" spans="1:15" x14ac:dyDescent="0.25">
      <c r="A1055" t="str">
        <f>"                        Uniper SE"</f>
        <v xml:space="preserve">                        Uniper SE</v>
      </c>
      <c r="B1055" t="str">
        <f>"UN01 GR Equity"</f>
        <v>UN01 GR Equity</v>
      </c>
      <c r="C1055" t="str">
        <f t="shared" si="120"/>
        <v>F0946</v>
      </c>
      <c r="D1055" t="str">
        <f t="shared" si="121"/>
        <v>TOTAL_GHG_CO2_EMISSIONS</v>
      </c>
      <c r="E1055" t="str">
        <f t="shared" si="122"/>
        <v>Dynamic</v>
      </c>
      <c r="F1055">
        <f ca="1">IF(AND(ISNUMBER($F$2124),$B$1132=1),$F$2124,HLOOKUP(INDIRECT(ADDRESS(2,COLUMN())),OFFSET($K$2,0,0,ROW()-1,5),ROW()-1,FALSE))</f>
        <v>56.5</v>
      </c>
      <c r="G1055">
        <f ca="1">IF(AND(ISNUMBER($G$2124),$B$1132=1),$G$2124,HLOOKUP(INDIRECT(ADDRESS(2,COLUMN())),OFFSET($K$2,0,0,ROW()-1,5),ROW()-1,FALSE))</f>
        <v>51.809300780000001</v>
      </c>
      <c r="H1055">
        <f ca="1">IF(AND(ISNUMBER($H$2124),$B$1132=1),$H$2124,HLOOKUP(INDIRECT(ADDRESS(2,COLUMN())),OFFSET($K$2,0,0,ROW()-1,5),ROW()-1,FALSE))</f>
        <v>43.618499999999997</v>
      </c>
      <c r="I1055">
        <f ca="1">IF(AND(ISNUMBER($I$2124),$B$1132=1),$I$2124,HLOOKUP(INDIRECT(ADDRESS(2,COLUMN())),OFFSET($K$2,0,0,ROW()-1,5),ROW()-1,FALSE))</f>
        <v>48.12</v>
      </c>
      <c r="J1055">
        <f ca="1">IF(AND(ISNUMBER($J$2124),$B$1132=1),$J$2124,HLOOKUP(INDIRECT(ADDRESS(2,COLUMN())),OFFSET($K$2,0,0,ROW()-1,5),ROW()-1,FALSE))</f>
        <v>60.049500000000002</v>
      </c>
      <c r="K1055">
        <f>56.5</f>
        <v>56.5</v>
      </c>
      <c r="L1055">
        <f>51.80930078</f>
        <v>51.809300780000001</v>
      </c>
      <c r="M1055">
        <f>43.6185</f>
        <v>43.618499999999997</v>
      </c>
      <c r="N1055">
        <f>48.12</f>
        <v>48.12</v>
      </c>
      <c r="O1055">
        <f>60.0495</f>
        <v>60.049500000000002</v>
      </c>
    </row>
    <row r="1056" spans="1:15" x14ac:dyDescent="0.25">
      <c r="A1056" t="str">
        <f>"                        Verbund AG"</f>
        <v xml:space="preserve">                        Verbund AG</v>
      </c>
      <c r="B1056" t="str">
        <f>"VER AV Equity"</f>
        <v>VER AV Equity</v>
      </c>
      <c r="C1056" t="str">
        <f t="shared" si="120"/>
        <v>F0946</v>
      </c>
      <c r="D1056" t="str">
        <f t="shared" si="121"/>
        <v>TOTAL_GHG_CO2_EMISSIONS</v>
      </c>
      <c r="E1056" t="str">
        <f t="shared" si="122"/>
        <v>Dynamic</v>
      </c>
      <c r="F1056">
        <f ca="1">IF(AND(ISNUMBER($F$2125),$B$1132=1),$F$2125,HLOOKUP(INDIRECT(ADDRESS(2,COLUMN())),OFFSET($K$2,0,0,ROW()-1,5),ROW()-1,FALSE))</f>
        <v>0.81299999999999994</v>
      </c>
      <c r="G1056">
        <f ca="1">IF(AND(ISNUMBER($G$2125),$B$1132=1),$G$2125,HLOOKUP(INDIRECT(ADDRESS(2,COLUMN())),OFFSET($K$2,0,0,ROW()-1,5),ROW()-1,FALSE))</f>
        <v>0.6</v>
      </c>
      <c r="H1056">
        <f ca="1">IF(AND(ISNUMBER($H$2125),$B$1132=1),$H$2125,HLOOKUP(INDIRECT(ADDRESS(2,COLUMN())),OFFSET($K$2,0,0,ROW()-1,5),ROW()-1,FALSE))</f>
        <v>1.0603100590000001</v>
      </c>
      <c r="I1056">
        <f ca="1">IF(AND(ISNUMBER($I$2125),$B$1132=1),$I$2125,HLOOKUP(INDIRECT(ADDRESS(2,COLUMN())),OFFSET($K$2,0,0,ROW()-1,5),ROW()-1,FALSE))</f>
        <v>1.4643499760000001</v>
      </c>
      <c r="J1056">
        <f ca="1">IF(AND(ISNUMBER($J$2125),$B$1132=1),$J$2125,HLOOKUP(INDIRECT(ADDRESS(2,COLUMN())),OFFSET($K$2,0,0,ROW()-1,5),ROW()-1,FALSE))</f>
        <v>1.5054000240000001</v>
      </c>
      <c r="K1056">
        <f>0.813</f>
        <v>0.81299999999999994</v>
      </c>
      <c r="L1056">
        <f>0.6</f>
        <v>0.6</v>
      </c>
      <c r="M1056">
        <f>1.060310059</f>
        <v>1.0603100590000001</v>
      </c>
      <c r="N1056">
        <f>1.464349976</f>
        <v>1.4643499760000001</v>
      </c>
      <c r="O1056">
        <f>1.505400024</f>
        <v>1.5054000240000001</v>
      </c>
    </row>
    <row r="1057" spans="1:15" x14ac:dyDescent="0.25">
      <c r="A1057" t="str">
        <f>"                        Voltalia SA"</f>
        <v xml:space="preserve">                        Voltalia SA</v>
      </c>
      <c r="B1057" t="str">
        <f>"VLTSA FP Equity"</f>
        <v>VLTSA FP Equity</v>
      </c>
      <c r="C1057" t="str">
        <f t="shared" si="120"/>
        <v>F0946</v>
      </c>
      <c r="D1057" t="str">
        <f t="shared" si="121"/>
        <v>TOTAL_GHG_CO2_EMISSIONS</v>
      </c>
      <c r="E1057" t="str">
        <f t="shared" si="122"/>
        <v>Dynamic</v>
      </c>
      <c r="F1057">
        <f ca="1">IF(AND(ISNUMBER($F$2126),$B$1132=1),$F$2126,HLOOKUP(INDIRECT(ADDRESS(2,COLUMN())),OFFSET($K$2,0,0,ROW()-1,5),ROW()-1,FALSE))</f>
        <v>3.5700001000000002E-2</v>
      </c>
      <c r="G1057">
        <f ca="1">IF(AND(ISNUMBER($G$2126),$B$1132=1),$G$2126,HLOOKUP(INDIRECT(ADDRESS(2,COLUMN())),OFFSET($K$2,0,0,ROW()-1,5),ROW()-1,FALSE))</f>
        <v>3.9830002000000003E-2</v>
      </c>
      <c r="H1057">
        <f ca="1">IF(AND(ISNUMBER($H$2126),$B$1132=1),$H$2126,HLOOKUP(INDIRECT(ADDRESS(2,COLUMN())),OFFSET($K$2,0,0,ROW()-1,5),ROW()-1,FALSE))</f>
        <v>3.9612000000000001E-2</v>
      </c>
      <c r="I1057">
        <f ca="1">IF(AND(ISNUMBER($I$2126),$B$1132=1),$I$2126,HLOOKUP(INDIRECT(ADDRESS(2,COLUMN())),OFFSET($K$2,0,0,ROW()-1,5),ROW()-1,FALSE))</f>
        <v>5.2299999E-2</v>
      </c>
      <c r="J1057">
        <f ca="1">IF(AND(ISNUMBER($J$2126),$B$1132=1),$J$2126,HLOOKUP(INDIRECT(ADDRESS(2,COLUMN())),OFFSET($K$2,0,0,ROW()-1,5),ROW()-1,FALSE))</f>
        <v>4.7700000999999999E-2</v>
      </c>
      <c r="K1057">
        <f>0.035700001</f>
        <v>3.5700001000000002E-2</v>
      </c>
      <c r="L1057">
        <f>0.039830002</f>
        <v>3.9830002000000003E-2</v>
      </c>
      <c r="M1057">
        <f>0.039612</f>
        <v>3.9612000000000001E-2</v>
      </c>
      <c r="N1057">
        <f>0.052299999</f>
        <v>5.2299999E-2</v>
      </c>
      <c r="O1057">
        <f>0.047700001</f>
        <v>4.7700000999999999E-2</v>
      </c>
    </row>
    <row r="1058" spans="1:15" x14ac:dyDescent="0.25">
      <c r="A1058" t="str">
        <f>"                    APAC Power Generation"</f>
        <v xml:space="preserve">                    APAC Power Generation</v>
      </c>
      <c r="B1058" t="str">
        <f>""</f>
        <v/>
      </c>
      <c r="E1058" t="str">
        <f>"Sum"</f>
        <v>Sum</v>
      </c>
      <c r="F1058">
        <f ca="1">IF(ISERROR(IF(SUM($F$1059:$F$1102) = 0, "", SUM($F$1059:$F$1102))), "", (IF(SUM($F$1059:$F$1102) = 0, "", SUM($F$1059:$F$1102))))</f>
        <v>1138.8323135989999</v>
      </c>
      <c r="G1058">
        <f ca="1">IF(ISERROR(IF(SUM($G$1059:$G$1102) = 0, "", SUM($G$1059:$G$1102))), "", (IF(SUM($G$1059:$G$1102) = 0, "", SUM($G$1059:$G$1102))))</f>
        <v>1424.0773347270001</v>
      </c>
      <c r="H1058">
        <f ca="1">IF(ISERROR(IF(SUM($H$1059:$H$1102) = 0, "", SUM($H$1059:$H$1102))), "", (IF(SUM($H$1059:$H$1102) = 0, "", SUM($H$1059:$H$1102))))</f>
        <v>1772.6864849410001</v>
      </c>
      <c r="I1058">
        <f ca="1">IF(ISERROR(IF(SUM($I$1059:$I$1102) = 0, "", SUM($I$1059:$I$1102))), "", (IF(SUM($I$1059:$I$1102) = 0, "", SUM($I$1059:$I$1102))))</f>
        <v>1791.7487874369997</v>
      </c>
      <c r="J1058">
        <f ca="1">IF(ISERROR(IF(SUM($J$1059:$J$1102) = 0, "", SUM($J$1059:$J$1102))), "", (IF(SUM($J$1059:$J$1102) = 0, "", SUM($J$1059:$J$1102))))</f>
        <v>2061.8656866169999</v>
      </c>
      <c r="K1058" t="str">
        <f>""</f>
        <v/>
      </c>
      <c r="L1058">
        <f>1424.077335</f>
        <v>1424.0773349999999</v>
      </c>
      <c r="M1058">
        <f>1772.686485</f>
        <v>1772.6864849999999</v>
      </c>
      <c r="N1058">
        <f>1791.748787</f>
        <v>1791.748787</v>
      </c>
      <c r="O1058">
        <f>2061.865687</f>
        <v>2061.865687</v>
      </c>
    </row>
    <row r="1059" spans="1:15" x14ac:dyDescent="0.25">
      <c r="A1059" t="str">
        <f>"                        Aboitiz Power Corp"</f>
        <v xml:space="preserve">                        Aboitiz Power Corp</v>
      </c>
      <c r="B1059" t="str">
        <f>"AP PM Equity"</f>
        <v>AP PM Equity</v>
      </c>
      <c r="C1059" t="str">
        <f t="shared" ref="C1059:C1102" si="123">"F0946"</f>
        <v>F0946</v>
      </c>
      <c r="D1059" t="str">
        <f t="shared" ref="D1059:D1102" si="124">"TOTAL_GHG_CO2_EMISSIONS"</f>
        <v>TOTAL_GHG_CO2_EMISSIONS</v>
      </c>
      <c r="E1059" t="str">
        <f t="shared" ref="E1059:E1102" si="125">"Dynamic"</f>
        <v>Dynamic</v>
      </c>
      <c r="F1059" t="str">
        <f ca="1">IF(AND(ISNUMBER($F$2127),$B$1132=1),$F$2127,HLOOKUP(INDIRECT(ADDRESS(2,COLUMN())),OFFSET($K$2,0,0,ROW()-1,5),ROW()-1,FALSE))</f>
        <v/>
      </c>
      <c r="G1059" t="str">
        <f ca="1">IF(AND(ISNUMBER($G$2127),$B$1132=1),$G$2127,HLOOKUP(INDIRECT(ADDRESS(2,COLUMN())),OFFSET($K$2,0,0,ROW()-1,5),ROW()-1,FALSE))</f>
        <v/>
      </c>
      <c r="H1059" t="str">
        <f ca="1">IF(AND(ISNUMBER($H$2127),$B$1132=1),$H$2127,HLOOKUP(INDIRECT(ADDRESS(2,COLUMN())),OFFSET($K$2,0,0,ROW()-1,5),ROW()-1,FALSE))</f>
        <v/>
      </c>
      <c r="I1059" t="str">
        <f ca="1">IF(AND(ISNUMBER($I$2127),$B$1132=1),$I$2127,HLOOKUP(INDIRECT(ADDRESS(2,COLUMN())),OFFSET($K$2,0,0,ROW()-1,5),ROW()-1,FALSE))</f>
        <v/>
      </c>
      <c r="J1059" t="str">
        <f ca="1">IF(AND(ISNUMBER($J$2127),$B$1132=1),$J$2127,HLOOKUP(INDIRECT(ADDRESS(2,COLUMN())),OFFSET($K$2,0,0,ROW()-1,5),ROW()-1,FALSE))</f>
        <v/>
      </c>
      <c r="K1059" t="str">
        <f>""</f>
        <v/>
      </c>
      <c r="L1059" t="str">
        <f>""</f>
        <v/>
      </c>
      <c r="M1059" t="str">
        <f>""</f>
        <v/>
      </c>
      <c r="N1059" t="str">
        <f>""</f>
        <v/>
      </c>
      <c r="O1059" t="str">
        <f>""</f>
        <v/>
      </c>
    </row>
    <row r="1060" spans="1:15" x14ac:dyDescent="0.25">
      <c r="A1060" t="str">
        <f>"                        AGL Energy Ltd"</f>
        <v xml:space="preserve">                        AGL Energy Ltd</v>
      </c>
      <c r="B1060" t="str">
        <f>"AGL AU Equity"</f>
        <v>AGL AU Equity</v>
      </c>
      <c r="C1060" t="str">
        <f t="shared" si="123"/>
        <v>F0946</v>
      </c>
      <c r="D1060" t="str">
        <f t="shared" si="124"/>
        <v>TOTAL_GHG_CO2_EMISSIONS</v>
      </c>
      <c r="E1060" t="str">
        <f t="shared" si="125"/>
        <v>Dynamic</v>
      </c>
      <c r="F1060" t="str">
        <f ca="1">IF(AND(ISNUMBER($F$2128),$B$1132=1),$F$2128,HLOOKUP(INDIRECT(ADDRESS(2,COLUMN())),OFFSET($K$2,0,0,ROW()-1,5),ROW()-1,FALSE))</f>
        <v/>
      </c>
      <c r="G1060">
        <f ca="1">IF(AND(ISNUMBER($G$2128),$B$1132=1),$G$2128,HLOOKUP(INDIRECT(ADDRESS(2,COLUMN())),OFFSET($K$2,0,0,ROW()-1,5),ROW()-1,FALSE))</f>
        <v>40.052</v>
      </c>
      <c r="H1060">
        <f ca="1">IF(AND(ISNUMBER($H$2128),$B$1132=1),$H$2128,HLOOKUP(INDIRECT(ADDRESS(2,COLUMN())),OFFSET($K$2,0,0,ROW()-1,5),ROW()-1,FALSE))</f>
        <v>40.670999999999999</v>
      </c>
      <c r="I1060">
        <f ca="1">IF(AND(ISNUMBER($I$2128),$B$1132=1),$I$2128,HLOOKUP(INDIRECT(ADDRESS(2,COLUMN())),OFFSET($K$2,0,0,ROW()-1,5),ROW()-1,FALSE))</f>
        <v>42.741</v>
      </c>
      <c r="J1060">
        <f ca="1">IF(AND(ISNUMBER($J$2128),$B$1132=1),$J$2128,HLOOKUP(INDIRECT(ADDRESS(2,COLUMN())),OFFSET($K$2,0,0,ROW()-1,5),ROW()-1,FALSE))</f>
        <v>43.247999999999998</v>
      </c>
      <c r="K1060" t="str">
        <f>""</f>
        <v/>
      </c>
      <c r="L1060">
        <f>40.052</f>
        <v>40.052</v>
      </c>
      <c r="M1060">
        <f>40.671</f>
        <v>40.670999999999999</v>
      </c>
      <c r="N1060">
        <f>42.741</f>
        <v>42.741</v>
      </c>
      <c r="O1060">
        <f>43.248</f>
        <v>43.247999999999998</v>
      </c>
    </row>
    <row r="1061" spans="1:15" x14ac:dyDescent="0.25">
      <c r="A1061" t="str">
        <f>"                        CGN Power Co Ltd"</f>
        <v xml:space="preserve">                        CGN Power Co Ltd</v>
      </c>
      <c r="B1061" t="str">
        <f>"1816 HK Equity"</f>
        <v>1816 HK Equity</v>
      </c>
      <c r="C1061" t="str">
        <f t="shared" si="123"/>
        <v>F0946</v>
      </c>
      <c r="D1061" t="str">
        <f t="shared" si="124"/>
        <v>TOTAL_GHG_CO2_EMISSIONS</v>
      </c>
      <c r="E1061" t="str">
        <f t="shared" si="125"/>
        <v>Dynamic</v>
      </c>
      <c r="F1061" t="str">
        <f ca="1">IF(AND(ISNUMBER($F$2129),$B$1132=1),$F$2129,HLOOKUP(INDIRECT(ADDRESS(2,COLUMN())),OFFSET($K$2,0,0,ROW()-1,5),ROW()-1,FALSE))</f>
        <v/>
      </c>
      <c r="G1061" t="str">
        <f ca="1">IF(AND(ISNUMBER($G$2129),$B$1132=1),$G$2129,HLOOKUP(INDIRECT(ADDRESS(2,COLUMN())),OFFSET($K$2,0,0,ROW()-1,5),ROW()-1,FALSE))</f>
        <v/>
      </c>
      <c r="H1061" t="str">
        <f ca="1">IF(AND(ISNUMBER($H$2129),$B$1132=1),$H$2129,HLOOKUP(INDIRECT(ADDRESS(2,COLUMN())),OFFSET($K$2,0,0,ROW()-1,5),ROW()-1,FALSE))</f>
        <v/>
      </c>
      <c r="I1061" t="str">
        <f ca="1">IF(AND(ISNUMBER($I$2129),$B$1132=1),$I$2129,HLOOKUP(INDIRECT(ADDRESS(2,COLUMN())),OFFSET($K$2,0,0,ROW()-1,5),ROW()-1,FALSE))</f>
        <v/>
      </c>
      <c r="J1061" t="str">
        <f ca="1">IF(AND(ISNUMBER($J$2129),$B$1132=1),$J$2129,HLOOKUP(INDIRECT(ADDRESS(2,COLUMN())),OFFSET($K$2,0,0,ROW()-1,5),ROW()-1,FALSE))</f>
        <v/>
      </c>
      <c r="K1061" t="str">
        <f>""</f>
        <v/>
      </c>
      <c r="L1061" t="str">
        <f>""</f>
        <v/>
      </c>
      <c r="M1061" t="str">
        <f>""</f>
        <v/>
      </c>
      <c r="N1061" t="str">
        <f>""</f>
        <v/>
      </c>
      <c r="O1061" t="str">
        <f>""</f>
        <v/>
      </c>
    </row>
    <row r="1062" spans="1:15" x14ac:dyDescent="0.25">
      <c r="A1062" t="str">
        <f>"                        China Datang Corp Renewable Po"</f>
        <v xml:space="preserve">                        China Datang Corp Renewable Po</v>
      </c>
      <c r="B1062" t="str">
        <f>"1798 HK Equity"</f>
        <v>1798 HK Equity</v>
      </c>
      <c r="C1062" t="str">
        <f t="shared" si="123"/>
        <v>F0946</v>
      </c>
      <c r="D1062" t="str">
        <f t="shared" si="124"/>
        <v>TOTAL_GHG_CO2_EMISSIONS</v>
      </c>
      <c r="E1062" t="str">
        <f t="shared" si="125"/>
        <v>Dynamic</v>
      </c>
      <c r="F1062">
        <f ca="1">IF(AND(ISNUMBER($F$2130),$B$1132=1),$F$2130,HLOOKUP(INDIRECT(ADDRESS(2,COLUMN())),OFFSET($K$2,0,0,ROW()-1,5),ROW()-1,FALSE))</f>
        <v>9.7950798000000006E-2</v>
      </c>
      <c r="G1062">
        <f ca="1">IF(AND(ISNUMBER($G$2130),$B$1132=1),$G$2130,HLOOKUP(INDIRECT(ADDRESS(2,COLUMN())),OFFSET($K$2,0,0,ROW()-1,5),ROW()-1,FALSE))</f>
        <v>7.7724602000000004E-2</v>
      </c>
      <c r="H1062">
        <f ca="1">IF(AND(ISNUMBER($H$2130),$B$1132=1),$H$2130,HLOOKUP(INDIRECT(ADDRESS(2,COLUMN())),OFFSET($K$2,0,0,ROW()-1,5),ROW()-1,FALSE))</f>
        <v>6.2202201999999998E-2</v>
      </c>
      <c r="I1062">
        <f ca="1">IF(AND(ISNUMBER($I$2130),$B$1132=1),$I$2130,HLOOKUP(INDIRECT(ADDRESS(2,COLUMN())),OFFSET($K$2,0,0,ROW()-1,5),ROW()-1,FALSE))</f>
        <v>4.4417197999999998E-2</v>
      </c>
      <c r="J1062">
        <f ca="1">IF(AND(ISNUMBER($J$2130),$B$1132=1),$J$2130,HLOOKUP(INDIRECT(ADDRESS(2,COLUMN())),OFFSET($K$2,0,0,ROW()-1,5),ROW()-1,FALSE))</f>
        <v>4.49757E-2</v>
      </c>
      <c r="K1062">
        <f>0.097950798</f>
        <v>9.7950798000000006E-2</v>
      </c>
      <c r="L1062">
        <f>0.077724602</f>
        <v>7.7724602000000004E-2</v>
      </c>
      <c r="M1062">
        <f>0.062202202</f>
        <v>6.2202201999999998E-2</v>
      </c>
      <c r="N1062">
        <f>0.044417198</f>
        <v>4.4417197999999998E-2</v>
      </c>
      <c r="O1062">
        <f>0.0449757</f>
        <v>4.49757E-2</v>
      </c>
    </row>
    <row r="1063" spans="1:15" x14ac:dyDescent="0.25">
      <c r="A1063" t="str">
        <f>"                        China Everbright Environment G"</f>
        <v xml:space="preserve">                        China Everbright Environment G</v>
      </c>
      <c r="B1063" t="str">
        <f>"257 HK Equity"</f>
        <v>257 HK Equity</v>
      </c>
      <c r="C1063" t="str">
        <f t="shared" si="123"/>
        <v>F0946</v>
      </c>
      <c r="D1063" t="str">
        <f t="shared" si="124"/>
        <v>TOTAL_GHG_CO2_EMISSIONS</v>
      </c>
      <c r="E1063" t="str">
        <f t="shared" si="125"/>
        <v>Dynamic</v>
      </c>
      <c r="F1063">
        <f ca="1">IF(AND(ISNUMBER($F$2131),$B$1132=1),$F$2131,HLOOKUP(INDIRECT(ADDRESS(2,COLUMN())),OFFSET($K$2,0,0,ROW()-1,5),ROW()-1,FALSE))</f>
        <v>13.348599610000001</v>
      </c>
      <c r="G1063">
        <f ca="1">IF(AND(ISNUMBER($G$2131),$B$1132=1),$G$2131,HLOOKUP(INDIRECT(ADDRESS(2,COLUMN())),OFFSET($K$2,0,0,ROW()-1,5),ROW()-1,FALSE))</f>
        <v>15.7627998</v>
      </c>
      <c r="H1063">
        <f ca="1">IF(AND(ISNUMBER($H$2131),$B$1132=1),$H$2131,HLOOKUP(INDIRECT(ADDRESS(2,COLUMN())),OFFSET($K$2,0,0,ROW()-1,5),ROW()-1,FALSE))</f>
        <v>11.171900389999999</v>
      </c>
      <c r="I1063">
        <f ca="1">IF(AND(ISNUMBER($I$2131),$B$1132=1),$I$2131,HLOOKUP(INDIRECT(ADDRESS(2,COLUMN())),OFFSET($K$2,0,0,ROW()-1,5),ROW()-1,FALSE))</f>
        <v>22.905599609999999</v>
      </c>
      <c r="J1063">
        <f ca="1">IF(AND(ISNUMBER($J$2131),$B$1132=1),$J$2131,HLOOKUP(INDIRECT(ADDRESS(2,COLUMN())),OFFSET($K$2,0,0,ROW()-1,5),ROW()-1,FALSE))</f>
        <v>22.49219922</v>
      </c>
      <c r="K1063">
        <f>13.34859961</f>
        <v>13.348599610000001</v>
      </c>
      <c r="L1063">
        <f>15.7627998</f>
        <v>15.7627998</v>
      </c>
      <c r="M1063">
        <f>11.17190039</f>
        <v>11.171900389999999</v>
      </c>
      <c r="N1063">
        <f>22.90559961</f>
        <v>22.905599609999999</v>
      </c>
      <c r="O1063">
        <f>22.49219922</f>
        <v>22.49219922</v>
      </c>
    </row>
    <row r="1064" spans="1:15" x14ac:dyDescent="0.25">
      <c r="A1064" t="str">
        <f>"                        China Longyuan Power Group Cor"</f>
        <v xml:space="preserve">                        China Longyuan Power Group Cor</v>
      </c>
      <c r="B1064" t="str">
        <f>"916 HK Equity"</f>
        <v>916 HK Equity</v>
      </c>
      <c r="C1064" t="str">
        <f t="shared" si="123"/>
        <v>F0946</v>
      </c>
      <c r="D1064" t="str">
        <f t="shared" si="124"/>
        <v>TOTAL_GHG_CO2_EMISSIONS</v>
      </c>
      <c r="E1064" t="str">
        <f t="shared" si="125"/>
        <v>Dynamic</v>
      </c>
      <c r="F1064">
        <f ca="1">IF(AND(ISNUMBER($F$2132),$B$1132=1),$F$2132,HLOOKUP(INDIRECT(ADDRESS(2,COLUMN())),OFFSET($K$2,0,0,ROW()-1,5),ROW()-1,FALSE))</f>
        <v>10.230700199999999</v>
      </c>
      <c r="G1064" t="str">
        <f ca="1">IF(AND(ISNUMBER($G$2132),$B$1132=1),$G$2132,HLOOKUP(INDIRECT(ADDRESS(2,COLUMN())),OFFSET($K$2,0,0,ROW()-1,5),ROW()-1,FALSE))</f>
        <v/>
      </c>
      <c r="H1064" t="str">
        <f ca="1">IF(AND(ISNUMBER($H$2132),$B$1132=1),$H$2132,HLOOKUP(INDIRECT(ADDRESS(2,COLUMN())),OFFSET($K$2,0,0,ROW()-1,5),ROW()-1,FALSE))</f>
        <v/>
      </c>
      <c r="I1064" t="str">
        <f ca="1">IF(AND(ISNUMBER($I$2132),$B$1132=1),$I$2132,HLOOKUP(INDIRECT(ADDRESS(2,COLUMN())),OFFSET($K$2,0,0,ROW()-1,5),ROW()-1,FALSE))</f>
        <v/>
      </c>
      <c r="J1064" t="str">
        <f ca="1">IF(AND(ISNUMBER($J$2132),$B$1132=1),$J$2132,HLOOKUP(INDIRECT(ADDRESS(2,COLUMN())),OFFSET($K$2,0,0,ROW()-1,5),ROW()-1,FALSE))</f>
        <v/>
      </c>
      <c r="K1064">
        <f>10.2307002</f>
        <v>10.230700199999999</v>
      </c>
      <c r="L1064" t="str">
        <f>""</f>
        <v/>
      </c>
      <c r="M1064" t="str">
        <f>""</f>
        <v/>
      </c>
      <c r="N1064" t="str">
        <f>""</f>
        <v/>
      </c>
      <c r="O1064" t="str">
        <f>""</f>
        <v/>
      </c>
    </row>
    <row r="1065" spans="1:15" x14ac:dyDescent="0.25">
      <c r="A1065" t="str">
        <f>"                        China Power International Deve"</f>
        <v xml:space="preserve">                        China Power International Deve</v>
      </c>
      <c r="B1065" t="str">
        <f>"2380 HK Equity"</f>
        <v>2380 HK Equity</v>
      </c>
      <c r="C1065" t="str">
        <f t="shared" si="123"/>
        <v>F0946</v>
      </c>
      <c r="D1065" t="str">
        <f t="shared" si="124"/>
        <v>TOTAL_GHG_CO2_EMISSIONS</v>
      </c>
      <c r="E1065" t="str">
        <f t="shared" si="125"/>
        <v>Dynamic</v>
      </c>
      <c r="F1065">
        <f ca="1">IF(AND(ISNUMBER($F$2133),$B$1132=1),$F$2133,HLOOKUP(INDIRECT(ADDRESS(2,COLUMN())),OFFSET($K$2,0,0,ROW()-1,5),ROW()-1,FALSE))</f>
        <v>61.9</v>
      </c>
      <c r="G1065" t="str">
        <f ca="1">IF(AND(ISNUMBER($G$2133),$B$1132=1),$G$2133,HLOOKUP(INDIRECT(ADDRESS(2,COLUMN())),OFFSET($K$2,0,0,ROW()-1,5),ROW()-1,FALSE))</f>
        <v/>
      </c>
      <c r="H1065">
        <f ca="1">IF(AND(ISNUMBER($H$2133),$B$1132=1),$H$2133,HLOOKUP(INDIRECT(ADDRESS(2,COLUMN())),OFFSET($K$2,0,0,ROW()-1,5),ROW()-1,FALSE))</f>
        <v>46.957000000000001</v>
      </c>
      <c r="I1065">
        <f ca="1">IF(AND(ISNUMBER($I$2133),$B$1132=1),$I$2133,HLOOKUP(INDIRECT(ADDRESS(2,COLUMN())),OFFSET($K$2,0,0,ROW()-1,5),ROW()-1,FALSE))</f>
        <v>48.854999999999997</v>
      </c>
      <c r="J1065">
        <f ca="1">IF(AND(ISNUMBER($J$2133),$B$1132=1),$J$2133,HLOOKUP(INDIRECT(ADDRESS(2,COLUMN())),OFFSET($K$2,0,0,ROW()-1,5),ROW()-1,FALSE))</f>
        <v>40.802</v>
      </c>
      <c r="K1065">
        <f>61.9</f>
        <v>61.9</v>
      </c>
      <c r="L1065" t="str">
        <f>""</f>
        <v/>
      </c>
      <c r="M1065">
        <f>46.957</f>
        <v>46.957000000000001</v>
      </c>
      <c r="N1065">
        <f>48.855</f>
        <v>48.854999999999997</v>
      </c>
      <c r="O1065">
        <f>40.802</f>
        <v>40.802</v>
      </c>
    </row>
    <row r="1066" spans="1:15" x14ac:dyDescent="0.25">
      <c r="A1066" t="str">
        <f>"                        China Resources Power Holdings"</f>
        <v xml:space="preserve">                        China Resources Power Holdings</v>
      </c>
      <c r="B1066" t="str">
        <f>"836 HK Equity"</f>
        <v>836 HK Equity</v>
      </c>
      <c r="C1066" t="str">
        <f t="shared" si="123"/>
        <v>F0946</v>
      </c>
      <c r="D1066" t="str">
        <f t="shared" si="124"/>
        <v>TOTAL_GHG_CO2_EMISSIONS</v>
      </c>
      <c r="E1066" t="str">
        <f t="shared" si="125"/>
        <v>Dynamic</v>
      </c>
      <c r="F1066">
        <f ca="1">IF(AND(ISNUMBER($F$2134),$B$1132=1),$F$2134,HLOOKUP(INDIRECT(ADDRESS(2,COLUMN())),OFFSET($K$2,0,0,ROW()-1,5),ROW()-1,FALSE))</f>
        <v>152.61500000000001</v>
      </c>
      <c r="G1066">
        <f ca="1">IF(AND(ISNUMBER($G$2134),$B$1132=1),$G$2134,HLOOKUP(INDIRECT(ADDRESS(2,COLUMN())),OFFSET($K$2,0,0,ROW()-1,5),ROW()-1,FALSE))</f>
        <v>153.08000000000001</v>
      </c>
      <c r="H1066">
        <f ca="1">IF(AND(ISNUMBER($H$2134),$B$1132=1),$H$2134,HLOOKUP(INDIRECT(ADDRESS(2,COLUMN())),OFFSET($K$2,0,0,ROW()-1,5),ROW()-1,FALSE))</f>
        <v>140.71</v>
      </c>
      <c r="I1066">
        <f ca="1">IF(AND(ISNUMBER($I$2134),$B$1132=1),$I$2134,HLOOKUP(INDIRECT(ADDRESS(2,COLUMN())),OFFSET($K$2,0,0,ROW()-1,5),ROW()-1,FALSE))</f>
        <v>134.02000000000001</v>
      </c>
      <c r="J1066">
        <f ca="1">IF(AND(ISNUMBER($J$2134),$B$1132=1),$J$2134,HLOOKUP(INDIRECT(ADDRESS(2,COLUMN())),OFFSET($K$2,0,0,ROW()-1,5),ROW()-1,FALSE))</f>
        <v>133.30500000000001</v>
      </c>
      <c r="K1066">
        <f>152.615</f>
        <v>152.61500000000001</v>
      </c>
      <c r="L1066">
        <f>153.08</f>
        <v>153.08000000000001</v>
      </c>
      <c r="M1066">
        <f>140.71</f>
        <v>140.71</v>
      </c>
      <c r="N1066">
        <f>134.02</f>
        <v>134.02000000000001</v>
      </c>
      <c r="O1066">
        <f>133.305</f>
        <v>133.30500000000001</v>
      </c>
    </row>
    <row r="1067" spans="1:15" x14ac:dyDescent="0.25">
      <c r="A1067" t="str">
        <f>"                        China Yangtze Power Co Ltd"</f>
        <v xml:space="preserve">                        China Yangtze Power Co Ltd</v>
      </c>
      <c r="B1067" t="str">
        <f>"600900 CH Equity"</f>
        <v>600900 CH Equity</v>
      </c>
      <c r="C1067" t="str">
        <f t="shared" si="123"/>
        <v>F0946</v>
      </c>
      <c r="D1067" t="str">
        <f t="shared" si="124"/>
        <v>TOTAL_GHG_CO2_EMISSIONS</v>
      </c>
      <c r="E1067" t="str">
        <f t="shared" si="125"/>
        <v>Dynamic</v>
      </c>
      <c r="F1067">
        <f ca="1">IF(AND(ISNUMBER($F$2135),$B$1132=1),$F$2135,HLOOKUP(INDIRECT(ADDRESS(2,COLUMN())),OFFSET($K$2,0,0,ROW()-1,5),ROW()-1,FALSE))</f>
        <v>2.14834E-2</v>
      </c>
      <c r="G1067" t="str">
        <f ca="1">IF(AND(ISNUMBER($G$2135),$B$1132=1),$G$2135,HLOOKUP(INDIRECT(ADDRESS(2,COLUMN())),OFFSET($K$2,0,0,ROW()-1,5),ROW()-1,FALSE))</f>
        <v/>
      </c>
      <c r="H1067" t="str">
        <f ca="1">IF(AND(ISNUMBER($H$2135),$B$1132=1),$H$2135,HLOOKUP(INDIRECT(ADDRESS(2,COLUMN())),OFFSET($K$2,0,0,ROW()-1,5),ROW()-1,FALSE))</f>
        <v/>
      </c>
      <c r="I1067" t="str">
        <f ca="1">IF(AND(ISNUMBER($I$2135),$B$1132=1),$I$2135,HLOOKUP(INDIRECT(ADDRESS(2,COLUMN())),OFFSET($K$2,0,0,ROW()-1,5),ROW()-1,FALSE))</f>
        <v/>
      </c>
      <c r="J1067" t="str">
        <f ca="1">IF(AND(ISNUMBER($J$2135),$B$1132=1),$J$2135,HLOOKUP(INDIRECT(ADDRESS(2,COLUMN())),OFFSET($K$2,0,0,ROW()-1,5),ROW()-1,FALSE))</f>
        <v/>
      </c>
      <c r="K1067">
        <f>0.0214834</f>
        <v>2.14834E-2</v>
      </c>
      <c r="L1067" t="str">
        <f>""</f>
        <v/>
      </c>
      <c r="M1067" t="str">
        <f>""</f>
        <v/>
      </c>
      <c r="N1067" t="str">
        <f>""</f>
        <v/>
      </c>
      <c r="O1067" t="str">
        <f>""</f>
        <v/>
      </c>
    </row>
    <row r="1068" spans="1:15" x14ac:dyDescent="0.25">
      <c r="A1068" t="str">
        <f>"                        CK Infrastructure Holdings Ltd"</f>
        <v xml:space="preserve">                        CK Infrastructure Holdings Ltd</v>
      </c>
      <c r="B1068" t="str">
        <f>"1038 HK Equity"</f>
        <v>1038 HK Equity</v>
      </c>
      <c r="C1068" t="str">
        <f t="shared" si="123"/>
        <v>F0946</v>
      </c>
      <c r="D1068" t="str">
        <f t="shared" si="124"/>
        <v>TOTAL_GHG_CO2_EMISSIONS</v>
      </c>
      <c r="E1068" t="str">
        <f t="shared" si="125"/>
        <v>Dynamic</v>
      </c>
      <c r="F1068">
        <f ca="1">IF(AND(ISNUMBER($F$2136),$B$1132=1),$F$2136,HLOOKUP(INDIRECT(ADDRESS(2,COLUMN())),OFFSET($K$2,0,0,ROW()-1,5),ROW()-1,FALSE))</f>
        <v>9.1859003910000006</v>
      </c>
      <c r="G1068">
        <f ca="1">IF(AND(ISNUMBER($G$2136),$B$1132=1),$G$2136,HLOOKUP(INDIRECT(ADDRESS(2,COLUMN())),OFFSET($K$2,0,0,ROW()-1,5),ROW()-1,FALSE))</f>
        <v>8.4994199219999995</v>
      </c>
      <c r="H1068">
        <f ca="1">IF(AND(ISNUMBER($H$2136),$B$1132=1),$H$2136,HLOOKUP(INDIRECT(ADDRESS(2,COLUMN())),OFFSET($K$2,0,0,ROW()-1,5),ROW()-1,FALSE))</f>
        <v>9.923679688</v>
      </c>
      <c r="I1068">
        <f ca="1">IF(AND(ISNUMBER($I$2136),$B$1132=1),$I$2136,HLOOKUP(INDIRECT(ADDRESS(2,COLUMN())),OFFSET($K$2,0,0,ROW()-1,5),ROW()-1,FALSE))</f>
        <v>10.3137002</v>
      </c>
      <c r="J1068">
        <f ca="1">IF(AND(ISNUMBER($J$2136),$B$1132=1),$J$2136,HLOOKUP(INDIRECT(ADDRESS(2,COLUMN())),OFFSET($K$2,0,0,ROW()-1,5),ROW()-1,FALSE))</f>
        <v>10.864900390000001</v>
      </c>
      <c r="K1068">
        <f>9.185900391</f>
        <v>9.1859003910000006</v>
      </c>
      <c r="L1068">
        <f>8.499419922</f>
        <v>8.4994199219999995</v>
      </c>
      <c r="M1068">
        <f>9.923679688</f>
        <v>9.923679688</v>
      </c>
      <c r="N1068">
        <f>10.3137002</f>
        <v>10.3137002</v>
      </c>
      <c r="O1068">
        <f>10.86490039</f>
        <v>10.864900390000001</v>
      </c>
    </row>
    <row r="1069" spans="1:15" x14ac:dyDescent="0.25">
      <c r="A1069" t="str">
        <f>"                        CLP Holdings Ltd"</f>
        <v xml:space="preserve">                        CLP Holdings Ltd</v>
      </c>
      <c r="B1069" t="str">
        <f>"2 HK Equity"</f>
        <v>2 HK Equity</v>
      </c>
      <c r="C1069" t="str">
        <f t="shared" si="123"/>
        <v>F0946</v>
      </c>
      <c r="D1069" t="str">
        <f t="shared" si="124"/>
        <v>TOTAL_GHG_CO2_EMISSIONS</v>
      </c>
      <c r="E1069" t="str">
        <f t="shared" si="125"/>
        <v>Dynamic</v>
      </c>
      <c r="F1069">
        <f ca="1">IF(AND(ISNUMBER($F$2137),$B$1132=1),$F$2137,HLOOKUP(INDIRECT(ADDRESS(2,COLUMN())),OFFSET($K$2,0,0,ROW()-1,5),ROW()-1,FALSE))</f>
        <v>44.360999999999997</v>
      </c>
      <c r="G1069">
        <f ca="1">IF(AND(ISNUMBER($G$2137),$B$1132=1),$G$2137,HLOOKUP(INDIRECT(ADDRESS(2,COLUMN())),OFFSET($K$2,0,0,ROW()-1,5),ROW()-1,FALSE))</f>
        <v>47.926000000000002</v>
      </c>
      <c r="H1069">
        <f ca="1">IF(AND(ISNUMBER($H$2137),$B$1132=1),$H$2137,HLOOKUP(INDIRECT(ADDRESS(2,COLUMN())),OFFSET($K$2,0,0,ROW()-1,5),ROW()-1,FALSE))</f>
        <v>45.348999999999997</v>
      </c>
      <c r="I1069">
        <f ca="1">IF(AND(ISNUMBER($I$2137),$B$1132=1),$I$2137,HLOOKUP(INDIRECT(ADDRESS(2,COLUMN())),OFFSET($K$2,0,0,ROW()-1,5),ROW()-1,FALSE))</f>
        <v>50.676499999999997</v>
      </c>
      <c r="J1069">
        <f ca="1">IF(AND(ISNUMBER($J$2137),$B$1132=1),$J$2137,HLOOKUP(INDIRECT(ADDRESS(2,COLUMN())),OFFSET($K$2,0,0,ROW()-1,5),ROW()-1,FALSE))</f>
        <v>52.304499999999997</v>
      </c>
      <c r="K1069">
        <f>44.361</f>
        <v>44.360999999999997</v>
      </c>
      <c r="L1069">
        <f>47.926</f>
        <v>47.926000000000002</v>
      </c>
      <c r="M1069">
        <f>45.349</f>
        <v>45.348999999999997</v>
      </c>
      <c r="N1069">
        <f>50.6765</f>
        <v>50.676499999999997</v>
      </c>
      <c r="O1069">
        <f>52.3045</f>
        <v>52.304499999999997</v>
      </c>
    </row>
    <row r="1070" spans="1:15" x14ac:dyDescent="0.25">
      <c r="A1070" t="str">
        <f>"                        China National Nuclear Power C"</f>
        <v xml:space="preserve">                        China National Nuclear Power C</v>
      </c>
      <c r="B1070" t="str">
        <f>"601985 CH Equity"</f>
        <v>601985 CH Equity</v>
      </c>
      <c r="C1070" t="str">
        <f t="shared" si="123"/>
        <v>F0946</v>
      </c>
      <c r="D1070" t="str">
        <f t="shared" si="124"/>
        <v>TOTAL_GHG_CO2_EMISSIONS</v>
      </c>
      <c r="E1070" t="str">
        <f t="shared" si="125"/>
        <v>Dynamic</v>
      </c>
      <c r="F1070" t="str">
        <f ca="1">IF(AND(ISNUMBER($F$2138),$B$1132=1),$F$2138,HLOOKUP(INDIRECT(ADDRESS(2,COLUMN())),OFFSET($K$2,0,0,ROW()-1,5),ROW()-1,FALSE))</f>
        <v/>
      </c>
      <c r="G1070" t="str">
        <f ca="1">IF(AND(ISNUMBER($G$2138),$B$1132=1),$G$2138,HLOOKUP(INDIRECT(ADDRESS(2,COLUMN())),OFFSET($K$2,0,0,ROW()-1,5),ROW()-1,FALSE))</f>
        <v/>
      </c>
      <c r="H1070" t="str">
        <f ca="1">IF(AND(ISNUMBER($H$2138),$B$1132=1),$H$2138,HLOOKUP(INDIRECT(ADDRESS(2,COLUMN())),OFFSET($K$2,0,0,ROW()-1,5),ROW()-1,FALSE))</f>
        <v/>
      </c>
      <c r="I1070" t="str">
        <f ca="1">IF(AND(ISNUMBER($I$2138),$B$1132=1),$I$2138,HLOOKUP(INDIRECT(ADDRESS(2,COLUMN())),OFFSET($K$2,0,0,ROW()-1,5),ROW()-1,FALSE))</f>
        <v/>
      </c>
      <c r="J1070" t="str">
        <f ca="1">IF(AND(ISNUMBER($J$2138),$B$1132=1),$J$2138,HLOOKUP(INDIRECT(ADDRESS(2,COLUMN())),OFFSET($K$2,0,0,ROW()-1,5),ROW()-1,FALSE))</f>
        <v/>
      </c>
      <c r="K1070" t="str">
        <f>""</f>
        <v/>
      </c>
      <c r="L1070" t="str">
        <f>""</f>
        <v/>
      </c>
      <c r="M1070" t="str">
        <f>""</f>
        <v/>
      </c>
      <c r="N1070" t="str">
        <f>""</f>
        <v/>
      </c>
      <c r="O1070" t="str">
        <f>""</f>
        <v/>
      </c>
    </row>
    <row r="1071" spans="1:15" x14ac:dyDescent="0.25">
      <c r="A1071" t="str">
        <f>"                        Contact Energy Ltd"</f>
        <v xml:space="preserve">                        Contact Energy Ltd</v>
      </c>
      <c r="B1071" t="str">
        <f>"CEN NZ Equity"</f>
        <v>CEN NZ Equity</v>
      </c>
      <c r="C1071" t="str">
        <f t="shared" si="123"/>
        <v>F0946</v>
      </c>
      <c r="D1071" t="str">
        <f t="shared" si="124"/>
        <v>TOTAL_GHG_CO2_EMISSIONS</v>
      </c>
      <c r="E1071" t="str">
        <f t="shared" si="125"/>
        <v>Dynamic</v>
      </c>
      <c r="F1071" t="str">
        <f ca="1">IF(AND(ISNUMBER($F$2139),$B$1132=1),$F$2139,HLOOKUP(INDIRECT(ADDRESS(2,COLUMN())),OFFSET($K$2,0,0,ROW()-1,5),ROW()-1,FALSE))</f>
        <v/>
      </c>
      <c r="G1071">
        <f ca="1">IF(AND(ISNUMBER($G$2139),$B$1132=1),$G$2139,HLOOKUP(INDIRECT(ADDRESS(2,COLUMN())),OFFSET($K$2,0,0,ROW()-1,5),ROW()-1,FALSE))</f>
        <v>0.78824102799999995</v>
      </c>
      <c r="H1071">
        <f ca="1">IF(AND(ISNUMBER($H$2139),$B$1132=1),$H$2139,HLOOKUP(INDIRECT(ADDRESS(2,COLUMN())),OFFSET($K$2,0,0,ROW()-1,5),ROW()-1,FALSE))</f>
        <v>1.0458800049999999</v>
      </c>
      <c r="I1071">
        <f ca="1">IF(AND(ISNUMBER($I$2139),$B$1132=1),$I$2139,HLOOKUP(INDIRECT(ADDRESS(2,COLUMN())),OFFSET($K$2,0,0,ROW()-1,5),ROW()-1,FALSE))</f>
        <v>0.92433001699999995</v>
      </c>
      <c r="J1071">
        <f ca="1">IF(AND(ISNUMBER($J$2139),$B$1132=1),$J$2139,HLOOKUP(INDIRECT(ADDRESS(2,COLUMN())),OFFSET($K$2,0,0,ROW()-1,5),ROW()-1,FALSE))</f>
        <v>0.98727899200000002</v>
      </c>
      <c r="K1071" t="str">
        <f>""</f>
        <v/>
      </c>
      <c r="L1071">
        <f>0.788241028</f>
        <v>0.78824102799999995</v>
      </c>
      <c r="M1071">
        <f>1.045880005</f>
        <v>1.0458800049999999</v>
      </c>
      <c r="N1071">
        <f>0.924330017</f>
        <v>0.92433001699999995</v>
      </c>
      <c r="O1071">
        <f>0.987278992</f>
        <v>0.98727899200000002</v>
      </c>
    </row>
    <row r="1072" spans="1:15" x14ac:dyDescent="0.25">
      <c r="A1072" t="str">
        <f>"                        Chugoku Electric Power Co Inc/"</f>
        <v xml:space="preserve">                        Chugoku Electric Power Co Inc/</v>
      </c>
      <c r="B1072" t="str">
        <f>"9504 JP Equity"</f>
        <v>9504 JP Equity</v>
      </c>
      <c r="C1072" t="str">
        <f t="shared" si="123"/>
        <v>F0946</v>
      </c>
      <c r="D1072" t="str">
        <f t="shared" si="124"/>
        <v>TOTAL_GHG_CO2_EMISSIONS</v>
      </c>
      <c r="E1072" t="str">
        <f t="shared" si="125"/>
        <v>Dynamic</v>
      </c>
      <c r="F1072" t="str">
        <f ca="1">IF(AND(ISNUMBER($F$2140),$B$1132=1),$F$2140,HLOOKUP(INDIRECT(ADDRESS(2,COLUMN())),OFFSET($K$2,0,0,ROW()-1,5),ROW()-1,FALSE))</f>
        <v/>
      </c>
      <c r="G1072">
        <f ca="1">IF(AND(ISNUMBER($G$2140),$B$1132=1),$G$2140,HLOOKUP(INDIRECT(ADDRESS(2,COLUMN())),OFFSET($K$2,0,0,ROW()-1,5),ROW()-1,FALSE))</f>
        <v>18.5</v>
      </c>
      <c r="H1072">
        <f ca="1">IF(AND(ISNUMBER($H$2140),$B$1132=1),$H$2140,HLOOKUP(INDIRECT(ADDRESS(2,COLUMN())),OFFSET($K$2,0,0,ROW()-1,5),ROW()-1,FALSE))</f>
        <v>17.39</v>
      </c>
      <c r="I1072">
        <f ca="1">IF(AND(ISNUMBER($I$2140),$B$1132=1),$I$2140,HLOOKUP(INDIRECT(ADDRESS(2,COLUMN())),OFFSET($K$2,0,0,ROW()-1,5),ROW()-1,FALSE))</f>
        <v>19.110099609999999</v>
      </c>
      <c r="J1072">
        <f ca="1">IF(AND(ISNUMBER($J$2140),$B$1132=1),$J$2140,HLOOKUP(INDIRECT(ADDRESS(2,COLUMN())),OFFSET($K$2,0,0,ROW()-1,5),ROW()-1,FALSE))</f>
        <v>20.34</v>
      </c>
      <c r="K1072" t="str">
        <f>""</f>
        <v/>
      </c>
      <c r="L1072">
        <f>18.5</f>
        <v>18.5</v>
      </c>
      <c r="M1072">
        <f>17.39</f>
        <v>17.39</v>
      </c>
      <c r="N1072">
        <f>19.11009961</f>
        <v>19.110099609999999</v>
      </c>
      <c r="O1072">
        <f>20.34</f>
        <v>20.34</v>
      </c>
    </row>
    <row r="1073" spans="1:15" x14ac:dyDescent="0.25">
      <c r="A1073" t="str">
        <f>"                        Datang International Power Gen"</f>
        <v xml:space="preserve">                        Datang International Power Gen</v>
      </c>
      <c r="B1073" t="str">
        <f>"991 HK Equity"</f>
        <v>991 HK Equity</v>
      </c>
      <c r="C1073" t="str">
        <f t="shared" si="123"/>
        <v>F0946</v>
      </c>
      <c r="D1073" t="str">
        <f t="shared" si="124"/>
        <v>TOTAL_GHG_CO2_EMISSIONS</v>
      </c>
      <c r="E1073" t="str">
        <f t="shared" si="125"/>
        <v>Dynamic</v>
      </c>
      <c r="F1073">
        <f ca="1">IF(AND(ISNUMBER($F$2141),$B$1132=1),$F$2141,HLOOKUP(INDIRECT(ADDRESS(2,COLUMN())),OFFSET($K$2,0,0,ROW()-1,5),ROW()-1,FALSE))</f>
        <v>191.95699999999999</v>
      </c>
      <c r="G1073">
        <f ca="1">IF(AND(ISNUMBER($G$2141),$B$1132=1),$G$2141,HLOOKUP(INDIRECT(ADDRESS(2,COLUMN())),OFFSET($K$2,0,0,ROW()-1,5),ROW()-1,FALSE))</f>
        <v>200.708</v>
      </c>
      <c r="H1073">
        <f ca="1">IF(AND(ISNUMBER($H$2141),$B$1132=1),$H$2141,HLOOKUP(INDIRECT(ADDRESS(2,COLUMN())),OFFSET($K$2,0,0,ROW()-1,5),ROW()-1,FALSE))</f>
        <v>232.97800000000001</v>
      </c>
      <c r="I1073">
        <f ca="1">IF(AND(ISNUMBER($I$2141),$B$1132=1),$I$2141,HLOOKUP(INDIRECT(ADDRESS(2,COLUMN())),OFFSET($K$2,0,0,ROW()-1,5),ROW()-1,FALSE))</f>
        <v>198.53</v>
      </c>
      <c r="J1073">
        <f ca="1">IF(AND(ISNUMBER($J$2141),$B$1132=1),$J$2141,HLOOKUP(INDIRECT(ADDRESS(2,COLUMN())),OFFSET($K$2,0,0,ROW()-1,5),ROW()-1,FALSE))</f>
        <v>377.67</v>
      </c>
      <c r="K1073">
        <f>191.957</f>
        <v>191.95699999999999</v>
      </c>
      <c r="L1073">
        <f>200.708</f>
        <v>200.708</v>
      </c>
      <c r="M1073">
        <f>232.978</f>
        <v>232.97800000000001</v>
      </c>
      <c r="N1073">
        <f>198.53</f>
        <v>198.53</v>
      </c>
      <c r="O1073">
        <f>377.67</f>
        <v>377.67</v>
      </c>
    </row>
    <row r="1074" spans="1:15" x14ac:dyDescent="0.25">
      <c r="A1074" t="str">
        <f>"                        Electric Power Development Co"</f>
        <v xml:space="preserve">                        Electric Power Development Co</v>
      </c>
      <c r="B1074" t="str">
        <f>"9513 JP Equity"</f>
        <v>9513 JP Equity</v>
      </c>
      <c r="C1074" t="str">
        <f t="shared" si="123"/>
        <v>F0946</v>
      </c>
      <c r="D1074" t="str">
        <f t="shared" si="124"/>
        <v>TOTAL_GHG_CO2_EMISSIONS</v>
      </c>
      <c r="E1074" t="str">
        <f t="shared" si="125"/>
        <v>Dynamic</v>
      </c>
      <c r="F1074" t="str">
        <f ca="1">IF(AND(ISNUMBER($F$2142),$B$1132=1),$F$2142,HLOOKUP(INDIRECT(ADDRESS(2,COLUMN())),OFFSET($K$2,0,0,ROW()-1,5),ROW()-1,FALSE))</f>
        <v/>
      </c>
      <c r="G1074">
        <f ca="1">IF(AND(ISNUMBER($G$2142),$B$1132=1),$G$2142,HLOOKUP(INDIRECT(ADDRESS(2,COLUMN())),OFFSET($K$2,0,0,ROW()-1,5),ROW()-1,FALSE))</f>
        <v>48.09</v>
      </c>
      <c r="H1074">
        <f ca="1">IF(AND(ISNUMBER($H$2142),$B$1132=1),$H$2142,HLOOKUP(INDIRECT(ADDRESS(2,COLUMN())),OFFSET($K$2,0,0,ROW()-1,5),ROW()-1,FALSE))</f>
        <v>52.552300780000003</v>
      </c>
      <c r="I1074">
        <f ca="1">IF(AND(ISNUMBER($I$2142),$B$1132=1),$I$2142,HLOOKUP(INDIRECT(ADDRESS(2,COLUMN())),OFFSET($K$2,0,0,ROW()-1,5),ROW()-1,FALSE))</f>
        <v>52.311999999999998</v>
      </c>
      <c r="J1074">
        <f ca="1">IF(AND(ISNUMBER($J$2142),$B$1132=1),$J$2142,HLOOKUP(INDIRECT(ADDRESS(2,COLUMN())),OFFSET($K$2,0,0,ROW()-1,5),ROW()-1,FALSE))</f>
        <v>53.959101560000001</v>
      </c>
      <c r="K1074" t="str">
        <f>""</f>
        <v/>
      </c>
      <c r="L1074">
        <f>48.09</f>
        <v>48.09</v>
      </c>
      <c r="M1074">
        <f>52.55230078</f>
        <v>52.552300780000003</v>
      </c>
      <c r="N1074">
        <f>52.312</f>
        <v>52.311999999999998</v>
      </c>
      <c r="O1074">
        <f>53.95910156</f>
        <v>53.959101560000001</v>
      </c>
    </row>
    <row r="1075" spans="1:15" x14ac:dyDescent="0.25">
      <c r="A1075" t="str">
        <f>"                        Electricity Generating PCL"</f>
        <v xml:space="preserve">                        Electricity Generating PCL</v>
      </c>
      <c r="B1075" t="str">
        <f>"EGCO TB Equity"</f>
        <v>EGCO TB Equity</v>
      </c>
      <c r="C1075" t="str">
        <f t="shared" si="123"/>
        <v>F0946</v>
      </c>
      <c r="D1075" t="str">
        <f t="shared" si="124"/>
        <v>TOTAL_GHG_CO2_EMISSIONS</v>
      </c>
      <c r="E1075" t="str">
        <f t="shared" si="125"/>
        <v>Dynamic</v>
      </c>
      <c r="F1075" t="str">
        <f ca="1">IF(AND(ISNUMBER($F$2143),$B$1132=1),$F$2143,HLOOKUP(INDIRECT(ADDRESS(2,COLUMN())),OFFSET($K$2,0,0,ROW()-1,5),ROW()-1,FALSE))</f>
        <v/>
      </c>
      <c r="G1075">
        <f ca="1">IF(AND(ISNUMBER($G$2143),$B$1132=1),$G$2143,HLOOKUP(INDIRECT(ADDRESS(2,COLUMN())),OFFSET($K$2,0,0,ROW()-1,5),ROW()-1,FALSE))</f>
        <v>6.2519799799999998</v>
      </c>
      <c r="H1075">
        <f ca="1">IF(AND(ISNUMBER($H$2143),$B$1132=1),$H$2143,HLOOKUP(INDIRECT(ADDRESS(2,COLUMN())),OFFSET($K$2,0,0,ROW()-1,5),ROW()-1,FALSE))</f>
        <v>6.5398901370000004</v>
      </c>
      <c r="I1075">
        <f ca="1">IF(AND(ISNUMBER($I$2143),$B$1132=1),$I$2143,HLOOKUP(INDIRECT(ADDRESS(2,COLUMN())),OFFSET($K$2,0,0,ROW()-1,5),ROW()-1,FALSE))</f>
        <v>6.8015498049999996</v>
      </c>
      <c r="J1075">
        <f ca="1">IF(AND(ISNUMBER($J$2143),$B$1132=1),$J$2143,HLOOKUP(INDIRECT(ADDRESS(2,COLUMN())),OFFSET($K$2,0,0,ROW()-1,5),ROW()-1,FALSE))</f>
        <v>6.6735200199999998</v>
      </c>
      <c r="K1075" t="str">
        <f>""</f>
        <v/>
      </c>
      <c r="L1075">
        <f>6.25197998</f>
        <v>6.2519799799999998</v>
      </c>
      <c r="M1075">
        <f>6.539890137</f>
        <v>6.5398901370000004</v>
      </c>
      <c r="N1075">
        <f>6.801549805</f>
        <v>6.8015498049999996</v>
      </c>
      <c r="O1075">
        <f>6.67352002</f>
        <v>6.6735200199999998</v>
      </c>
    </row>
    <row r="1076" spans="1:15" x14ac:dyDescent="0.25">
      <c r="A1076" t="str">
        <f>"                        First Gen Corp"</f>
        <v xml:space="preserve">                        First Gen Corp</v>
      </c>
      <c r="B1076" t="str">
        <f>"FGEN PM Equity"</f>
        <v>FGEN PM Equity</v>
      </c>
      <c r="C1076" t="str">
        <f t="shared" si="123"/>
        <v>F0946</v>
      </c>
      <c r="D1076" t="str">
        <f t="shared" si="124"/>
        <v>TOTAL_GHG_CO2_EMISSIONS</v>
      </c>
      <c r="E1076" t="str">
        <f t="shared" si="125"/>
        <v>Dynamic</v>
      </c>
      <c r="F1076">
        <f ca="1">IF(AND(ISNUMBER($F$2144),$B$1132=1),$F$2144,HLOOKUP(INDIRECT(ADDRESS(2,COLUMN())),OFFSET($K$2,0,0,ROW()-1,5),ROW()-1,FALSE))</f>
        <v>6.699649902</v>
      </c>
      <c r="G1076">
        <f ca="1">IF(AND(ISNUMBER($G$2144),$B$1132=1),$G$2144,HLOOKUP(INDIRECT(ADDRESS(2,COLUMN())),OFFSET($K$2,0,0,ROW()-1,5),ROW()-1,FALSE))</f>
        <v>5.8272402339999996</v>
      </c>
      <c r="H1076" t="str">
        <f ca="1">IF(AND(ISNUMBER($H$2144),$B$1132=1),$H$2144,HLOOKUP(INDIRECT(ADDRESS(2,COLUMN())),OFFSET($K$2,0,0,ROW()-1,5),ROW()-1,FALSE))</f>
        <v/>
      </c>
      <c r="I1076">
        <f ca="1">IF(AND(ISNUMBER($I$2144),$B$1132=1),$I$2144,HLOOKUP(INDIRECT(ADDRESS(2,COLUMN())),OFFSET($K$2,0,0,ROW()-1,5),ROW()-1,FALSE))</f>
        <v>5.2452597660000002</v>
      </c>
      <c r="J1076">
        <f ca="1">IF(AND(ISNUMBER($J$2144),$B$1132=1),$J$2144,HLOOKUP(INDIRECT(ADDRESS(2,COLUMN())),OFFSET($K$2,0,0,ROW()-1,5),ROW()-1,FALSE))</f>
        <v>5.6811899410000004</v>
      </c>
      <c r="K1076">
        <f>6.699649902</f>
        <v>6.699649902</v>
      </c>
      <c r="L1076">
        <f>5.827240234</f>
        <v>5.8272402339999996</v>
      </c>
      <c r="M1076" t="str">
        <f>""</f>
        <v/>
      </c>
      <c r="N1076">
        <f>5.245259766</f>
        <v>5.2452597660000002</v>
      </c>
      <c r="O1076">
        <f>5.681189941</f>
        <v>5.6811899410000004</v>
      </c>
    </row>
    <row r="1077" spans="1:15" x14ac:dyDescent="0.25">
      <c r="A1077" t="str">
        <f>"                        First Philippine Holdings Corp"</f>
        <v xml:space="preserve">                        First Philippine Holdings Corp</v>
      </c>
      <c r="B1077" t="str">
        <f>"FPH PM Equity"</f>
        <v>FPH PM Equity</v>
      </c>
      <c r="C1077" t="str">
        <f t="shared" si="123"/>
        <v>F0946</v>
      </c>
      <c r="D1077" t="str">
        <f t="shared" si="124"/>
        <v>TOTAL_GHG_CO2_EMISSIONS</v>
      </c>
      <c r="E1077" t="str">
        <f t="shared" si="125"/>
        <v>Dynamic</v>
      </c>
      <c r="F1077" t="str">
        <f ca="1">IF(AND(ISNUMBER($F$2145),$B$1132=1),$F$2145,HLOOKUP(INDIRECT(ADDRESS(2,COLUMN())),OFFSET($K$2,0,0,ROW()-1,5),ROW()-1,FALSE))</f>
        <v/>
      </c>
      <c r="G1077">
        <f ca="1">IF(AND(ISNUMBER($G$2145),$B$1132=1),$G$2145,HLOOKUP(INDIRECT(ADDRESS(2,COLUMN())),OFFSET($K$2,0,0,ROW()-1,5),ROW()-1,FALSE))</f>
        <v>6.5586401370000003</v>
      </c>
      <c r="H1077">
        <f ca="1">IF(AND(ISNUMBER($H$2145),$B$1132=1),$H$2145,HLOOKUP(INDIRECT(ADDRESS(2,COLUMN())),OFFSET($K$2,0,0,ROW()-1,5),ROW()-1,FALSE))</f>
        <v>5.5638500979999996</v>
      </c>
      <c r="I1077">
        <f ca="1">IF(AND(ISNUMBER($I$2145),$B$1132=1),$I$2145,HLOOKUP(INDIRECT(ADDRESS(2,COLUMN())),OFFSET($K$2,0,0,ROW()-1,5),ROW()-1,FALSE))</f>
        <v>5.7647299800000003</v>
      </c>
      <c r="J1077">
        <f ca="1">IF(AND(ISNUMBER($J$2145),$B$1132=1),$J$2145,HLOOKUP(INDIRECT(ADDRESS(2,COLUMN())),OFFSET($K$2,0,0,ROW()-1,5),ROW()-1,FALSE))</f>
        <v>5.7248100590000002</v>
      </c>
      <c r="K1077" t="str">
        <f>""</f>
        <v/>
      </c>
      <c r="L1077">
        <f>6.558640137</f>
        <v>6.5586401370000003</v>
      </c>
      <c r="M1077">
        <f>5.563850098</f>
        <v>5.5638500979999996</v>
      </c>
      <c r="N1077">
        <f>5.76472998</f>
        <v>5.7647299800000003</v>
      </c>
      <c r="O1077">
        <f>5.724810059</f>
        <v>5.7248100590000002</v>
      </c>
    </row>
    <row r="1078" spans="1:15" x14ac:dyDescent="0.25">
      <c r="A1078" t="str">
        <f>"                        GD Power Development Co Ltd"</f>
        <v xml:space="preserve">                        GD Power Development Co Ltd</v>
      </c>
      <c r="B1078" t="str">
        <f>"600795 CH Equity"</f>
        <v>600795 CH Equity</v>
      </c>
      <c r="C1078" t="str">
        <f t="shared" si="123"/>
        <v>F0946</v>
      </c>
      <c r="D1078" t="str">
        <f t="shared" si="124"/>
        <v>TOTAL_GHG_CO2_EMISSIONS</v>
      </c>
      <c r="E1078" t="str">
        <f t="shared" si="125"/>
        <v>Dynamic</v>
      </c>
      <c r="F1078">
        <f ca="1">IF(AND(ISNUMBER($F$2146),$B$1132=1),$F$2146,HLOOKUP(INDIRECT(ADDRESS(2,COLUMN())),OFFSET($K$2,0,0,ROW()-1,5),ROW()-1,FALSE))</f>
        <v>378.96</v>
      </c>
      <c r="G1078" t="str">
        <f ca="1">IF(AND(ISNUMBER($G$2146),$B$1132=1),$G$2146,HLOOKUP(INDIRECT(ADDRESS(2,COLUMN())),OFFSET($K$2,0,0,ROW()-1,5),ROW()-1,FALSE))</f>
        <v/>
      </c>
      <c r="H1078" t="str">
        <f ca="1">IF(AND(ISNUMBER($H$2146),$B$1132=1),$H$2146,HLOOKUP(INDIRECT(ADDRESS(2,COLUMN())),OFFSET($K$2,0,0,ROW()-1,5),ROW()-1,FALSE))</f>
        <v/>
      </c>
      <c r="I1078" t="str">
        <f ca="1">IF(AND(ISNUMBER($I$2146),$B$1132=1),$I$2146,HLOOKUP(INDIRECT(ADDRESS(2,COLUMN())),OFFSET($K$2,0,0,ROW()-1,5),ROW()-1,FALSE))</f>
        <v/>
      </c>
      <c r="J1078" t="str">
        <f ca="1">IF(AND(ISNUMBER($J$2146),$B$1132=1),$J$2146,HLOOKUP(INDIRECT(ADDRESS(2,COLUMN())),OFFSET($K$2,0,0,ROW()-1,5),ROW()-1,FALSE))</f>
        <v/>
      </c>
      <c r="K1078">
        <f>378.96</f>
        <v>378.96</v>
      </c>
      <c r="L1078" t="str">
        <f>""</f>
        <v/>
      </c>
      <c r="M1078" t="str">
        <f>""</f>
        <v/>
      </c>
      <c r="N1078" t="str">
        <f>""</f>
        <v/>
      </c>
      <c r="O1078" t="str">
        <f>""</f>
        <v/>
      </c>
    </row>
    <row r="1079" spans="1:15" x14ac:dyDescent="0.25">
      <c r="A1079" t="str">
        <f>"                        HK Electric Investments &amp; HK E"</f>
        <v xml:space="preserve">                        HK Electric Investments &amp; HK E</v>
      </c>
      <c r="B1079" t="str">
        <f>"2638 HK Equity"</f>
        <v>2638 HK Equity</v>
      </c>
      <c r="C1079" t="str">
        <f t="shared" si="123"/>
        <v>F0946</v>
      </c>
      <c r="D1079" t="str">
        <f t="shared" si="124"/>
        <v>TOTAL_GHG_CO2_EMISSIONS</v>
      </c>
      <c r="E1079" t="str">
        <f t="shared" si="125"/>
        <v>Dynamic</v>
      </c>
      <c r="F1079">
        <f ca="1">IF(AND(ISNUMBER($F$2147),$B$1132=1),$F$2147,HLOOKUP(INDIRECT(ADDRESS(2,COLUMN())),OFFSET($K$2,0,0,ROW()-1,5),ROW()-1,FALSE))</f>
        <v>6.77</v>
      </c>
      <c r="G1079">
        <f ca="1">IF(AND(ISNUMBER($G$2147),$B$1132=1),$G$2147,HLOOKUP(INDIRECT(ADDRESS(2,COLUMN())),OFFSET($K$2,0,0,ROW()-1,5),ROW()-1,FALSE))</f>
        <v>7.39</v>
      </c>
      <c r="H1079">
        <f ca="1">IF(AND(ISNUMBER($H$2147),$B$1132=1),$H$2147,HLOOKUP(INDIRECT(ADDRESS(2,COLUMN())),OFFSET($K$2,0,0,ROW()-1,5),ROW()-1,FALSE))</f>
        <v>7.19</v>
      </c>
      <c r="I1079">
        <f ca="1">IF(AND(ISNUMBER($I$2147),$B$1132=1),$I$2147,HLOOKUP(INDIRECT(ADDRESS(2,COLUMN())),OFFSET($K$2,0,0,ROW()-1,5),ROW()-1,FALSE))</f>
        <v>8.51</v>
      </c>
      <c r="J1079">
        <f ca="1">IF(AND(ISNUMBER($J$2147),$B$1132=1),$J$2147,HLOOKUP(INDIRECT(ADDRESS(2,COLUMN())),OFFSET($K$2,0,0,ROW()-1,5),ROW()-1,FALSE))</f>
        <v>8.41</v>
      </c>
      <c r="K1079">
        <f>6.77</f>
        <v>6.77</v>
      </c>
      <c r="L1079">
        <f>7.39</f>
        <v>7.39</v>
      </c>
      <c r="M1079">
        <f>7.19</f>
        <v>7.19</v>
      </c>
      <c r="N1079">
        <f>8.51</f>
        <v>8.51</v>
      </c>
      <c r="O1079">
        <f>8.41</f>
        <v>8.41</v>
      </c>
    </row>
    <row r="1080" spans="1:15" x14ac:dyDescent="0.25">
      <c r="A1080" t="str">
        <f>"                        Huadian Power International Co"</f>
        <v xml:space="preserve">                        Huadian Power International Co</v>
      </c>
      <c r="B1080" t="str">
        <f>"1071 HK Equity"</f>
        <v>1071 HK Equity</v>
      </c>
      <c r="C1080" t="str">
        <f t="shared" si="123"/>
        <v>F0946</v>
      </c>
      <c r="D1080" t="str">
        <f t="shared" si="124"/>
        <v>TOTAL_GHG_CO2_EMISSIONS</v>
      </c>
      <c r="E1080" t="str">
        <f t="shared" si="125"/>
        <v>Dynamic</v>
      </c>
      <c r="F1080">
        <f ca="1">IF(AND(ISNUMBER($F$2148),$B$1132=1),$F$2148,HLOOKUP(INDIRECT(ADDRESS(2,COLUMN())),OFFSET($K$2,0,0,ROW()-1,5),ROW()-1,FALSE))</f>
        <v>170.072</v>
      </c>
      <c r="G1080">
        <f ca="1">IF(AND(ISNUMBER($G$2148),$B$1132=1),$G$2148,HLOOKUP(INDIRECT(ADDRESS(2,COLUMN())),OFFSET($K$2,0,0,ROW()-1,5),ROW()-1,FALSE))</f>
        <v>172.05</v>
      </c>
      <c r="H1080">
        <f ca="1">IF(AND(ISNUMBER($H$2148),$B$1132=1),$H$2148,HLOOKUP(INDIRECT(ADDRESS(2,COLUMN())),OFFSET($K$2,0,0,ROW()-1,5),ROW()-1,FALSE))</f>
        <v>152.71199999999999</v>
      </c>
      <c r="I1080">
        <f ca="1">IF(AND(ISNUMBER($I$2148),$B$1132=1),$I$2148,HLOOKUP(INDIRECT(ADDRESS(2,COLUMN())),OFFSET($K$2,0,0,ROW()-1,5),ROW()-1,FALSE))</f>
        <v>167.93100000000001</v>
      </c>
      <c r="J1080">
        <f ca="1">IF(AND(ISNUMBER($J$2148),$B$1132=1),$J$2148,HLOOKUP(INDIRECT(ADDRESS(2,COLUMN())),OFFSET($K$2,0,0,ROW()-1,5),ROW()-1,FALSE))</f>
        <v>164.34800000000001</v>
      </c>
      <c r="K1080">
        <f>170.072</f>
        <v>170.072</v>
      </c>
      <c r="L1080">
        <f>172.05</f>
        <v>172.05</v>
      </c>
      <c r="M1080">
        <f>152.712</f>
        <v>152.71199999999999</v>
      </c>
      <c r="N1080">
        <f>167.931</f>
        <v>167.93100000000001</v>
      </c>
      <c r="O1080">
        <f>164.348</f>
        <v>164.34800000000001</v>
      </c>
    </row>
    <row r="1081" spans="1:15" x14ac:dyDescent="0.25">
      <c r="A1081" t="str">
        <f>"                        Huaneng Power International In"</f>
        <v xml:space="preserve">                        Huaneng Power International In</v>
      </c>
      <c r="B1081" t="str">
        <f>"902 HK Equity"</f>
        <v>902 HK Equity</v>
      </c>
      <c r="C1081" t="str">
        <f t="shared" si="123"/>
        <v>F0946</v>
      </c>
      <c r="D1081" t="str">
        <f t="shared" si="124"/>
        <v>TOTAL_GHG_CO2_EMISSIONS</v>
      </c>
      <c r="E1081" t="str">
        <f t="shared" si="125"/>
        <v>Dynamic</v>
      </c>
      <c r="F1081" t="str">
        <f ca="1">IF(AND(ISNUMBER($F$2149),$B$1132=1),$F$2149,HLOOKUP(INDIRECT(ADDRESS(2,COLUMN())),OFFSET($K$2,0,0,ROW()-1,5),ROW()-1,FALSE))</f>
        <v/>
      </c>
      <c r="G1081" t="str">
        <f ca="1">IF(AND(ISNUMBER($G$2149),$B$1132=1),$G$2149,HLOOKUP(INDIRECT(ADDRESS(2,COLUMN())),OFFSET($K$2,0,0,ROW()-1,5),ROW()-1,FALSE))</f>
        <v/>
      </c>
      <c r="H1081">
        <f ca="1">IF(AND(ISNUMBER($H$2149),$B$1132=1),$H$2149,HLOOKUP(INDIRECT(ADDRESS(2,COLUMN())),OFFSET($K$2,0,0,ROW()-1,5),ROW()-1,FALSE))</f>
        <v>333.40199999999999</v>
      </c>
      <c r="I1081">
        <f ca="1">IF(AND(ISNUMBER($I$2149),$B$1132=1),$I$2149,HLOOKUP(INDIRECT(ADDRESS(2,COLUMN())),OFFSET($K$2,0,0,ROW()-1,5),ROW()-1,FALSE))</f>
        <v>336.30099999999999</v>
      </c>
      <c r="J1081">
        <f ca="1">IF(AND(ISNUMBER($J$2149),$B$1132=1),$J$2149,HLOOKUP(INDIRECT(ADDRESS(2,COLUMN())),OFFSET($K$2,0,0,ROW()-1,5),ROW()-1,FALSE))</f>
        <v>348.22399999999999</v>
      </c>
      <c r="K1081" t="str">
        <f>""</f>
        <v/>
      </c>
      <c r="L1081" t="str">
        <f>""</f>
        <v/>
      </c>
      <c r="M1081">
        <f>333.402</f>
        <v>333.40199999999999</v>
      </c>
      <c r="N1081">
        <f>336.301</f>
        <v>336.30099999999999</v>
      </c>
      <c r="O1081">
        <f>348.224</f>
        <v>348.22399999999999</v>
      </c>
    </row>
    <row r="1082" spans="1:15" x14ac:dyDescent="0.25">
      <c r="A1082" t="str">
        <f>"                        Hokuriku Electric Power Co"</f>
        <v xml:space="preserve">                        Hokuriku Electric Power Co</v>
      </c>
      <c r="B1082" t="str">
        <f>"9505 JP Equity"</f>
        <v>9505 JP Equity</v>
      </c>
      <c r="C1082" t="str">
        <f t="shared" si="123"/>
        <v>F0946</v>
      </c>
      <c r="D1082" t="str">
        <f t="shared" si="124"/>
        <v>TOTAL_GHG_CO2_EMISSIONS</v>
      </c>
      <c r="E1082" t="str">
        <f t="shared" si="125"/>
        <v>Dynamic</v>
      </c>
      <c r="F1082" t="str">
        <f ca="1">IF(AND(ISNUMBER($F$2150),$B$1132=1),$F$2150,HLOOKUP(INDIRECT(ADDRESS(2,COLUMN())),OFFSET($K$2,0,0,ROW()-1,5),ROW()-1,FALSE))</f>
        <v/>
      </c>
      <c r="G1082" t="str">
        <f ca="1">IF(AND(ISNUMBER($G$2150),$B$1132=1),$G$2150,HLOOKUP(INDIRECT(ADDRESS(2,COLUMN())),OFFSET($K$2,0,0,ROW()-1,5),ROW()-1,FALSE))</f>
        <v/>
      </c>
      <c r="H1082" t="str">
        <f ca="1">IF(AND(ISNUMBER($H$2150),$B$1132=1),$H$2150,HLOOKUP(INDIRECT(ADDRESS(2,COLUMN())),OFFSET($K$2,0,0,ROW()-1,5),ROW()-1,FALSE))</f>
        <v/>
      </c>
      <c r="I1082" t="str">
        <f ca="1">IF(AND(ISNUMBER($I$2150),$B$1132=1),$I$2150,HLOOKUP(INDIRECT(ADDRESS(2,COLUMN())),OFFSET($K$2,0,0,ROW()-1,5),ROW()-1,FALSE))</f>
        <v/>
      </c>
      <c r="J1082">
        <f ca="1">IF(AND(ISNUMBER($J$2150),$B$1132=1),$J$2150,HLOOKUP(INDIRECT(ADDRESS(2,COLUMN())),OFFSET($K$2,0,0,ROW()-1,5),ROW()-1,FALSE))</f>
        <v>15.4592002</v>
      </c>
      <c r="K1082" t="str">
        <f>""</f>
        <v/>
      </c>
      <c r="L1082" t="str">
        <f>""</f>
        <v/>
      </c>
      <c r="M1082" t="str">
        <f>""</f>
        <v/>
      </c>
      <c r="N1082" t="str">
        <f>""</f>
        <v/>
      </c>
      <c r="O1082">
        <f>15.4592002</f>
        <v>15.4592002</v>
      </c>
    </row>
    <row r="1083" spans="1:15" x14ac:dyDescent="0.25">
      <c r="A1083" t="str">
        <f>"                        Kansai Electric Power Co Inc/T"</f>
        <v xml:space="preserve">                        Kansai Electric Power Co Inc/T</v>
      </c>
      <c r="B1083" t="str">
        <f>"9503 JP Equity"</f>
        <v>9503 JP Equity</v>
      </c>
      <c r="C1083" t="str">
        <f t="shared" si="123"/>
        <v>F0946</v>
      </c>
      <c r="D1083" t="str">
        <f t="shared" si="124"/>
        <v>TOTAL_GHG_CO2_EMISSIONS</v>
      </c>
      <c r="E1083" t="str">
        <f t="shared" si="125"/>
        <v>Dynamic</v>
      </c>
      <c r="F1083" t="str">
        <f ca="1">IF(AND(ISNUMBER($F$2151),$B$1132=1),$F$2151,HLOOKUP(INDIRECT(ADDRESS(2,COLUMN())),OFFSET($K$2,0,0,ROW()-1,5),ROW()-1,FALSE))</f>
        <v/>
      </c>
      <c r="G1083">
        <f ca="1">IF(AND(ISNUMBER($G$2151),$B$1132=1),$G$2151,HLOOKUP(INDIRECT(ADDRESS(2,COLUMN())),OFFSET($K$2,0,0,ROW()-1,5),ROW()-1,FALSE))</f>
        <v>30.14940039</v>
      </c>
      <c r="H1083">
        <f ca="1">IF(AND(ISNUMBER($H$2151),$B$1132=1),$H$2151,HLOOKUP(INDIRECT(ADDRESS(2,COLUMN())),OFFSET($K$2,0,0,ROW()-1,5),ROW()-1,FALSE))</f>
        <v>37.111800780000003</v>
      </c>
      <c r="I1083">
        <f ca="1">IF(AND(ISNUMBER($I$2151),$B$1132=1),$I$2151,HLOOKUP(INDIRECT(ADDRESS(2,COLUMN())),OFFSET($K$2,0,0,ROW()-1,5),ROW()-1,FALSE))</f>
        <v>38.529800780000002</v>
      </c>
      <c r="J1083">
        <f ca="1">IF(AND(ISNUMBER($J$2151),$B$1132=1),$J$2151,HLOOKUP(INDIRECT(ADDRESS(2,COLUMN())),OFFSET($K$2,0,0,ROW()-1,5),ROW()-1,FALSE))</f>
        <v>42.106199220000001</v>
      </c>
      <c r="K1083" t="str">
        <f>""</f>
        <v/>
      </c>
      <c r="L1083">
        <f>30.14940039</f>
        <v>30.14940039</v>
      </c>
      <c r="M1083">
        <f>37.11180078</f>
        <v>37.111800780000003</v>
      </c>
      <c r="N1083">
        <f>38.52980078</f>
        <v>38.529800780000002</v>
      </c>
      <c r="O1083">
        <f>42.10619922</f>
        <v>42.106199220000001</v>
      </c>
    </row>
    <row r="1084" spans="1:15" x14ac:dyDescent="0.25">
      <c r="A1084" t="str">
        <f>"                        Korea Electric Power Corp"</f>
        <v xml:space="preserve">                        Korea Electric Power Corp</v>
      </c>
      <c r="B1084" t="str">
        <f>"015760 KS Equity"</f>
        <v>015760 KS Equity</v>
      </c>
      <c r="C1084" t="str">
        <f t="shared" si="123"/>
        <v>F0946</v>
      </c>
      <c r="D1084" t="str">
        <f t="shared" si="124"/>
        <v>TOTAL_GHG_CO2_EMISSIONS</v>
      </c>
      <c r="E1084" t="str">
        <f t="shared" si="125"/>
        <v>Dynamic</v>
      </c>
      <c r="F1084" t="str">
        <f ca="1">IF(AND(ISNUMBER($F$2152),$B$1132=1),$F$2152,HLOOKUP(INDIRECT(ADDRESS(2,COLUMN())),OFFSET($K$2,0,0,ROW()-1,5),ROW()-1,FALSE))</f>
        <v/>
      </c>
      <c r="G1084">
        <f ca="1">IF(AND(ISNUMBER($G$2152),$B$1132=1),$G$2152,HLOOKUP(INDIRECT(ADDRESS(2,COLUMN())),OFFSET($K$2,0,0,ROW()-1,5),ROW()-1,FALSE))</f>
        <v>175.08500000000001</v>
      </c>
      <c r="H1084">
        <f ca="1">IF(AND(ISNUMBER($H$2152),$B$1132=1),$H$2152,HLOOKUP(INDIRECT(ADDRESS(2,COLUMN())),OFFSET($K$2,0,0,ROW()-1,5),ROW()-1,FALSE))</f>
        <v>175.59700000000001</v>
      </c>
      <c r="I1084">
        <f ca="1">IF(AND(ISNUMBER($I$2152),$B$1132=1),$I$2152,HLOOKUP(INDIRECT(ADDRESS(2,COLUMN())),OFFSET($K$2,0,0,ROW()-1,5),ROW()-1,FALSE))</f>
        <v>202.20599999999999</v>
      </c>
      <c r="J1084">
        <f ca="1">IF(AND(ISNUMBER($J$2152),$B$1132=1),$J$2152,HLOOKUP(INDIRECT(ADDRESS(2,COLUMN())),OFFSET($K$2,0,0,ROW()-1,5),ROW()-1,FALSE))</f>
        <v>216.006</v>
      </c>
      <c r="K1084" t="str">
        <f>""</f>
        <v/>
      </c>
      <c r="L1084">
        <f>175.085</f>
        <v>175.08500000000001</v>
      </c>
      <c r="M1084">
        <f>175.597</f>
        <v>175.59700000000001</v>
      </c>
      <c r="N1084">
        <f>202.206</f>
        <v>202.20599999999999</v>
      </c>
      <c r="O1084">
        <f>216.006</f>
        <v>216.006</v>
      </c>
    </row>
    <row r="1085" spans="1:15" x14ac:dyDescent="0.25">
      <c r="A1085" t="str">
        <f>"                        Kyushu Electric Power Co Inc"</f>
        <v xml:space="preserve">                        Kyushu Electric Power Co Inc</v>
      </c>
      <c r="B1085" t="str">
        <f>"9508 JP Equity"</f>
        <v>9508 JP Equity</v>
      </c>
      <c r="C1085" t="str">
        <f t="shared" si="123"/>
        <v>F0946</v>
      </c>
      <c r="D1085" t="str">
        <f t="shared" si="124"/>
        <v>TOTAL_GHG_CO2_EMISSIONS</v>
      </c>
      <c r="E1085" t="str">
        <f t="shared" si="125"/>
        <v>Dynamic</v>
      </c>
      <c r="F1085" t="str">
        <f ca="1">IF(AND(ISNUMBER($F$2153),$B$1132=1),$F$2153,HLOOKUP(INDIRECT(ADDRESS(2,COLUMN())),OFFSET($K$2,0,0,ROW()-1,5),ROW()-1,FALSE))</f>
        <v/>
      </c>
      <c r="G1085">
        <f ca="1">IF(AND(ISNUMBER($G$2153),$B$1132=1),$G$2153,HLOOKUP(INDIRECT(ADDRESS(2,COLUMN())),OFFSET($K$2,0,0,ROW()-1,5),ROW()-1,FALSE))</f>
        <v>17.490099610000001</v>
      </c>
      <c r="H1085">
        <f ca="1">IF(AND(ISNUMBER($H$2153),$B$1132=1),$H$2153,HLOOKUP(INDIRECT(ADDRESS(2,COLUMN())),OFFSET($K$2,0,0,ROW()-1,5),ROW()-1,FALSE))</f>
        <v>22.110099609999999</v>
      </c>
      <c r="I1085">
        <f ca="1">IF(AND(ISNUMBER($I$2153),$B$1132=1),$I$2153,HLOOKUP(INDIRECT(ADDRESS(2,COLUMN())),OFFSET($K$2,0,0,ROW()-1,5),ROW()-1,FALSE))</f>
        <v>19.040099609999999</v>
      </c>
      <c r="J1085">
        <f ca="1">IF(AND(ISNUMBER($J$2153),$B$1132=1),$J$2153,HLOOKUP(INDIRECT(ADDRESS(2,COLUMN())),OFFSET($K$2,0,0,ROW()-1,5),ROW()-1,FALSE))</f>
        <v>17.560099610000002</v>
      </c>
      <c r="K1085" t="str">
        <f>""</f>
        <v/>
      </c>
      <c r="L1085">
        <f>17.49009961</f>
        <v>17.490099610000001</v>
      </c>
      <c r="M1085">
        <f>22.11009961</f>
        <v>22.110099609999999</v>
      </c>
      <c r="N1085">
        <f>19.04009961</f>
        <v>19.040099609999999</v>
      </c>
      <c r="O1085">
        <f>17.56009961</f>
        <v>17.560099610000002</v>
      </c>
    </row>
    <row r="1086" spans="1:15" x14ac:dyDescent="0.25">
      <c r="A1086" t="str">
        <f>"                        Malakoff Corp Bhd"</f>
        <v xml:space="preserve">                        Malakoff Corp Bhd</v>
      </c>
      <c r="B1086" t="str">
        <f>"MLK MK Equity"</f>
        <v>MLK MK Equity</v>
      </c>
      <c r="C1086" t="str">
        <f t="shared" si="123"/>
        <v>F0946</v>
      </c>
      <c r="D1086" t="str">
        <f t="shared" si="124"/>
        <v>TOTAL_GHG_CO2_EMISSIONS</v>
      </c>
      <c r="E1086" t="str">
        <f t="shared" si="125"/>
        <v>Dynamic</v>
      </c>
      <c r="F1086">
        <f ca="1">IF(AND(ISNUMBER($F$2154),$B$1132=1),$F$2154,HLOOKUP(INDIRECT(ADDRESS(2,COLUMN())),OFFSET($K$2,0,0,ROW()-1,5),ROW()-1,FALSE))</f>
        <v>16.885199220000001</v>
      </c>
      <c r="G1086">
        <f ca="1">IF(AND(ISNUMBER($G$2154),$B$1132=1),$G$2154,HLOOKUP(INDIRECT(ADDRESS(2,COLUMN())),OFFSET($K$2,0,0,ROW()-1,5),ROW()-1,FALSE))</f>
        <v>16.36</v>
      </c>
      <c r="H1086">
        <f ca="1">IF(AND(ISNUMBER($H$2154),$B$1132=1),$H$2154,HLOOKUP(INDIRECT(ADDRESS(2,COLUMN())),OFFSET($K$2,0,0,ROW()-1,5),ROW()-1,FALSE))</f>
        <v>19.84</v>
      </c>
      <c r="I1086">
        <f ca="1">IF(AND(ISNUMBER($I$2154),$B$1132=1),$I$2154,HLOOKUP(INDIRECT(ADDRESS(2,COLUMN())),OFFSET($K$2,0,0,ROW()-1,5),ROW()-1,FALSE))</f>
        <v>20.13</v>
      </c>
      <c r="J1086" t="str">
        <f ca="1">IF(AND(ISNUMBER($J$2154),$B$1132=1),$J$2154,HLOOKUP(INDIRECT(ADDRESS(2,COLUMN())),OFFSET($K$2,0,0,ROW()-1,5),ROW()-1,FALSE))</f>
        <v/>
      </c>
      <c r="K1086">
        <f>16.88519922</f>
        <v>16.885199220000001</v>
      </c>
      <c r="L1086">
        <f>16.36</f>
        <v>16.36</v>
      </c>
      <c r="M1086">
        <f>19.84</f>
        <v>19.84</v>
      </c>
      <c r="N1086">
        <f>20.13</f>
        <v>20.13</v>
      </c>
      <c r="O1086" t="str">
        <f>""</f>
        <v/>
      </c>
    </row>
    <row r="1087" spans="1:15" x14ac:dyDescent="0.25">
      <c r="A1087" t="str">
        <f>"                        Manila Electric Co"</f>
        <v xml:space="preserve">                        Manila Electric Co</v>
      </c>
      <c r="B1087" t="str">
        <f>"MER PM Equity"</f>
        <v>MER PM Equity</v>
      </c>
      <c r="C1087" t="str">
        <f t="shared" si="123"/>
        <v>F0946</v>
      </c>
      <c r="D1087" t="str">
        <f t="shared" si="124"/>
        <v>TOTAL_GHG_CO2_EMISSIONS</v>
      </c>
      <c r="E1087" t="str">
        <f t="shared" si="125"/>
        <v>Dynamic</v>
      </c>
      <c r="F1087" t="str">
        <f ca="1">IF(AND(ISNUMBER($F$2155),$B$1132=1),$F$2155,HLOOKUP(INDIRECT(ADDRESS(2,COLUMN())),OFFSET($K$2,0,0,ROW()-1,5),ROW()-1,FALSE))</f>
        <v/>
      </c>
      <c r="G1087">
        <f ca="1">IF(AND(ISNUMBER($G$2155),$B$1132=1),$G$2155,HLOOKUP(INDIRECT(ADDRESS(2,COLUMN())),OFFSET($K$2,0,0,ROW()-1,5),ROW()-1,FALSE))</f>
        <v>8.5940097659999992</v>
      </c>
      <c r="H1087">
        <f ca="1">IF(AND(ISNUMBER($H$2155),$B$1132=1),$H$2155,HLOOKUP(INDIRECT(ADDRESS(2,COLUMN())),OFFSET($K$2,0,0,ROW()-1,5),ROW()-1,FALSE))</f>
        <v>4.4239301759999998</v>
      </c>
      <c r="I1087">
        <f ca="1">IF(AND(ISNUMBER($I$2155),$B$1132=1),$I$2155,HLOOKUP(INDIRECT(ADDRESS(2,COLUMN())),OFFSET($K$2,0,0,ROW()-1,5),ROW()-1,FALSE))</f>
        <v>3.4848200679999999</v>
      </c>
      <c r="J1087">
        <f ca="1">IF(AND(ISNUMBER($J$2155),$B$1132=1),$J$2155,HLOOKUP(INDIRECT(ADDRESS(2,COLUMN())),OFFSET($K$2,0,0,ROW()-1,5),ROW()-1,FALSE))</f>
        <v>2.5999399410000001</v>
      </c>
      <c r="K1087" t="str">
        <f>""</f>
        <v/>
      </c>
      <c r="L1087">
        <f>8.594009766</f>
        <v>8.5940097659999992</v>
      </c>
      <c r="M1087">
        <f>4.423930176</f>
        <v>4.4239301759999998</v>
      </c>
      <c r="N1087">
        <f>3.484820068</f>
        <v>3.4848200679999999</v>
      </c>
      <c r="O1087">
        <f>2.599939941</f>
        <v>2.5999399410000001</v>
      </c>
    </row>
    <row r="1088" spans="1:15" x14ac:dyDescent="0.25">
      <c r="A1088" t="str">
        <f>"                        Mercury NZ Ltd"</f>
        <v xml:space="preserve">                        Mercury NZ Ltd</v>
      </c>
      <c r="B1088" t="str">
        <f>"MCY NZ Equity"</f>
        <v>MCY NZ Equity</v>
      </c>
      <c r="C1088" t="str">
        <f t="shared" si="123"/>
        <v>F0946</v>
      </c>
      <c r="D1088" t="str">
        <f t="shared" si="124"/>
        <v>TOTAL_GHG_CO2_EMISSIONS</v>
      </c>
      <c r="E1088" t="str">
        <f t="shared" si="125"/>
        <v>Dynamic</v>
      </c>
      <c r="F1088" t="str">
        <f ca="1">IF(AND(ISNUMBER($F$2156),$B$1132=1),$F$2156,HLOOKUP(INDIRECT(ADDRESS(2,COLUMN())),OFFSET($K$2,0,0,ROW()-1,5),ROW()-1,FALSE))</f>
        <v/>
      </c>
      <c r="G1088" t="str">
        <f ca="1">IF(AND(ISNUMBER($G$2156),$B$1132=1),$G$2156,HLOOKUP(INDIRECT(ADDRESS(2,COLUMN())),OFFSET($K$2,0,0,ROW()-1,5),ROW()-1,FALSE))</f>
        <v/>
      </c>
      <c r="H1088">
        <f ca="1">IF(AND(ISNUMBER($H$2156),$B$1132=1),$H$2156,HLOOKUP(INDIRECT(ADDRESS(2,COLUMN())),OFFSET($K$2,0,0,ROW()-1,5),ROW()-1,FALSE))</f>
        <v>0.201764999</v>
      </c>
      <c r="I1088">
        <f ca="1">IF(AND(ISNUMBER($I$2156),$B$1132=1),$I$2156,HLOOKUP(INDIRECT(ADDRESS(2,COLUMN())),OFFSET($K$2,0,0,ROW()-1,5),ROW()-1,FALSE))</f>
        <v>0.22500700400000001</v>
      </c>
      <c r="J1088">
        <f ca="1">IF(AND(ISNUMBER($J$2156),$B$1132=1),$J$2156,HLOOKUP(INDIRECT(ADDRESS(2,COLUMN())),OFFSET($K$2,0,0,ROW()-1,5),ROW()-1,FALSE))</f>
        <v>0.24894000199999999</v>
      </c>
      <c r="K1088" t="str">
        <f>""</f>
        <v/>
      </c>
      <c r="L1088" t="str">
        <f>""</f>
        <v/>
      </c>
      <c r="M1088">
        <f>0.201764999</f>
        <v>0.201764999</v>
      </c>
      <c r="N1088">
        <f>0.225007004</f>
        <v>0.22500700400000001</v>
      </c>
      <c r="O1088">
        <f>0.248940002</f>
        <v>0.24894000199999999</v>
      </c>
    </row>
    <row r="1089" spans="1:15" x14ac:dyDescent="0.25">
      <c r="A1089" t="str">
        <f>"                        Meridian Energy Ltd"</f>
        <v xml:space="preserve">                        Meridian Energy Ltd</v>
      </c>
      <c r="B1089" t="str">
        <f>"MEL NZ Equity"</f>
        <v>MEL NZ Equity</v>
      </c>
      <c r="C1089" t="str">
        <f t="shared" si="123"/>
        <v>F0946</v>
      </c>
      <c r="D1089" t="str">
        <f t="shared" si="124"/>
        <v>TOTAL_GHG_CO2_EMISSIONS</v>
      </c>
      <c r="E1089" t="str">
        <f t="shared" si="125"/>
        <v>Dynamic</v>
      </c>
      <c r="F1089" t="str">
        <f ca="1">IF(AND(ISNUMBER($F$2157),$B$1132=1),$F$2157,HLOOKUP(INDIRECT(ADDRESS(2,COLUMN())),OFFSET($K$2,0,0,ROW()-1,5),ROW()-1,FALSE))</f>
        <v/>
      </c>
      <c r="G1089">
        <f ca="1">IF(AND(ISNUMBER($G$2157),$B$1132=1),$G$2157,HLOOKUP(INDIRECT(ADDRESS(2,COLUMN())),OFFSET($K$2,0,0,ROW()-1,5),ROW()-1,FALSE))</f>
        <v>9.2699999999999998E-4</v>
      </c>
      <c r="H1089">
        <f ca="1">IF(AND(ISNUMBER($H$2157),$B$1132=1),$H$2157,HLOOKUP(INDIRECT(ADDRESS(2,COLUMN())),OFFSET($K$2,0,0,ROW()-1,5),ROW()-1,FALSE))</f>
        <v>4.5059999999999996E-3</v>
      </c>
      <c r="I1089">
        <f ca="1">IF(AND(ISNUMBER($I$2157),$B$1132=1),$I$2157,HLOOKUP(INDIRECT(ADDRESS(2,COLUMN())),OFFSET($K$2,0,0,ROW()-1,5),ROW()-1,FALSE))</f>
        <v>3.6449999999999998E-3</v>
      </c>
      <c r="J1089">
        <f ca="1">IF(AND(ISNUMBER($J$2157),$B$1132=1),$J$2157,HLOOKUP(INDIRECT(ADDRESS(2,COLUMN())),OFFSET($K$2,0,0,ROW()-1,5),ROW()-1,FALSE))</f>
        <v>3.4169999999999999E-3</v>
      </c>
      <c r="K1089" t="str">
        <f>""</f>
        <v/>
      </c>
      <c r="L1089">
        <f>0.000927</f>
        <v>9.2699999999999998E-4</v>
      </c>
      <c r="M1089">
        <f>0.004506</f>
        <v>4.5059999999999996E-3</v>
      </c>
      <c r="N1089">
        <f>0.003645</f>
        <v>3.6449999999999998E-3</v>
      </c>
      <c r="O1089">
        <f>0.003417</f>
        <v>3.4169999999999999E-3</v>
      </c>
    </row>
    <row r="1090" spans="1:15" x14ac:dyDescent="0.25">
      <c r="A1090" t="str">
        <f>"                        NTPC Ltd"</f>
        <v xml:space="preserve">                        NTPC Ltd</v>
      </c>
      <c r="B1090" t="str">
        <f>"NTPC IN Equity"</f>
        <v>NTPC IN Equity</v>
      </c>
      <c r="C1090" t="str">
        <f t="shared" si="123"/>
        <v>F0946</v>
      </c>
      <c r="D1090" t="str">
        <f t="shared" si="124"/>
        <v>TOTAL_GHG_CO2_EMISSIONS</v>
      </c>
      <c r="E1090" t="str">
        <f t="shared" si="125"/>
        <v>Dynamic</v>
      </c>
      <c r="F1090" t="str">
        <f ca="1">IF(AND(ISNUMBER($F$2158),$B$1132=1),$F$2158,HLOOKUP(INDIRECT(ADDRESS(2,COLUMN())),OFFSET($K$2,0,0,ROW()-1,5),ROW()-1,FALSE))</f>
        <v/>
      </c>
      <c r="G1090">
        <f ca="1">IF(AND(ISNUMBER($G$2158),$B$1132=1),$G$2158,HLOOKUP(INDIRECT(ADDRESS(2,COLUMN())),OFFSET($K$2,0,0,ROW()-1,5),ROW()-1,FALSE))</f>
        <v>304.15600000000001</v>
      </c>
      <c r="H1090">
        <f ca="1">IF(AND(ISNUMBER($H$2158),$B$1132=1),$H$2158,HLOOKUP(INDIRECT(ADDRESS(2,COLUMN())),OFFSET($K$2,0,0,ROW()-1,5),ROW()-1,FALSE))</f>
        <v>263.92200000000003</v>
      </c>
      <c r="I1090">
        <f ca="1">IF(AND(ISNUMBER($I$2158),$B$1132=1),$I$2158,HLOOKUP(INDIRECT(ADDRESS(2,COLUMN())),OFFSET($K$2,0,0,ROW()-1,5),ROW()-1,FALSE))</f>
        <v>252.511</v>
      </c>
      <c r="J1090">
        <f ca="1">IF(AND(ISNUMBER($J$2158),$B$1132=1),$J$2158,HLOOKUP(INDIRECT(ADDRESS(2,COLUMN())),OFFSET($K$2,0,0,ROW()-1,5),ROW()-1,FALSE))</f>
        <v>240.392</v>
      </c>
      <c r="K1090" t="str">
        <f>""</f>
        <v/>
      </c>
      <c r="L1090">
        <f>304.156</f>
        <v>304.15600000000001</v>
      </c>
      <c r="M1090">
        <f>263.922</f>
        <v>263.92200000000003</v>
      </c>
      <c r="N1090">
        <f>252.511</f>
        <v>252.511</v>
      </c>
      <c r="O1090">
        <f>240.392</f>
        <v>240.392</v>
      </c>
    </row>
    <row r="1091" spans="1:15" x14ac:dyDescent="0.25">
      <c r="A1091" t="str">
        <f>"                        Origin Energy Ltd"</f>
        <v xml:space="preserve">                        Origin Energy Ltd</v>
      </c>
      <c r="B1091" t="str">
        <f>"ORG AU Equity"</f>
        <v>ORG AU Equity</v>
      </c>
      <c r="C1091" t="str">
        <f t="shared" si="123"/>
        <v>F0946</v>
      </c>
      <c r="D1091" t="str">
        <f t="shared" si="124"/>
        <v>TOTAL_GHG_CO2_EMISSIONS</v>
      </c>
      <c r="E1091" t="str">
        <f t="shared" si="125"/>
        <v>Dynamic</v>
      </c>
      <c r="F1091" t="str">
        <f ca="1">IF(AND(ISNUMBER($F$2159),$B$1132=1),$F$2159,HLOOKUP(INDIRECT(ADDRESS(2,COLUMN())),OFFSET($K$2,0,0,ROW()-1,5),ROW()-1,FALSE))</f>
        <v/>
      </c>
      <c r="G1091">
        <f ca="1">IF(AND(ISNUMBER($G$2159),$B$1132=1),$G$2159,HLOOKUP(INDIRECT(ADDRESS(2,COLUMN())),OFFSET($K$2,0,0,ROW()-1,5),ROW()-1,FALSE))</f>
        <v>15.3</v>
      </c>
      <c r="H1091">
        <f ca="1">IF(AND(ISNUMBER($H$2159),$B$1132=1),$H$2159,HLOOKUP(INDIRECT(ADDRESS(2,COLUMN())),OFFSET($K$2,0,0,ROW()-1,5),ROW()-1,FALSE))</f>
        <v>17.194900390000001</v>
      </c>
      <c r="I1091">
        <f ca="1">IF(AND(ISNUMBER($I$2159),$B$1132=1),$I$2159,HLOOKUP(INDIRECT(ADDRESS(2,COLUMN())),OFFSET($K$2,0,0,ROW()-1,5),ROW()-1,FALSE))</f>
        <v>18.468</v>
      </c>
      <c r="J1091">
        <f ca="1">IF(AND(ISNUMBER($J$2159),$B$1132=1),$J$2159,HLOOKUP(INDIRECT(ADDRESS(2,COLUMN())),OFFSET($K$2,0,0,ROW()-1,5),ROW()-1,FALSE))</f>
        <v>20.359000000000002</v>
      </c>
      <c r="K1091" t="str">
        <f>""</f>
        <v/>
      </c>
      <c r="L1091">
        <f>15.3</f>
        <v>15.3</v>
      </c>
      <c r="M1091">
        <f>17.19490039</f>
        <v>17.194900390000001</v>
      </c>
      <c r="N1091">
        <f>18.468</f>
        <v>18.468</v>
      </c>
      <c r="O1091">
        <f>20.359</f>
        <v>20.359000000000002</v>
      </c>
    </row>
    <row r="1092" spans="1:15" x14ac:dyDescent="0.25">
      <c r="A1092" t="str">
        <f>"                        Power Assets Holdings Ltd"</f>
        <v xml:space="preserve">                        Power Assets Holdings Ltd</v>
      </c>
      <c r="B1092" t="str">
        <f>"6 HK Equity"</f>
        <v>6 HK Equity</v>
      </c>
      <c r="C1092" t="str">
        <f t="shared" si="123"/>
        <v>F0946</v>
      </c>
      <c r="D1092" t="str">
        <f t="shared" si="124"/>
        <v>TOTAL_GHG_CO2_EMISSIONS</v>
      </c>
      <c r="E1092" t="str">
        <f t="shared" si="125"/>
        <v>Dynamic</v>
      </c>
      <c r="F1092">
        <f ca="1">IF(AND(ISNUMBER($F$2160),$B$1132=1),$F$2160,HLOOKUP(INDIRECT(ADDRESS(2,COLUMN())),OFFSET($K$2,0,0,ROW()-1,5),ROW()-1,FALSE))</f>
        <v>8.0408300780000008</v>
      </c>
      <c r="G1092">
        <f ca="1">IF(AND(ISNUMBER($G$2160),$B$1132=1),$G$2160,HLOOKUP(INDIRECT(ADDRESS(2,COLUMN())),OFFSET($K$2,0,0,ROW()-1,5),ROW()-1,FALSE))</f>
        <v>8.2948300780000004</v>
      </c>
      <c r="H1092">
        <f ca="1">IF(AND(ISNUMBER($H$2160),$B$1132=1),$H$2160,HLOOKUP(INDIRECT(ADDRESS(2,COLUMN())),OFFSET($K$2,0,0,ROW()-1,5),ROW()-1,FALSE))</f>
        <v>8.0046699219999997</v>
      </c>
      <c r="I1092">
        <f ca="1">IF(AND(ISNUMBER($I$2160),$B$1132=1),$I$2160,HLOOKUP(INDIRECT(ADDRESS(2,COLUMN())),OFFSET($K$2,0,0,ROW()-1,5),ROW()-1,FALSE))</f>
        <v>10.885</v>
      </c>
      <c r="J1092">
        <f ca="1">IF(AND(ISNUMBER($J$2160),$B$1132=1),$J$2160,HLOOKUP(INDIRECT(ADDRESS(2,COLUMN())),OFFSET($K$2,0,0,ROW()-1,5),ROW()-1,FALSE))</f>
        <v>12.643000000000001</v>
      </c>
      <c r="K1092">
        <f>8.040830078</f>
        <v>8.0408300780000008</v>
      </c>
      <c r="L1092">
        <f>8.294830078</f>
        <v>8.2948300780000004</v>
      </c>
      <c r="M1092">
        <f>8.004669922</f>
        <v>8.0046699219999997</v>
      </c>
      <c r="N1092">
        <f>10.885</f>
        <v>10.885</v>
      </c>
      <c r="O1092">
        <f>12.643</f>
        <v>12.643000000000001</v>
      </c>
    </row>
    <row r="1093" spans="1:15" x14ac:dyDescent="0.25">
      <c r="A1093" t="str">
        <f>"                        Power Grid Corp of India Ltd"</f>
        <v xml:space="preserve">                        Power Grid Corp of India Ltd</v>
      </c>
      <c r="B1093" t="str">
        <f>"PWGR IN Equity"</f>
        <v>PWGR IN Equity</v>
      </c>
      <c r="C1093" t="str">
        <f t="shared" si="123"/>
        <v>F0946</v>
      </c>
      <c r="D1093" t="str">
        <f t="shared" si="124"/>
        <v>TOTAL_GHG_CO2_EMISSIONS</v>
      </c>
      <c r="E1093" t="str">
        <f t="shared" si="125"/>
        <v>Dynamic</v>
      </c>
      <c r="F1093" t="str">
        <f ca="1">IF(AND(ISNUMBER($F$2161),$B$1132=1),$F$2161,HLOOKUP(INDIRECT(ADDRESS(2,COLUMN())),OFFSET($K$2,0,0,ROW()-1,5),ROW()-1,FALSE))</f>
        <v/>
      </c>
      <c r="G1093" t="str">
        <f ca="1">IF(AND(ISNUMBER($G$2161),$B$1132=1),$G$2161,HLOOKUP(INDIRECT(ADDRESS(2,COLUMN())),OFFSET($K$2,0,0,ROW()-1,5),ROW()-1,FALSE))</f>
        <v/>
      </c>
      <c r="H1093" t="str">
        <f ca="1">IF(AND(ISNUMBER($H$2161),$B$1132=1),$H$2161,HLOOKUP(INDIRECT(ADDRESS(2,COLUMN())),OFFSET($K$2,0,0,ROW()-1,5),ROW()-1,FALSE))</f>
        <v/>
      </c>
      <c r="I1093" t="str">
        <f ca="1">IF(AND(ISNUMBER($I$2161),$B$1132=1),$I$2161,HLOOKUP(INDIRECT(ADDRESS(2,COLUMN())),OFFSET($K$2,0,0,ROW()-1,5),ROW()-1,FALSE))</f>
        <v/>
      </c>
      <c r="J1093" t="str">
        <f ca="1">IF(AND(ISNUMBER($J$2161),$B$1132=1),$J$2161,HLOOKUP(INDIRECT(ADDRESS(2,COLUMN())),OFFSET($K$2,0,0,ROW()-1,5),ROW()-1,FALSE))</f>
        <v/>
      </c>
      <c r="K1093" t="str">
        <f>""</f>
        <v/>
      </c>
      <c r="L1093" t="str">
        <f>""</f>
        <v/>
      </c>
      <c r="M1093" t="str">
        <f>""</f>
        <v/>
      </c>
      <c r="N1093" t="str">
        <f>""</f>
        <v/>
      </c>
      <c r="O1093" t="str">
        <f>""</f>
        <v/>
      </c>
    </row>
    <row r="1094" spans="1:15" x14ac:dyDescent="0.25">
      <c r="A1094" t="str">
        <f>"                        Ratch Group PCL"</f>
        <v xml:space="preserve">                        Ratch Group PCL</v>
      </c>
      <c r="B1094" t="str">
        <f>"RATCH TB Equity"</f>
        <v>RATCH TB Equity</v>
      </c>
      <c r="C1094" t="str">
        <f t="shared" si="123"/>
        <v>F0946</v>
      </c>
      <c r="D1094" t="str">
        <f t="shared" si="124"/>
        <v>TOTAL_GHG_CO2_EMISSIONS</v>
      </c>
      <c r="E1094" t="str">
        <f t="shared" si="125"/>
        <v>Dynamic</v>
      </c>
      <c r="F1094" t="str">
        <f ca="1">IF(AND(ISNUMBER($F$2162),$B$1132=1),$F$2162,HLOOKUP(INDIRECT(ADDRESS(2,COLUMN())),OFFSET($K$2,0,0,ROW()-1,5),ROW()-1,FALSE))</f>
        <v/>
      </c>
      <c r="G1094">
        <f ca="1">IF(AND(ISNUMBER($G$2162),$B$1132=1),$G$2162,HLOOKUP(INDIRECT(ADDRESS(2,COLUMN())),OFFSET($K$2,0,0,ROW()-1,5),ROW()-1,FALSE))</f>
        <v>6.475959961</v>
      </c>
      <c r="H1094">
        <f ca="1">IF(AND(ISNUMBER($H$2162),$B$1132=1),$H$2162,HLOOKUP(INDIRECT(ADDRESS(2,COLUMN())),OFFSET($K$2,0,0,ROW()-1,5),ROW()-1,FALSE))</f>
        <v>6.2882597660000004</v>
      </c>
      <c r="I1094">
        <f ca="1">IF(AND(ISNUMBER($I$2162),$B$1132=1),$I$2162,HLOOKUP(INDIRECT(ADDRESS(2,COLUMN())),OFFSET($K$2,0,0,ROW()-1,5),ROW()-1,FALSE))</f>
        <v>5.9192499999999999</v>
      </c>
      <c r="J1094">
        <f ca="1">IF(AND(ISNUMBER($J$2162),$B$1132=1),$J$2162,HLOOKUP(INDIRECT(ADDRESS(2,COLUMN())),OFFSET($K$2,0,0,ROW()-1,5),ROW()-1,FALSE))</f>
        <v>6.9693701170000004</v>
      </c>
      <c r="K1094" t="str">
        <f>""</f>
        <v/>
      </c>
      <c r="L1094">
        <f>6.475959961</f>
        <v>6.475959961</v>
      </c>
      <c r="M1094">
        <f>6.288259766</f>
        <v>6.2882597660000004</v>
      </c>
      <c r="N1094">
        <f>5.91925</f>
        <v>5.9192499999999999</v>
      </c>
      <c r="O1094">
        <f>6.969370117</f>
        <v>6.9693701170000004</v>
      </c>
    </row>
    <row r="1095" spans="1:15" x14ac:dyDescent="0.25">
      <c r="A1095" t="str">
        <f>"                        Spark Infrastructure Group"</f>
        <v xml:space="preserve">                        Spark Infrastructure Group</v>
      </c>
      <c r="B1095" t="str">
        <f>"SKI AU Equity"</f>
        <v>SKI AU Equity</v>
      </c>
      <c r="C1095" t="str">
        <f t="shared" si="123"/>
        <v>F0946</v>
      </c>
      <c r="D1095" t="str">
        <f t="shared" si="124"/>
        <v>TOTAL_GHG_CO2_EMISSIONS</v>
      </c>
      <c r="E1095" t="str">
        <f t="shared" si="125"/>
        <v>Dynamic</v>
      </c>
      <c r="F1095" t="str">
        <f ca="1">IF(AND(ISNUMBER($F$2163),$B$1132=1),$F$2163,HLOOKUP(INDIRECT(ADDRESS(2,COLUMN())),OFFSET($K$2,0,0,ROW()-1,5),ROW()-1,FALSE))</f>
        <v/>
      </c>
      <c r="G1095" t="str">
        <f ca="1">IF(AND(ISNUMBER($G$2163),$B$1132=1),$G$2163,HLOOKUP(INDIRECT(ADDRESS(2,COLUMN())),OFFSET($K$2,0,0,ROW()-1,5),ROW()-1,FALSE))</f>
        <v/>
      </c>
      <c r="H1095" t="str">
        <f ca="1">IF(AND(ISNUMBER($H$2163),$B$1132=1),$H$2163,HLOOKUP(INDIRECT(ADDRESS(2,COLUMN())),OFFSET($K$2,0,0,ROW()-1,5),ROW()-1,FALSE))</f>
        <v/>
      </c>
      <c r="I1095" t="str">
        <f ca="1">IF(AND(ISNUMBER($I$2163),$B$1132=1),$I$2163,HLOOKUP(INDIRECT(ADDRESS(2,COLUMN())),OFFSET($K$2,0,0,ROW()-1,5),ROW()-1,FALSE))</f>
        <v/>
      </c>
      <c r="J1095">
        <f ca="1">IF(AND(ISNUMBER($J$2163),$B$1132=1),$J$2163,HLOOKUP(INDIRECT(ADDRESS(2,COLUMN())),OFFSET($K$2,0,0,ROW()-1,5),ROW()-1,FALSE))</f>
        <v>2.557600098</v>
      </c>
      <c r="K1095" t="str">
        <f>""</f>
        <v/>
      </c>
      <c r="L1095" t="str">
        <f>""</f>
        <v/>
      </c>
      <c r="M1095" t="str">
        <f>""</f>
        <v/>
      </c>
      <c r="N1095" t="str">
        <f>""</f>
        <v/>
      </c>
      <c r="O1095">
        <f>2.557600098</f>
        <v>2.557600098</v>
      </c>
    </row>
    <row r="1096" spans="1:15" x14ac:dyDescent="0.25">
      <c r="A1096" t="str">
        <f>"                        Tata Power Co Ltd/The"</f>
        <v xml:space="preserve">                        Tata Power Co Ltd/The</v>
      </c>
      <c r="B1096" t="str">
        <f>"TPWR IN Equity"</f>
        <v>TPWR IN Equity</v>
      </c>
      <c r="C1096" t="str">
        <f t="shared" si="123"/>
        <v>F0946</v>
      </c>
      <c r="D1096" t="str">
        <f t="shared" si="124"/>
        <v>TOTAL_GHG_CO2_EMISSIONS</v>
      </c>
      <c r="E1096" t="str">
        <f t="shared" si="125"/>
        <v>Dynamic</v>
      </c>
      <c r="F1096">
        <f ca="1">IF(AND(ISNUMBER($F$2164),$B$1132=1),$F$2164,HLOOKUP(INDIRECT(ADDRESS(2,COLUMN())),OFFSET($K$2,0,0,ROW()-1,5),ROW()-1,FALSE))</f>
        <v>28.786999999999999</v>
      </c>
      <c r="G1096">
        <f ca="1">IF(AND(ISNUMBER($G$2164),$B$1132=1),$G$2164,HLOOKUP(INDIRECT(ADDRESS(2,COLUMN())),OFFSET($K$2,0,0,ROW()-1,5),ROW()-1,FALSE))</f>
        <v>27.614999999999998</v>
      </c>
      <c r="H1096">
        <f ca="1">IF(AND(ISNUMBER($H$2164),$B$1132=1),$H$2164,HLOOKUP(INDIRECT(ADDRESS(2,COLUMN())),OFFSET($K$2,0,0,ROW()-1,5),ROW()-1,FALSE))</f>
        <v>34.530999999999999</v>
      </c>
      <c r="I1096">
        <f ca="1">IF(AND(ISNUMBER($I$2164),$B$1132=1),$I$2164,HLOOKUP(INDIRECT(ADDRESS(2,COLUMN())),OFFSET($K$2,0,0,ROW()-1,5),ROW()-1,FALSE))</f>
        <v>34.975000000000001</v>
      </c>
      <c r="J1096">
        <f ca="1">IF(AND(ISNUMBER($J$2164),$B$1132=1),$J$2164,HLOOKUP(INDIRECT(ADDRESS(2,COLUMN())),OFFSET($K$2,0,0,ROW()-1,5),ROW()-1,FALSE))</f>
        <v>36.067500000000003</v>
      </c>
      <c r="K1096">
        <f>28.787</f>
        <v>28.786999999999999</v>
      </c>
      <c r="L1096">
        <f>27.615</f>
        <v>27.614999999999998</v>
      </c>
      <c r="M1096">
        <f>34.531</f>
        <v>34.530999999999999</v>
      </c>
      <c r="N1096">
        <f>34.975</f>
        <v>34.975000000000001</v>
      </c>
      <c r="O1096">
        <f>36.0675</f>
        <v>36.067500000000003</v>
      </c>
    </row>
    <row r="1097" spans="1:15" x14ac:dyDescent="0.25">
      <c r="A1097" t="str">
        <f>"                        Tokyo Electric Power Co Holdin"</f>
        <v xml:space="preserve">                        Tokyo Electric Power Co Holdin</v>
      </c>
      <c r="B1097" t="str">
        <f>"9501 JP Equity"</f>
        <v>9501 JP Equity</v>
      </c>
      <c r="C1097" t="str">
        <f t="shared" si="123"/>
        <v>F0946</v>
      </c>
      <c r="D1097" t="str">
        <f t="shared" si="124"/>
        <v>TOTAL_GHG_CO2_EMISSIONS</v>
      </c>
      <c r="E1097" t="str">
        <f t="shared" si="125"/>
        <v>Dynamic</v>
      </c>
      <c r="F1097" t="str">
        <f ca="1">IF(AND(ISNUMBER($F$2165),$B$1132=1),$F$2165,HLOOKUP(INDIRECT(ADDRESS(2,COLUMN())),OFFSET($K$2,0,0,ROW()-1,5),ROW()-1,FALSE))</f>
        <v/>
      </c>
      <c r="G1097">
        <f ca="1">IF(AND(ISNUMBER($G$2165),$B$1132=1),$G$2165,HLOOKUP(INDIRECT(ADDRESS(2,COLUMN())),OFFSET($K$2,0,0,ROW()-1,5),ROW()-1,FALSE))</f>
        <v>6.29</v>
      </c>
      <c r="H1097">
        <f ca="1">IF(AND(ISNUMBER($H$2165),$B$1132=1),$H$2165,HLOOKUP(INDIRECT(ADDRESS(2,COLUMN())),OFFSET($K$2,0,0,ROW()-1,5),ROW()-1,FALSE))</f>
        <v>5.4</v>
      </c>
      <c r="I1097">
        <f ca="1">IF(AND(ISNUMBER($I$2165),$B$1132=1),$I$2165,HLOOKUP(INDIRECT(ADDRESS(2,COLUMN())),OFFSET($K$2,0,0,ROW()-1,5),ROW()-1,FALSE))</f>
        <v>6.2409999999999997</v>
      </c>
      <c r="J1097">
        <f ca="1">IF(AND(ISNUMBER($J$2165),$B$1132=1),$J$2165,HLOOKUP(INDIRECT(ADDRESS(2,COLUMN())),OFFSET($K$2,0,0,ROW()-1,5),ROW()-1,FALSE))</f>
        <v>84.37</v>
      </c>
      <c r="K1097" t="str">
        <f>""</f>
        <v/>
      </c>
      <c r="L1097">
        <f>6.29</f>
        <v>6.29</v>
      </c>
      <c r="M1097">
        <f>5.4</f>
        <v>5.4</v>
      </c>
      <c r="N1097">
        <f>6.241</f>
        <v>6.2409999999999997</v>
      </c>
      <c r="O1097">
        <f>84.37</f>
        <v>84.37</v>
      </c>
    </row>
    <row r="1098" spans="1:15" x14ac:dyDescent="0.25">
      <c r="A1098" t="str">
        <f>"                        Tenaga Nasional Bhd"</f>
        <v xml:space="preserve">                        Tenaga Nasional Bhd</v>
      </c>
      <c r="B1098" t="str">
        <f>"TNB MK Equity"</f>
        <v>TNB MK Equity</v>
      </c>
      <c r="C1098" t="str">
        <f t="shared" si="123"/>
        <v>F0946</v>
      </c>
      <c r="D1098" t="str">
        <f t="shared" si="124"/>
        <v>TOTAL_GHG_CO2_EMISSIONS</v>
      </c>
      <c r="E1098" t="str">
        <f t="shared" si="125"/>
        <v>Dynamic</v>
      </c>
      <c r="F1098">
        <f ca="1">IF(AND(ISNUMBER($F$2166),$B$1132=1),$F$2166,HLOOKUP(INDIRECT(ADDRESS(2,COLUMN())),OFFSET($K$2,0,0,ROW()-1,5),ROW()-1,FALSE))</f>
        <v>38.9</v>
      </c>
      <c r="G1098">
        <f ca="1">IF(AND(ISNUMBER($G$2166),$B$1132=1),$G$2166,HLOOKUP(INDIRECT(ADDRESS(2,COLUMN())),OFFSET($K$2,0,0,ROW()-1,5),ROW()-1,FALSE))</f>
        <v>39.994699220000001</v>
      </c>
      <c r="H1098">
        <f ca="1">IF(AND(ISNUMBER($H$2166),$B$1132=1),$H$2166,HLOOKUP(INDIRECT(ADDRESS(2,COLUMN())),OFFSET($K$2,0,0,ROW()-1,5),ROW()-1,FALSE))</f>
        <v>39.28</v>
      </c>
      <c r="I1098">
        <f ca="1">IF(AND(ISNUMBER($I$2166),$B$1132=1),$I$2166,HLOOKUP(INDIRECT(ADDRESS(2,COLUMN())),OFFSET($K$2,0,0,ROW()-1,5),ROW()-1,FALSE))</f>
        <v>33.575800780000002</v>
      </c>
      <c r="J1098">
        <f ca="1">IF(AND(ISNUMBER($J$2166),$B$1132=1),$J$2166,HLOOKUP(INDIRECT(ADDRESS(2,COLUMN())),OFFSET($K$2,0,0,ROW()-1,5),ROW()-1,FALSE))</f>
        <v>37.117601559999997</v>
      </c>
      <c r="K1098">
        <f>38.9</f>
        <v>38.9</v>
      </c>
      <c r="L1098">
        <f>39.99469922</f>
        <v>39.994699220000001</v>
      </c>
      <c r="M1098">
        <f>39.28</f>
        <v>39.28</v>
      </c>
      <c r="N1098">
        <f>33.57580078</f>
        <v>33.575800780000002</v>
      </c>
      <c r="O1098">
        <f>37.11760156</f>
        <v>37.117601559999997</v>
      </c>
    </row>
    <row r="1099" spans="1:15" x14ac:dyDescent="0.25">
      <c r="A1099" t="str">
        <f>"                        Tohoku Electric Power Co Inc"</f>
        <v xml:space="preserve">                        Tohoku Electric Power Co Inc</v>
      </c>
      <c r="B1099" t="str">
        <f>"9506 JP Equity"</f>
        <v>9506 JP Equity</v>
      </c>
      <c r="C1099" t="str">
        <f t="shared" si="123"/>
        <v>F0946</v>
      </c>
      <c r="D1099" t="str">
        <f t="shared" si="124"/>
        <v>TOTAL_GHG_CO2_EMISSIONS</v>
      </c>
      <c r="E1099" t="str">
        <f t="shared" si="125"/>
        <v>Dynamic</v>
      </c>
      <c r="F1099" t="str">
        <f ca="1">IF(AND(ISNUMBER($F$2167),$B$1132=1),$F$2167,HLOOKUP(INDIRECT(ADDRESS(2,COLUMN())),OFFSET($K$2,0,0,ROW()-1,5),ROW()-1,FALSE))</f>
        <v/>
      </c>
      <c r="G1099">
        <f ca="1">IF(AND(ISNUMBER($G$2167),$B$1132=1),$G$2167,HLOOKUP(INDIRECT(ADDRESS(2,COLUMN())),OFFSET($K$2,0,0,ROW()-1,5),ROW()-1,FALSE))</f>
        <v>32.816000000000003</v>
      </c>
      <c r="H1099">
        <f ca="1">IF(AND(ISNUMBER($H$2167),$B$1132=1),$H$2167,HLOOKUP(INDIRECT(ADDRESS(2,COLUMN())),OFFSET($K$2,0,0,ROW()-1,5),ROW()-1,FALSE))</f>
        <v>31.140999999999998</v>
      </c>
      <c r="I1099">
        <f ca="1">IF(AND(ISNUMBER($I$2167),$B$1132=1),$I$2167,HLOOKUP(INDIRECT(ADDRESS(2,COLUMN())),OFFSET($K$2,0,0,ROW()-1,5),ROW()-1,FALSE))</f>
        <v>30.591000000000001</v>
      </c>
      <c r="J1099">
        <f ca="1">IF(AND(ISNUMBER($J$2167),$B$1132=1),$J$2167,HLOOKUP(INDIRECT(ADDRESS(2,COLUMN())),OFFSET($K$2,0,0,ROW()-1,5),ROW()-1,FALSE))</f>
        <v>31.9</v>
      </c>
      <c r="K1099" t="str">
        <f>""</f>
        <v/>
      </c>
      <c r="L1099">
        <f>32.816</f>
        <v>32.816000000000003</v>
      </c>
      <c r="M1099">
        <f>31.141</f>
        <v>31.140999999999998</v>
      </c>
      <c r="N1099">
        <f>30.591</f>
        <v>30.591000000000001</v>
      </c>
      <c r="O1099">
        <f>31.9</f>
        <v>31.9</v>
      </c>
    </row>
    <row r="1100" spans="1:15" x14ac:dyDescent="0.25">
      <c r="A1100" t="str">
        <f>"                        Vector Ltd"</f>
        <v xml:space="preserve">                        Vector Ltd</v>
      </c>
      <c r="B1100" t="str">
        <f>"VCT NZ Equity"</f>
        <v>VCT NZ Equity</v>
      </c>
      <c r="C1100" t="str">
        <f t="shared" si="123"/>
        <v>F0946</v>
      </c>
      <c r="D1100" t="str">
        <f t="shared" si="124"/>
        <v>TOTAL_GHG_CO2_EMISSIONS</v>
      </c>
      <c r="E1100" t="str">
        <f t="shared" si="125"/>
        <v>Dynamic</v>
      </c>
      <c r="F1100" t="str">
        <f ca="1">IF(AND(ISNUMBER($F$2168),$B$1132=1),$F$2168,HLOOKUP(INDIRECT(ADDRESS(2,COLUMN())),OFFSET($K$2,0,0,ROW()-1,5),ROW()-1,FALSE))</f>
        <v/>
      </c>
      <c r="G1100">
        <f ca="1">IF(AND(ISNUMBER($G$2168),$B$1132=1),$G$2168,HLOOKUP(INDIRECT(ADDRESS(2,COLUMN())),OFFSET($K$2,0,0,ROW()-1,5),ROW()-1,FALSE))</f>
        <v>6.0362999000000001E-2</v>
      </c>
      <c r="H1100">
        <f ca="1">IF(AND(ISNUMBER($H$2168),$B$1132=1),$H$2168,HLOOKUP(INDIRECT(ADDRESS(2,COLUMN())),OFFSET($K$2,0,0,ROW()-1,5),ROW()-1,FALSE))</f>
        <v>5.3849998000000003E-2</v>
      </c>
      <c r="I1100">
        <f ca="1">IF(AND(ISNUMBER($I$2168),$B$1132=1),$I$2168,HLOOKUP(INDIRECT(ADDRESS(2,COLUMN())),OFFSET($K$2,0,0,ROW()-1,5),ROW()-1,FALSE))</f>
        <v>0.32317800899999999</v>
      </c>
      <c r="J1100">
        <f ca="1">IF(AND(ISNUMBER($J$2168),$B$1132=1),$J$2168,HLOOKUP(INDIRECT(ADDRESS(2,COLUMN())),OFFSET($K$2,0,0,ROW()-1,5),ROW()-1,FALSE))</f>
        <v>0.42634298700000001</v>
      </c>
      <c r="K1100" t="str">
        <f>""</f>
        <v/>
      </c>
      <c r="L1100">
        <f>0.060362999</f>
        <v>6.0362999000000001E-2</v>
      </c>
      <c r="M1100">
        <f>0.053849998</f>
        <v>5.3849998000000003E-2</v>
      </c>
      <c r="N1100">
        <f>0.323178009</f>
        <v>0.32317800899999999</v>
      </c>
      <c r="O1100">
        <f>0.426342987</f>
        <v>0.42634298700000001</v>
      </c>
    </row>
    <row r="1101" spans="1:15" x14ac:dyDescent="0.25">
      <c r="A1101" t="str">
        <f>"                        YTL Corp Bhd"</f>
        <v xml:space="preserve">                        YTL Corp Bhd</v>
      </c>
      <c r="B1101" t="str">
        <f>"YTL MK Equity"</f>
        <v>YTL MK Equity</v>
      </c>
      <c r="C1101" t="str">
        <f t="shared" si="123"/>
        <v>F0946</v>
      </c>
      <c r="D1101" t="str">
        <f t="shared" si="124"/>
        <v>TOTAL_GHG_CO2_EMISSIONS</v>
      </c>
      <c r="E1101" t="str">
        <f t="shared" si="125"/>
        <v>Dynamic</v>
      </c>
      <c r="F1101" t="str">
        <f ca="1">IF(AND(ISNUMBER($F$2169),$B$1132=1),$F$2169,HLOOKUP(INDIRECT(ADDRESS(2,COLUMN())),OFFSET($K$2,0,0,ROW()-1,5),ROW()-1,FALSE))</f>
        <v/>
      </c>
      <c r="G1101">
        <f ca="1">IF(AND(ISNUMBER($G$2169),$B$1132=1),$G$2169,HLOOKUP(INDIRECT(ADDRESS(2,COLUMN())),OFFSET($K$2,0,0,ROW()-1,5),ROW()-1,FALSE))</f>
        <v>3.8330000000000002</v>
      </c>
      <c r="H1101">
        <f ca="1">IF(AND(ISNUMBER($H$2169),$B$1132=1),$H$2169,HLOOKUP(INDIRECT(ADDRESS(2,COLUMN())),OFFSET($K$2,0,0,ROW()-1,5),ROW()-1,FALSE))</f>
        <v>3.363</v>
      </c>
      <c r="I1101">
        <f ca="1">IF(AND(ISNUMBER($I$2169),$B$1132=1),$I$2169,HLOOKUP(INDIRECT(ADDRESS(2,COLUMN())),OFFSET($K$2,0,0,ROW()-1,5),ROW()-1,FALSE))</f>
        <v>3.6539999999999999</v>
      </c>
      <c r="J1101" t="str">
        <f ca="1">IF(AND(ISNUMBER($J$2169),$B$1132=1),$J$2169,HLOOKUP(INDIRECT(ADDRESS(2,COLUMN())),OFFSET($K$2,0,0,ROW()-1,5),ROW()-1,FALSE))</f>
        <v/>
      </c>
      <c r="K1101" t="str">
        <f>""</f>
        <v/>
      </c>
      <c r="L1101">
        <f>3.833</f>
        <v>3.8330000000000002</v>
      </c>
      <c r="M1101">
        <f>3.363</f>
        <v>3.363</v>
      </c>
      <c r="N1101">
        <f>3.654</f>
        <v>3.6539999999999999</v>
      </c>
      <c r="O1101" t="str">
        <f>""</f>
        <v/>
      </c>
    </row>
    <row r="1102" spans="1:15" x14ac:dyDescent="0.25">
      <c r="A1102" t="str">
        <f>"                        YTL Power International Bhd"</f>
        <v xml:space="preserve">                        YTL Power International Bhd</v>
      </c>
      <c r="B1102" t="str">
        <f>"YTLP MK Equity"</f>
        <v>YTLP MK Equity</v>
      </c>
      <c r="C1102" t="str">
        <f t="shared" si="123"/>
        <v>F0946</v>
      </c>
      <c r="D1102" t="str">
        <f t="shared" si="124"/>
        <v>TOTAL_GHG_CO2_EMISSIONS</v>
      </c>
      <c r="E1102" t="str">
        <f t="shared" si="125"/>
        <v>Dynamic</v>
      </c>
      <c r="F1102" t="str">
        <f ca="1">IF(AND(ISNUMBER($F$2170),$B$1132=1),$F$2170,HLOOKUP(INDIRECT(ADDRESS(2,COLUMN())),OFFSET($K$2,0,0,ROW()-1,5),ROW()-1,FALSE))</f>
        <v/>
      </c>
      <c r="G1102" t="str">
        <f ca="1">IF(AND(ISNUMBER($G$2170),$B$1132=1),$G$2170,HLOOKUP(INDIRECT(ADDRESS(2,COLUMN())),OFFSET($K$2,0,0,ROW()-1,5),ROW()-1,FALSE))</f>
        <v/>
      </c>
      <c r="H1102" t="str">
        <f ca="1">IF(AND(ISNUMBER($H$2170),$B$1132=1),$H$2170,HLOOKUP(INDIRECT(ADDRESS(2,COLUMN())),OFFSET($K$2,0,0,ROW()-1,5),ROW()-1,FALSE))</f>
        <v/>
      </c>
      <c r="I1102" t="str">
        <f ca="1">IF(AND(ISNUMBER($I$2170),$B$1132=1),$I$2170,HLOOKUP(INDIRECT(ADDRESS(2,COLUMN())),OFFSET($K$2,0,0,ROW()-1,5),ROW()-1,FALSE))</f>
        <v/>
      </c>
      <c r="J1102" t="str">
        <f ca="1">IF(AND(ISNUMBER($J$2170),$B$1132=1),$J$2170,HLOOKUP(INDIRECT(ADDRESS(2,COLUMN())),OFFSET($K$2,0,0,ROW()-1,5),ROW()-1,FALSE))</f>
        <v/>
      </c>
      <c r="K1102" t="str">
        <f>""</f>
        <v/>
      </c>
      <c r="L1102" t="str">
        <f>""</f>
        <v/>
      </c>
      <c r="M1102" t="str">
        <f>""</f>
        <v/>
      </c>
      <c r="N1102" t="str">
        <f>""</f>
        <v/>
      </c>
      <c r="O1102" t="str">
        <f>""</f>
        <v/>
      </c>
    </row>
    <row r="1103" spans="1:15" x14ac:dyDescent="0.25">
      <c r="A1103" t="str">
        <f>"            North America Electric &amp; Gas Transmission"</f>
        <v xml:space="preserve">            North America Electric &amp; Gas Transmission</v>
      </c>
      <c r="B1103" t="str">
        <f>""</f>
        <v/>
      </c>
      <c r="E1103" t="str">
        <f>"Sum"</f>
        <v>Sum</v>
      </c>
      <c r="F1103">
        <f ca="1">IF(ISERROR(IF(SUM($F$1104:$F$1116) = 0, "", SUM($F$1104:$F$1116))), "", (IF(SUM($F$1104:$F$1116) = 0, "", SUM($F$1104:$F$1116))))</f>
        <v>40.274100036</v>
      </c>
      <c r="G1103">
        <f ca="1">IF(ISERROR(IF(SUM($G$1104:$G$1116) = 0, "", SUM($G$1104:$G$1116))), "", (IF(SUM($G$1104:$G$1116) = 0, "", SUM($G$1104:$G$1116))))</f>
        <v>57.703892275000008</v>
      </c>
      <c r="H1103">
        <f ca="1">IF(ISERROR(IF(SUM($H$1104:$H$1116) = 0, "", SUM($H$1104:$H$1116))), "", (IF(SUM($H$1104:$H$1116) = 0, "", SUM($H$1104:$H$1116))))</f>
        <v>52.765191253000005</v>
      </c>
      <c r="I1103">
        <f ca="1">IF(ISERROR(IF(SUM($I$1104:$I$1116) = 0, "", SUM($I$1104:$I$1116))), "", (IF(SUM($I$1104:$I$1116) = 0, "", SUM($I$1104:$I$1116))))</f>
        <v>52.545913808000002</v>
      </c>
      <c r="J1103">
        <f ca="1">IF(ISERROR(IF(SUM($J$1104:$J$1116) = 0, "", SUM($J$1104:$J$1116))), "", (IF(SUM($J$1104:$J$1116) = 0, "", SUM($J$1104:$J$1116))))</f>
        <v>56.855407014000001</v>
      </c>
      <c r="K1103">
        <f>40.27410004</f>
        <v>40.27410004</v>
      </c>
      <c r="L1103">
        <f>57.70389227</f>
        <v>57.703892269999997</v>
      </c>
      <c r="M1103">
        <f>52.76519125</f>
        <v>52.765191250000001</v>
      </c>
      <c r="N1103">
        <f>52.54591381</f>
        <v>52.545913810000002</v>
      </c>
      <c r="O1103">
        <f>56.85540701</f>
        <v>56.85540701</v>
      </c>
    </row>
    <row r="1104" spans="1:15" x14ac:dyDescent="0.25">
      <c r="A1104" t="str">
        <f>"                Avangrid Inc"</f>
        <v xml:space="preserve">                Avangrid Inc</v>
      </c>
      <c r="B1104" t="str">
        <f>"AGR US Equity"</f>
        <v>AGR US Equity</v>
      </c>
      <c r="C1104" t="str">
        <f t="shared" ref="C1104:C1116" si="126">"F0946"</f>
        <v>F0946</v>
      </c>
      <c r="D1104" t="str">
        <f t="shared" ref="D1104:D1116" si="127">"TOTAL_GHG_CO2_EMISSIONS"</f>
        <v>TOTAL_GHG_CO2_EMISSIONS</v>
      </c>
      <c r="E1104" t="str">
        <f t="shared" ref="E1104:E1116" si="128">"Dynamic"</f>
        <v>Dynamic</v>
      </c>
      <c r="F1104">
        <f ca="1">IF(AND(ISNUMBER($F$2171),$B$1132=1),$F$2171,HLOOKUP(INDIRECT(ADDRESS(2,COLUMN())),OFFSET($K$2,0,0,ROW()-1,5),ROW()-1,FALSE))</f>
        <v>1.600900024</v>
      </c>
      <c r="G1104">
        <f ca="1">IF(AND(ISNUMBER($G$2171),$B$1132=1),$G$2171,HLOOKUP(INDIRECT(ADDRESS(2,COLUMN())),OFFSET($K$2,0,0,ROW()-1,5),ROW()-1,FALSE))</f>
        <v>2.020069946</v>
      </c>
      <c r="H1104">
        <f ca="1">IF(AND(ISNUMBER($H$2171),$B$1132=1),$H$2171,HLOOKUP(INDIRECT(ADDRESS(2,COLUMN())),OFFSET($K$2,0,0,ROW()-1,5),ROW()-1,FALSE))</f>
        <v>1.7137299800000001</v>
      </c>
      <c r="I1104">
        <f ca="1">IF(AND(ISNUMBER($I$2171),$B$1132=1),$I$2171,HLOOKUP(INDIRECT(ADDRESS(2,COLUMN())),OFFSET($K$2,0,0,ROW()-1,5),ROW()-1,FALSE))</f>
        <v>2.1655800780000001</v>
      </c>
      <c r="J1104">
        <f ca="1">IF(AND(ISNUMBER($J$2171),$B$1132=1),$J$2171,HLOOKUP(INDIRECT(ADDRESS(2,COLUMN())),OFFSET($K$2,0,0,ROW()-1,5),ROW()-1,FALSE))</f>
        <v>1.725630005</v>
      </c>
      <c r="K1104">
        <f>1.600900024</f>
        <v>1.600900024</v>
      </c>
      <c r="L1104">
        <f>2.020069946</f>
        <v>2.020069946</v>
      </c>
      <c r="M1104">
        <f>1.71372998</f>
        <v>1.7137299800000001</v>
      </c>
      <c r="N1104">
        <f>2.165580078</f>
        <v>2.1655800780000001</v>
      </c>
      <c r="O1104">
        <f>1.725630005</f>
        <v>1.725630005</v>
      </c>
    </row>
    <row r="1105" spans="1:15" x14ac:dyDescent="0.25">
      <c r="A1105" t="str">
        <f>"                Atmos Energy Corp"</f>
        <v xml:space="preserve">                Atmos Energy Corp</v>
      </c>
      <c r="B1105" t="str">
        <f>"ATO US Equity"</f>
        <v>ATO US Equity</v>
      </c>
      <c r="C1105" t="str">
        <f t="shared" si="126"/>
        <v>F0946</v>
      </c>
      <c r="D1105" t="str">
        <f t="shared" si="127"/>
        <v>TOTAL_GHG_CO2_EMISSIONS</v>
      </c>
      <c r="E1105" t="str">
        <f t="shared" si="128"/>
        <v>Dynamic</v>
      </c>
      <c r="F1105" t="str">
        <f ca="1">IF(AND(ISNUMBER($F$2172),$B$1132=1),$F$2172,HLOOKUP(INDIRECT(ADDRESS(2,COLUMN())),OFFSET($K$2,0,0,ROW()-1,5),ROW()-1,FALSE))</f>
        <v/>
      </c>
      <c r="G1105" t="str">
        <f ca="1">IF(AND(ISNUMBER($G$2172),$B$1132=1),$G$2172,HLOOKUP(INDIRECT(ADDRESS(2,COLUMN())),OFFSET($K$2,0,0,ROW()-1,5),ROW()-1,FALSE))</f>
        <v/>
      </c>
      <c r="H1105" t="str">
        <f ca="1">IF(AND(ISNUMBER($H$2172),$B$1132=1),$H$2172,HLOOKUP(INDIRECT(ADDRESS(2,COLUMN())),OFFSET($K$2,0,0,ROW()-1,5),ROW()-1,FALSE))</f>
        <v/>
      </c>
      <c r="I1105" t="str">
        <f ca="1">IF(AND(ISNUMBER($I$2172),$B$1132=1),$I$2172,HLOOKUP(INDIRECT(ADDRESS(2,COLUMN())),OFFSET($K$2,0,0,ROW()-1,5),ROW()-1,FALSE))</f>
        <v/>
      </c>
      <c r="J1105" t="str">
        <f ca="1">IF(AND(ISNUMBER($J$2172),$B$1132=1),$J$2172,HLOOKUP(INDIRECT(ADDRESS(2,COLUMN())),OFFSET($K$2,0,0,ROW()-1,5),ROW()-1,FALSE))</f>
        <v/>
      </c>
      <c r="K1105" t="str">
        <f>""</f>
        <v/>
      </c>
      <c r="L1105" t="str">
        <f>""</f>
        <v/>
      </c>
      <c r="M1105" t="str">
        <f>""</f>
        <v/>
      </c>
      <c r="N1105" t="str">
        <f>""</f>
        <v/>
      </c>
      <c r="O1105" t="str">
        <f>""</f>
        <v/>
      </c>
    </row>
    <row r="1106" spans="1:15" x14ac:dyDescent="0.25">
      <c r="A1106" t="str">
        <f>"                CenterPoint Energy Inc"</f>
        <v xml:space="preserve">                CenterPoint Energy Inc</v>
      </c>
      <c r="B1106" t="str">
        <f>"CNP US Equity"</f>
        <v>CNP US Equity</v>
      </c>
      <c r="C1106" t="str">
        <f t="shared" si="126"/>
        <v>F0946</v>
      </c>
      <c r="D1106" t="str">
        <f t="shared" si="127"/>
        <v>TOTAL_GHG_CO2_EMISSIONS</v>
      </c>
      <c r="E1106" t="str">
        <f t="shared" si="128"/>
        <v>Dynamic</v>
      </c>
      <c r="F1106" t="str">
        <f ca="1">IF(AND(ISNUMBER($F$2173),$B$1132=1),$F$2173,HLOOKUP(INDIRECT(ADDRESS(2,COLUMN())),OFFSET($K$2,0,0,ROW()-1,5),ROW()-1,FALSE))</f>
        <v/>
      </c>
      <c r="G1106">
        <f ca="1">IF(AND(ISNUMBER($G$2173),$B$1132=1),$G$2173,HLOOKUP(INDIRECT(ADDRESS(2,COLUMN())),OFFSET($K$2,0,0,ROW()-1,5),ROW()-1,FALSE))</f>
        <v>7.0957099609999998</v>
      </c>
      <c r="H1106">
        <f ca="1">IF(AND(ISNUMBER($H$2173),$B$1132=1),$H$2173,HLOOKUP(INDIRECT(ADDRESS(2,COLUMN())),OFFSET($K$2,0,0,ROW()-1,5),ROW()-1,FALSE))</f>
        <v>5.2958398439999996</v>
      </c>
      <c r="I1106" t="str">
        <f ca="1">IF(AND(ISNUMBER($I$2173),$B$1132=1),$I$2173,HLOOKUP(INDIRECT(ADDRESS(2,COLUMN())),OFFSET($K$2,0,0,ROW()-1,5),ROW()-1,FALSE))</f>
        <v/>
      </c>
      <c r="J1106" t="str">
        <f ca="1">IF(AND(ISNUMBER($J$2173),$B$1132=1),$J$2173,HLOOKUP(INDIRECT(ADDRESS(2,COLUMN())),OFFSET($K$2,0,0,ROW()-1,5),ROW()-1,FALSE))</f>
        <v/>
      </c>
      <c r="K1106" t="str">
        <f>""</f>
        <v/>
      </c>
      <c r="L1106">
        <f>7.095709961</f>
        <v>7.0957099609999998</v>
      </c>
      <c r="M1106">
        <f>5.295839844</f>
        <v>5.2958398439999996</v>
      </c>
      <c r="N1106" t="str">
        <f>""</f>
        <v/>
      </c>
      <c r="O1106" t="str">
        <f>""</f>
        <v/>
      </c>
    </row>
    <row r="1107" spans="1:15" x14ac:dyDescent="0.25">
      <c r="A1107" t="str">
        <f>"                Consolidated Edison Inc"</f>
        <v xml:space="preserve">                Consolidated Edison Inc</v>
      </c>
      <c r="B1107" t="str">
        <f>"ED US Equity"</f>
        <v>ED US Equity</v>
      </c>
      <c r="C1107" t="str">
        <f t="shared" si="126"/>
        <v>F0946</v>
      </c>
      <c r="D1107" t="str">
        <f t="shared" si="127"/>
        <v>TOTAL_GHG_CO2_EMISSIONS</v>
      </c>
      <c r="E1107" t="str">
        <f t="shared" si="128"/>
        <v>Dynamic</v>
      </c>
      <c r="F1107">
        <f ca="1">IF(AND(ISNUMBER($F$2174),$B$1132=1),$F$2174,HLOOKUP(INDIRECT(ADDRESS(2,COLUMN())),OFFSET($K$2,0,0,ROW()-1,5),ROW()-1,FALSE))</f>
        <v>3.835</v>
      </c>
      <c r="G1107">
        <f ca="1">IF(AND(ISNUMBER($G$2174),$B$1132=1),$G$2174,HLOOKUP(INDIRECT(ADDRESS(2,COLUMN())),OFFSET($K$2,0,0,ROW()-1,5),ROW()-1,FALSE))</f>
        <v>4.0860000000000003</v>
      </c>
      <c r="H1107">
        <f ca="1">IF(AND(ISNUMBER($H$2174),$B$1132=1),$H$2174,HLOOKUP(INDIRECT(ADDRESS(2,COLUMN())),OFFSET($K$2,0,0,ROW()-1,5),ROW()-1,FALSE))</f>
        <v>3.62</v>
      </c>
      <c r="I1107">
        <f ca="1">IF(AND(ISNUMBER($I$2174),$B$1132=1),$I$2174,HLOOKUP(INDIRECT(ADDRESS(2,COLUMN())),OFFSET($K$2,0,0,ROW()-1,5),ROW()-1,FALSE))</f>
        <v>4.0670000000000002</v>
      </c>
      <c r="J1107">
        <f ca="1">IF(AND(ISNUMBER($J$2174),$B$1132=1),$J$2174,HLOOKUP(INDIRECT(ADDRESS(2,COLUMN())),OFFSET($K$2,0,0,ROW()-1,5),ROW()-1,FALSE))</f>
        <v>4.3079999999999998</v>
      </c>
      <c r="K1107">
        <f>3.835</f>
        <v>3.835</v>
      </c>
      <c r="L1107">
        <f>4.086</f>
        <v>4.0860000000000003</v>
      </c>
      <c r="M1107">
        <f>3.62</f>
        <v>3.62</v>
      </c>
      <c r="N1107">
        <f>4.067</f>
        <v>4.0670000000000002</v>
      </c>
      <c r="O1107">
        <f>4.308</f>
        <v>4.3079999999999998</v>
      </c>
    </row>
    <row r="1108" spans="1:15" x14ac:dyDescent="0.25">
      <c r="A1108" t="str">
        <f>"                Eversource Energy"</f>
        <v xml:space="preserve">                Eversource Energy</v>
      </c>
      <c r="B1108" t="str">
        <f>"ES US Equity"</f>
        <v>ES US Equity</v>
      </c>
      <c r="C1108" t="str">
        <f t="shared" si="126"/>
        <v>F0946</v>
      </c>
      <c r="D1108" t="str">
        <f t="shared" si="127"/>
        <v>TOTAL_GHG_CO2_EMISSIONS</v>
      </c>
      <c r="E1108" t="str">
        <f t="shared" si="128"/>
        <v>Dynamic</v>
      </c>
      <c r="F1108" t="str">
        <f ca="1">IF(AND(ISNUMBER($F$2175),$B$1132=1),$F$2175,HLOOKUP(INDIRECT(ADDRESS(2,COLUMN())),OFFSET($K$2,0,0,ROW()-1,5),ROW()-1,FALSE))</f>
        <v/>
      </c>
      <c r="G1108">
        <f ca="1">IF(AND(ISNUMBER($G$2175),$B$1132=1),$G$2175,HLOOKUP(INDIRECT(ADDRESS(2,COLUMN())),OFFSET($K$2,0,0,ROW()-1,5),ROW()-1,FALSE))</f>
        <v>0.70987597700000005</v>
      </c>
      <c r="H1108">
        <f ca="1">IF(AND(ISNUMBER($H$2175),$B$1132=1),$H$2175,HLOOKUP(INDIRECT(ADDRESS(2,COLUMN())),OFFSET($K$2,0,0,ROW()-1,5),ROW()-1,FALSE))</f>
        <v>0.68533099399999997</v>
      </c>
      <c r="I1108">
        <f ca="1">IF(AND(ISNUMBER($I$2175),$B$1132=1),$I$2175,HLOOKUP(INDIRECT(ADDRESS(2,COLUMN())),OFFSET($K$2,0,0,ROW()-1,5),ROW()-1,FALSE))</f>
        <v>0.78569999999999995</v>
      </c>
      <c r="J1108">
        <f ca="1">IF(AND(ISNUMBER($J$2175),$B$1132=1),$J$2175,HLOOKUP(INDIRECT(ADDRESS(2,COLUMN())),OFFSET($K$2,0,0,ROW()-1,5),ROW()-1,FALSE))</f>
        <v>0.81223699999999999</v>
      </c>
      <c r="K1108" t="str">
        <f>""</f>
        <v/>
      </c>
      <c r="L1108">
        <f>0.709875977</f>
        <v>0.70987597700000005</v>
      </c>
      <c r="M1108">
        <f>0.685330994</f>
        <v>0.68533099399999997</v>
      </c>
      <c r="N1108">
        <f>0.7857</f>
        <v>0.78569999999999995</v>
      </c>
      <c r="O1108">
        <f>0.812237</f>
        <v>0.81223699999999999</v>
      </c>
    </row>
    <row r="1109" spans="1:15" x14ac:dyDescent="0.25">
      <c r="A1109" t="str">
        <f>"                NiSource Inc"</f>
        <v xml:space="preserve">                NiSource Inc</v>
      </c>
      <c r="B1109" t="str">
        <f>"NI US Equity"</f>
        <v>NI US Equity</v>
      </c>
      <c r="C1109" t="str">
        <f t="shared" si="126"/>
        <v>F0946</v>
      </c>
      <c r="D1109" t="str">
        <f t="shared" si="127"/>
        <v>TOTAL_GHG_CO2_EMISSIONS</v>
      </c>
      <c r="E1109" t="str">
        <f t="shared" si="128"/>
        <v>Dynamic</v>
      </c>
      <c r="F1109" t="str">
        <f ca="1">IF(AND(ISNUMBER($F$2176),$B$1132=1),$F$2176,HLOOKUP(INDIRECT(ADDRESS(2,COLUMN())),OFFSET($K$2,0,0,ROW()-1,5),ROW()-1,FALSE))</f>
        <v/>
      </c>
      <c r="G1109">
        <f ca="1">IF(AND(ISNUMBER($G$2176),$B$1132=1),$G$2176,HLOOKUP(INDIRECT(ADDRESS(2,COLUMN())),OFFSET($K$2,0,0,ROW()-1,5),ROW()-1,FALSE))</f>
        <v>8.2469501950000002</v>
      </c>
      <c r="H1109">
        <f ca="1">IF(AND(ISNUMBER($H$2176),$B$1132=1),$H$2176,HLOOKUP(INDIRECT(ADDRESS(2,COLUMN())),OFFSET($K$2,0,0,ROW()-1,5),ROW()-1,FALSE))</f>
        <v>7.3034599609999997</v>
      </c>
      <c r="I1109">
        <f ca="1">IF(AND(ISNUMBER($I$2176),$B$1132=1),$I$2176,HLOOKUP(INDIRECT(ADDRESS(2,COLUMN())),OFFSET($K$2,0,0,ROW()-1,5),ROW()-1,FALSE))</f>
        <v>10.244099609999999</v>
      </c>
      <c r="J1109">
        <f ca="1">IF(AND(ISNUMBER($J$2176),$B$1132=1),$J$2176,HLOOKUP(INDIRECT(ADDRESS(2,COLUMN())),OFFSET($K$2,0,0,ROW()-1,5),ROW()-1,FALSE))</f>
        <v>12.624499999999999</v>
      </c>
      <c r="K1109" t="str">
        <f>""</f>
        <v/>
      </c>
      <c r="L1109">
        <f>8.246950195</f>
        <v>8.2469501950000002</v>
      </c>
      <c r="M1109">
        <f>7.303459961</f>
        <v>7.3034599609999997</v>
      </c>
      <c r="N1109">
        <f>10.24409961</f>
        <v>10.244099609999999</v>
      </c>
      <c r="O1109">
        <f>12.6245</f>
        <v>12.624499999999999</v>
      </c>
    </row>
    <row r="1110" spans="1:15" x14ac:dyDescent="0.25">
      <c r="A1110" t="str">
        <f>"                National Fuel Gas Co"</f>
        <v xml:space="preserve">                National Fuel Gas Co</v>
      </c>
      <c r="B1110" t="str">
        <f>"NFG US Equity"</f>
        <v>NFG US Equity</v>
      </c>
      <c r="C1110" t="str">
        <f t="shared" si="126"/>
        <v>F0946</v>
      </c>
      <c r="D1110" t="str">
        <f t="shared" si="127"/>
        <v>TOTAL_GHG_CO2_EMISSIONS</v>
      </c>
      <c r="E1110" t="str">
        <f t="shared" si="128"/>
        <v>Dynamic</v>
      </c>
      <c r="F1110" t="str">
        <f ca="1">IF(AND(ISNUMBER($F$2177),$B$1132=1),$F$2177,HLOOKUP(INDIRECT(ADDRESS(2,COLUMN())),OFFSET($K$2,0,0,ROW()-1,5),ROW()-1,FALSE))</f>
        <v/>
      </c>
      <c r="G1110">
        <f ca="1">IF(AND(ISNUMBER($G$2177),$B$1132=1),$G$2177,HLOOKUP(INDIRECT(ADDRESS(2,COLUMN())),OFFSET($K$2,0,0,ROW()-1,5),ROW()-1,FALSE))</f>
        <v>0.75803900199999996</v>
      </c>
      <c r="H1110" t="str">
        <f ca="1">IF(AND(ISNUMBER($H$2177),$B$1132=1),$H$2177,HLOOKUP(INDIRECT(ADDRESS(2,COLUMN())),OFFSET($K$2,0,0,ROW()-1,5),ROW()-1,FALSE))</f>
        <v/>
      </c>
      <c r="I1110" t="str">
        <f ca="1">IF(AND(ISNUMBER($I$2177),$B$1132=1),$I$2177,HLOOKUP(INDIRECT(ADDRESS(2,COLUMN())),OFFSET($K$2,0,0,ROW()-1,5),ROW()-1,FALSE))</f>
        <v/>
      </c>
      <c r="J1110" t="str">
        <f ca="1">IF(AND(ISNUMBER($J$2177),$B$1132=1),$J$2177,HLOOKUP(INDIRECT(ADDRESS(2,COLUMN())),OFFSET($K$2,0,0,ROW()-1,5),ROW()-1,FALSE))</f>
        <v/>
      </c>
      <c r="K1110" t="str">
        <f>""</f>
        <v/>
      </c>
      <c r="L1110">
        <f>0.758039002</f>
        <v>0.75803900199999996</v>
      </c>
      <c r="M1110" t="str">
        <f>""</f>
        <v/>
      </c>
      <c r="N1110" t="str">
        <f>""</f>
        <v/>
      </c>
      <c r="O1110" t="str">
        <f>""</f>
        <v/>
      </c>
    </row>
    <row r="1111" spans="1:15" x14ac:dyDescent="0.25">
      <c r="A1111" t="str">
        <f>"                New Jersey Resources Corp"</f>
        <v xml:space="preserve">                New Jersey Resources Corp</v>
      </c>
      <c r="B1111" t="str">
        <f>"NJR US Equity"</f>
        <v>NJR US Equity</v>
      </c>
      <c r="C1111" t="str">
        <f t="shared" si="126"/>
        <v>F0946</v>
      </c>
      <c r="D1111" t="str">
        <f t="shared" si="127"/>
        <v>TOTAL_GHG_CO2_EMISSIONS</v>
      </c>
      <c r="E1111" t="str">
        <f t="shared" si="128"/>
        <v>Dynamic</v>
      </c>
      <c r="F1111" t="str">
        <f ca="1">IF(AND(ISNUMBER($F$2178),$B$1132=1),$F$2178,HLOOKUP(INDIRECT(ADDRESS(2,COLUMN())),OFFSET($K$2,0,0,ROW()-1,5),ROW()-1,FALSE))</f>
        <v/>
      </c>
      <c r="G1111" t="str">
        <f ca="1">IF(AND(ISNUMBER($G$2178),$B$1132=1),$G$2178,HLOOKUP(INDIRECT(ADDRESS(2,COLUMN())),OFFSET($K$2,0,0,ROW()-1,5),ROW()-1,FALSE))</f>
        <v/>
      </c>
      <c r="H1111" t="str">
        <f ca="1">IF(AND(ISNUMBER($H$2178),$B$1132=1),$H$2178,HLOOKUP(INDIRECT(ADDRESS(2,COLUMN())),OFFSET($K$2,0,0,ROW()-1,5),ROW()-1,FALSE))</f>
        <v/>
      </c>
      <c r="I1111" t="str">
        <f ca="1">IF(AND(ISNUMBER($I$2178),$B$1132=1),$I$2178,HLOOKUP(INDIRECT(ADDRESS(2,COLUMN())),OFFSET($K$2,0,0,ROW()-1,5),ROW()-1,FALSE))</f>
        <v/>
      </c>
      <c r="J1111" t="str">
        <f ca="1">IF(AND(ISNUMBER($J$2178),$B$1132=1),$J$2178,HLOOKUP(INDIRECT(ADDRESS(2,COLUMN())),OFFSET($K$2,0,0,ROW()-1,5),ROW()-1,FALSE))</f>
        <v/>
      </c>
      <c r="K1111" t="str">
        <f>""</f>
        <v/>
      </c>
      <c r="L1111" t="str">
        <f>""</f>
        <v/>
      </c>
      <c r="M1111" t="str">
        <f>""</f>
        <v/>
      </c>
      <c r="N1111" t="str">
        <f>""</f>
        <v/>
      </c>
      <c r="O1111" t="str">
        <f>""</f>
        <v/>
      </c>
    </row>
    <row r="1112" spans="1:15" x14ac:dyDescent="0.25">
      <c r="A1112" t="str">
        <f>"                ONE Gas Inc"</f>
        <v xml:space="preserve">                ONE Gas Inc</v>
      </c>
      <c r="B1112" t="str">
        <f>"OGS US Equity"</f>
        <v>OGS US Equity</v>
      </c>
      <c r="C1112" t="str">
        <f t="shared" si="126"/>
        <v>F0946</v>
      </c>
      <c r="D1112" t="str">
        <f t="shared" si="127"/>
        <v>TOTAL_GHG_CO2_EMISSIONS</v>
      </c>
      <c r="E1112" t="str">
        <f t="shared" si="128"/>
        <v>Dynamic</v>
      </c>
      <c r="F1112" t="str">
        <f ca="1">IF(AND(ISNUMBER($F$2179),$B$1132=1),$F$2179,HLOOKUP(INDIRECT(ADDRESS(2,COLUMN())),OFFSET($K$2,0,0,ROW()-1,5),ROW()-1,FALSE))</f>
        <v/>
      </c>
      <c r="G1112" t="str">
        <f ca="1">IF(AND(ISNUMBER($G$2179),$B$1132=1),$G$2179,HLOOKUP(INDIRECT(ADDRESS(2,COLUMN())),OFFSET($K$2,0,0,ROW()-1,5),ROW()-1,FALSE))</f>
        <v/>
      </c>
      <c r="H1112" t="str">
        <f ca="1">IF(AND(ISNUMBER($H$2179),$B$1132=1),$H$2179,HLOOKUP(INDIRECT(ADDRESS(2,COLUMN())),OFFSET($K$2,0,0,ROW()-1,5),ROW()-1,FALSE))</f>
        <v/>
      </c>
      <c r="I1112" t="str">
        <f ca="1">IF(AND(ISNUMBER($I$2179),$B$1132=1),$I$2179,HLOOKUP(INDIRECT(ADDRESS(2,COLUMN())),OFFSET($K$2,0,0,ROW()-1,5),ROW()-1,FALSE))</f>
        <v/>
      </c>
      <c r="J1112" t="str">
        <f ca="1">IF(AND(ISNUMBER($J$2179),$B$1132=1),$J$2179,HLOOKUP(INDIRECT(ADDRESS(2,COLUMN())),OFFSET($K$2,0,0,ROW()-1,5),ROW()-1,FALSE))</f>
        <v/>
      </c>
      <c r="K1112" t="str">
        <f>""</f>
        <v/>
      </c>
      <c r="L1112" t="str">
        <f>""</f>
        <v/>
      </c>
      <c r="M1112" t="str">
        <f>""</f>
        <v/>
      </c>
      <c r="N1112" t="str">
        <f>""</f>
        <v/>
      </c>
      <c r="O1112" t="str">
        <f>""</f>
        <v/>
      </c>
    </row>
    <row r="1113" spans="1:15" x14ac:dyDescent="0.25">
      <c r="A1113" t="str">
        <f>"                PPL Corp"</f>
        <v xml:space="preserve">                PPL Corp</v>
      </c>
      <c r="B1113" t="str">
        <f>"PPL US Equity"</f>
        <v>PPL US Equity</v>
      </c>
      <c r="C1113" t="str">
        <f t="shared" si="126"/>
        <v>F0946</v>
      </c>
      <c r="D1113" t="str">
        <f t="shared" si="127"/>
        <v>TOTAL_GHG_CO2_EMISSIONS</v>
      </c>
      <c r="E1113" t="str">
        <f t="shared" si="128"/>
        <v>Dynamic</v>
      </c>
      <c r="F1113">
        <f ca="1">IF(AND(ISNUMBER($F$2180),$B$1132=1),$F$2180,HLOOKUP(INDIRECT(ADDRESS(2,COLUMN())),OFFSET($K$2,0,0,ROW()-1,5),ROW()-1,FALSE))</f>
        <v>26.9085</v>
      </c>
      <c r="G1113">
        <f ca="1">IF(AND(ISNUMBER($G$2180),$B$1132=1),$G$2180,HLOOKUP(INDIRECT(ADDRESS(2,COLUMN())),OFFSET($K$2,0,0,ROW()-1,5),ROW()-1,FALSE))</f>
        <v>26.46919922</v>
      </c>
      <c r="H1113">
        <f ca="1">IF(AND(ISNUMBER($H$2180),$B$1132=1),$H$2180,HLOOKUP(INDIRECT(ADDRESS(2,COLUMN())),OFFSET($K$2,0,0,ROW()-1,5),ROW()-1,FALSE))</f>
        <v>25.673400390000001</v>
      </c>
      <c r="I1113">
        <f ca="1">IF(AND(ISNUMBER($I$2180),$B$1132=1),$I$2180,HLOOKUP(INDIRECT(ADDRESS(2,COLUMN())),OFFSET($K$2,0,0,ROW()-1,5),ROW()-1,FALSE))</f>
        <v>27.433199219999999</v>
      </c>
      <c r="J1113">
        <f ca="1">IF(AND(ISNUMBER($J$2180),$B$1132=1),$J$2180,HLOOKUP(INDIRECT(ADDRESS(2,COLUMN())),OFFSET($K$2,0,0,ROW()-1,5),ROW()-1,FALSE))</f>
        <v>29.946999999999999</v>
      </c>
      <c r="K1113">
        <f>26.9085</f>
        <v>26.9085</v>
      </c>
      <c r="L1113">
        <f>26.46919922</f>
        <v>26.46919922</v>
      </c>
      <c r="M1113">
        <f>25.67340039</f>
        <v>25.673400390000001</v>
      </c>
      <c r="N1113">
        <f>27.43319922</f>
        <v>27.433199219999999</v>
      </c>
      <c r="O1113">
        <f>29.947</f>
        <v>29.946999999999999</v>
      </c>
    </row>
    <row r="1114" spans="1:15" x14ac:dyDescent="0.25">
      <c r="A1114" t="str">
        <f>"                Sempra Energy"</f>
        <v xml:space="preserve">                Sempra Energy</v>
      </c>
      <c r="B1114" t="str">
        <f>"SRE US Equity"</f>
        <v>SRE US Equity</v>
      </c>
      <c r="C1114" t="str">
        <f t="shared" si="126"/>
        <v>F0946</v>
      </c>
      <c r="D1114" t="str">
        <f t="shared" si="127"/>
        <v>TOTAL_GHG_CO2_EMISSIONS</v>
      </c>
      <c r="E1114" t="str">
        <f t="shared" si="128"/>
        <v>Dynamic</v>
      </c>
      <c r="F1114">
        <f ca="1">IF(AND(ISNUMBER($F$2181),$B$1132=1),$F$2181,HLOOKUP(INDIRECT(ADDRESS(2,COLUMN())),OFFSET($K$2,0,0,ROW()-1,5),ROW()-1,FALSE))</f>
        <v>7.5590000000000002</v>
      </c>
      <c r="G1114">
        <f ca="1">IF(AND(ISNUMBER($G$2181),$B$1132=1),$G$2181,HLOOKUP(INDIRECT(ADDRESS(2,COLUMN())),OFFSET($K$2,0,0,ROW()-1,5),ROW()-1,FALSE))</f>
        <v>7.0774599609999997</v>
      </c>
      <c r="H1114">
        <f ca="1">IF(AND(ISNUMBER($H$2181),$B$1132=1),$H$2181,HLOOKUP(INDIRECT(ADDRESS(2,COLUMN())),OFFSET($K$2,0,0,ROW()-1,5),ROW()-1,FALSE))</f>
        <v>6.8832900390000002</v>
      </c>
      <c r="I1114">
        <f ca="1">IF(AND(ISNUMBER($I$2181),$B$1132=1),$I$2181,HLOOKUP(INDIRECT(ADDRESS(2,COLUMN())),OFFSET($K$2,0,0,ROW()-1,5),ROW()-1,FALSE))</f>
        <v>5.43825</v>
      </c>
      <c r="J1114">
        <f ca="1">IF(AND(ISNUMBER($J$2181),$B$1132=1),$J$2181,HLOOKUP(INDIRECT(ADDRESS(2,COLUMN())),OFFSET($K$2,0,0,ROW()-1,5),ROW()-1,FALSE))</f>
        <v>6.4820000000000002</v>
      </c>
      <c r="K1114">
        <f>7.559</f>
        <v>7.5590000000000002</v>
      </c>
      <c r="L1114">
        <f>7.077459961</f>
        <v>7.0774599609999997</v>
      </c>
      <c r="M1114">
        <f>6.883290039</f>
        <v>6.8832900390000002</v>
      </c>
      <c r="N1114">
        <f>5.43825</f>
        <v>5.43825</v>
      </c>
      <c r="O1114">
        <f>6.482</f>
        <v>6.4820000000000002</v>
      </c>
    </row>
    <row r="1115" spans="1:15" x14ac:dyDescent="0.25">
      <c r="A1115" t="str">
        <f>"                Spire Inc"</f>
        <v xml:space="preserve">                Spire Inc</v>
      </c>
      <c r="B1115" t="str">
        <f>"SR US Equity"</f>
        <v>SR US Equity</v>
      </c>
      <c r="C1115" t="str">
        <f t="shared" si="126"/>
        <v>F0946</v>
      </c>
      <c r="D1115" t="str">
        <f t="shared" si="127"/>
        <v>TOTAL_GHG_CO2_EMISSIONS</v>
      </c>
      <c r="E1115" t="str">
        <f t="shared" si="128"/>
        <v>Dynamic</v>
      </c>
      <c r="F1115">
        <f ca="1">IF(AND(ISNUMBER($F$2182),$B$1132=1),$F$2182,HLOOKUP(INDIRECT(ADDRESS(2,COLUMN())),OFFSET($K$2,0,0,ROW()-1,5),ROW()-1,FALSE))</f>
        <v>0.37070001200000002</v>
      </c>
      <c r="G1115">
        <f ca="1">IF(AND(ISNUMBER($G$2182),$B$1132=1),$G$2182,HLOOKUP(INDIRECT(ADDRESS(2,COLUMN())),OFFSET($K$2,0,0,ROW()-1,5),ROW()-1,FALSE))</f>
        <v>0.38900000000000001</v>
      </c>
      <c r="H1115">
        <f ca="1">IF(AND(ISNUMBER($H$2182),$B$1132=1),$H$2182,HLOOKUP(INDIRECT(ADDRESS(2,COLUMN())),OFFSET($K$2,0,0,ROW()-1,5),ROW()-1,FALSE))</f>
        <v>0.31985000600000002</v>
      </c>
      <c r="I1115">
        <f ca="1">IF(AND(ISNUMBER($I$2182),$B$1132=1),$I$2182,HLOOKUP(INDIRECT(ADDRESS(2,COLUMN())),OFFSET($K$2,0,0,ROW()-1,5),ROW()-1,FALSE))</f>
        <v>0.33917498800000001</v>
      </c>
      <c r="J1115">
        <f ca="1">IF(AND(ISNUMBER($J$2182),$B$1132=1),$J$2182,HLOOKUP(INDIRECT(ADDRESS(2,COLUMN())),OFFSET($K$2,0,0,ROW()-1,5),ROW()-1,FALSE))</f>
        <v>0.36055300899999998</v>
      </c>
      <c r="K1115">
        <f>0.370700012</f>
        <v>0.37070001200000002</v>
      </c>
      <c r="L1115">
        <f>0.389</f>
        <v>0.38900000000000001</v>
      </c>
      <c r="M1115">
        <f>0.319850006</f>
        <v>0.31985000600000002</v>
      </c>
      <c r="N1115">
        <f>0.339174988</f>
        <v>0.33917498800000001</v>
      </c>
      <c r="O1115">
        <f>0.360553009</f>
        <v>0.36055300899999998</v>
      </c>
    </row>
    <row r="1116" spans="1:15" x14ac:dyDescent="0.25">
      <c r="A1116" t="str">
        <f>"                UGI Corp"</f>
        <v xml:space="preserve">                UGI Corp</v>
      </c>
      <c r="B1116" t="str">
        <f>"UGI US Equity"</f>
        <v>UGI US Equity</v>
      </c>
      <c r="C1116" t="str">
        <f t="shared" si="126"/>
        <v>F0946</v>
      </c>
      <c r="D1116" t="str">
        <f t="shared" si="127"/>
        <v>TOTAL_GHG_CO2_EMISSIONS</v>
      </c>
      <c r="E1116" t="str">
        <f t="shared" si="128"/>
        <v>Dynamic</v>
      </c>
      <c r="F1116" t="str">
        <f ca="1">IF(AND(ISNUMBER($F$2183),$B$1132=1),$F$2183,HLOOKUP(INDIRECT(ADDRESS(2,COLUMN())),OFFSET($K$2,0,0,ROW()-1,5),ROW()-1,FALSE))</f>
        <v/>
      </c>
      <c r="G1116">
        <f ca="1">IF(AND(ISNUMBER($G$2183),$B$1132=1),$G$2183,HLOOKUP(INDIRECT(ADDRESS(2,COLUMN())),OFFSET($K$2,0,0,ROW()-1,5),ROW()-1,FALSE))</f>
        <v>0.85158801299999998</v>
      </c>
      <c r="H1116">
        <f ca="1">IF(AND(ISNUMBER($H$2183),$B$1132=1),$H$2183,HLOOKUP(INDIRECT(ADDRESS(2,COLUMN())),OFFSET($K$2,0,0,ROW()-1,5),ROW()-1,FALSE))</f>
        <v>1.270290039</v>
      </c>
      <c r="I1116">
        <f ca="1">IF(AND(ISNUMBER($I$2183),$B$1132=1),$I$2183,HLOOKUP(INDIRECT(ADDRESS(2,COLUMN())),OFFSET($K$2,0,0,ROW()-1,5),ROW()-1,FALSE))</f>
        <v>2.0729099120000001</v>
      </c>
      <c r="J1116">
        <f ca="1">IF(AND(ISNUMBER($J$2183),$B$1132=1),$J$2183,HLOOKUP(INDIRECT(ADDRESS(2,COLUMN())),OFFSET($K$2,0,0,ROW()-1,5),ROW()-1,FALSE))</f>
        <v>0.59548699999999999</v>
      </c>
      <c r="K1116" t="str">
        <f>""</f>
        <v/>
      </c>
      <c r="L1116">
        <f>0.851588013</f>
        <v>0.85158801299999998</v>
      </c>
      <c r="M1116">
        <f>1.270290039</f>
        <v>1.270290039</v>
      </c>
      <c r="N1116">
        <f>2.072909912</f>
        <v>2.0729099120000001</v>
      </c>
      <c r="O1116">
        <f>0.595487</f>
        <v>0.59548699999999999</v>
      </c>
    </row>
    <row r="1117" spans="1:15" x14ac:dyDescent="0.25">
      <c r="K1117" t="str">
        <f>""</f>
        <v/>
      </c>
      <c r="L1117" t="str">
        <f>""</f>
        <v/>
      </c>
      <c r="M1117" t="str">
        <f>""</f>
        <v/>
      </c>
      <c r="N1117" t="str">
        <f>""</f>
        <v/>
      </c>
      <c r="O1117" t="str">
        <f>""</f>
        <v/>
      </c>
    </row>
    <row r="1118" spans="1:15" x14ac:dyDescent="0.25">
      <c r="K1118" t="str">
        <f>""</f>
        <v/>
      </c>
      <c r="L1118" t="str">
        <f>""</f>
        <v/>
      </c>
      <c r="M1118" t="str">
        <f>""</f>
        <v/>
      </c>
      <c r="N1118" t="str">
        <f>""</f>
        <v/>
      </c>
      <c r="O1118" t="str">
        <f>""</f>
        <v/>
      </c>
    </row>
    <row r="1119" spans="1:15" x14ac:dyDescent="0.25">
      <c r="K1119" t="str">
        <f>""</f>
        <v/>
      </c>
      <c r="L1119" t="str">
        <f>""</f>
        <v/>
      </c>
      <c r="M1119" t="str">
        <f>""</f>
        <v/>
      </c>
      <c r="N1119" t="str">
        <f>""</f>
        <v/>
      </c>
      <c r="O1119" t="str">
        <f>""</f>
        <v/>
      </c>
    </row>
    <row r="1120" spans="1:15" x14ac:dyDescent="0.25">
      <c r="K1120" t="str">
        <f>""</f>
        <v/>
      </c>
      <c r="L1120" t="str">
        <f>""</f>
        <v/>
      </c>
      <c r="M1120" t="str">
        <f>""</f>
        <v/>
      </c>
      <c r="N1120" t="str">
        <f>""</f>
        <v/>
      </c>
      <c r="O1120" t="str">
        <f>""</f>
        <v/>
      </c>
    </row>
    <row r="1121" spans="1:15" x14ac:dyDescent="0.25">
      <c r="K1121" t="str">
        <f>""</f>
        <v/>
      </c>
      <c r="L1121" t="str">
        <f>""</f>
        <v/>
      </c>
      <c r="M1121" t="str">
        <f>""</f>
        <v/>
      </c>
      <c r="N1121" t="str">
        <f>""</f>
        <v/>
      </c>
      <c r="O1121" t="str">
        <f>""</f>
        <v/>
      </c>
    </row>
    <row r="1122" spans="1:15" x14ac:dyDescent="0.25">
      <c r="K1122" t="str">
        <f>""</f>
        <v/>
      </c>
      <c r="L1122" t="str">
        <f>""</f>
        <v/>
      </c>
      <c r="M1122" t="str">
        <f>""</f>
        <v/>
      </c>
      <c r="N1122" t="str">
        <f>""</f>
        <v/>
      </c>
      <c r="O1122" t="str">
        <f>""</f>
        <v/>
      </c>
    </row>
    <row r="1123" spans="1:15" x14ac:dyDescent="0.25">
      <c r="K1123" t="str">
        <f>""</f>
        <v/>
      </c>
      <c r="L1123" t="str">
        <f>""</f>
        <v/>
      </c>
      <c r="M1123" t="str">
        <f>""</f>
        <v/>
      </c>
      <c r="N1123" t="str">
        <f>""</f>
        <v/>
      </c>
      <c r="O1123" t="str">
        <f>""</f>
        <v/>
      </c>
    </row>
    <row r="1124" spans="1:15" x14ac:dyDescent="0.25">
      <c r="A1124" t="str">
        <f t="shared" ref="A1124:J1124" si="129">"~~~~~~~~~~"</f>
        <v>~~~~~~~~~~</v>
      </c>
      <c r="B1124" t="str">
        <f t="shared" si="129"/>
        <v>~~~~~~~~~~</v>
      </c>
      <c r="C1124" t="str">
        <f t="shared" si="129"/>
        <v>~~~~~~~~~~</v>
      </c>
      <c r="D1124" t="str">
        <f t="shared" si="129"/>
        <v>~~~~~~~~~~</v>
      </c>
      <c r="E1124" t="str">
        <f t="shared" si="129"/>
        <v>~~~~~~~~~~</v>
      </c>
      <c r="F1124" t="str">
        <f t="shared" si="129"/>
        <v>~~~~~~~~~~</v>
      </c>
      <c r="G1124" t="str">
        <f t="shared" si="129"/>
        <v>~~~~~~~~~~</v>
      </c>
      <c r="H1124" t="str">
        <f t="shared" si="129"/>
        <v>~~~~~~~~~~</v>
      </c>
      <c r="I1124" t="str">
        <f t="shared" si="129"/>
        <v>~~~~~~~~~~</v>
      </c>
      <c r="J1124" t="str">
        <f t="shared" si="129"/>
        <v>~~~~~~~~~~</v>
      </c>
      <c r="K1124" t="str">
        <f>""</f>
        <v/>
      </c>
      <c r="L1124" t="str">
        <f>""</f>
        <v/>
      </c>
      <c r="M1124" t="str">
        <f>""</f>
        <v/>
      </c>
      <c r="N1124" t="str">
        <f>""</f>
        <v/>
      </c>
      <c r="O1124" t="str">
        <f>""</f>
        <v/>
      </c>
    </row>
    <row r="1125" spans="1:15" x14ac:dyDescent="0.25">
      <c r="A1125" t="str">
        <f>"All rows below have been added for reference by formula rows above."</f>
        <v>All rows below have been added for reference by formula rows above.</v>
      </c>
      <c r="K1125" t="str">
        <f>""</f>
        <v/>
      </c>
      <c r="L1125" t="str">
        <f>""</f>
        <v/>
      </c>
      <c r="M1125" t="str">
        <f>""</f>
        <v/>
      </c>
      <c r="N1125" t="str">
        <f>""</f>
        <v/>
      </c>
      <c r="O1125" t="str">
        <f>""</f>
        <v/>
      </c>
    </row>
    <row r="1126" spans="1:15" x14ac:dyDescent="0.25">
      <c r="A1126">
        <f>RTD("bloomberg.ccyreader", "", "#track", "DBG", "BIHITX", "1.0","RepeatHit")</f>
        <v>0</v>
      </c>
      <c r="K1126" t="str">
        <f>""</f>
        <v/>
      </c>
      <c r="L1126" t="str">
        <f>""</f>
        <v/>
      </c>
      <c r="M1126" t="str">
        <f>""</f>
        <v/>
      </c>
      <c r="N1126" t="str">
        <f>""</f>
        <v/>
      </c>
      <c r="O1126" t="str">
        <f>""</f>
        <v/>
      </c>
    </row>
    <row r="1127" spans="1:15" x14ac:dyDescent="0.25">
      <c r="A1127" t="str">
        <f>"Currency"</f>
        <v>Currency</v>
      </c>
      <c r="B1127" t="str">
        <f>"USD"</f>
        <v>USD</v>
      </c>
      <c r="K1127" t="str">
        <f>""</f>
        <v/>
      </c>
      <c r="L1127" t="str">
        <f>""</f>
        <v/>
      </c>
      <c r="M1127" t="str">
        <f>""</f>
        <v/>
      </c>
      <c r="N1127" t="str">
        <f>""</f>
        <v/>
      </c>
      <c r="O1127" t="str">
        <f>""</f>
        <v/>
      </c>
    </row>
    <row r="1128" spans="1:15" x14ac:dyDescent="0.25">
      <c r="A1128" t="str">
        <f>"Periodicity"</f>
        <v>Periodicity</v>
      </c>
      <c r="B1128" t="str">
        <f>"CY"</f>
        <v>CY</v>
      </c>
      <c r="C1128" t="str">
        <f>"AY"</f>
        <v>AY</v>
      </c>
      <c r="K1128" t="str">
        <f>""</f>
        <v/>
      </c>
      <c r="L1128" t="str">
        <f>""</f>
        <v/>
      </c>
      <c r="M1128" t="str">
        <f>""</f>
        <v/>
      </c>
      <c r="N1128" t="str">
        <f>""</f>
        <v/>
      </c>
      <c r="O1128" t="str">
        <f>""</f>
        <v/>
      </c>
    </row>
    <row r="1129" spans="1:15" x14ac:dyDescent="0.25">
      <c r="A1129" t="str">
        <f>"Number of Periods"</f>
        <v>Number of Periods</v>
      </c>
      <c r="B1129">
        <f>5</f>
        <v>5</v>
      </c>
      <c r="K1129" t="str">
        <f>""</f>
        <v/>
      </c>
      <c r="L1129" t="str">
        <f>""</f>
        <v/>
      </c>
      <c r="M1129" t="str">
        <f>""</f>
        <v/>
      </c>
      <c r="N1129" t="str">
        <f>""</f>
        <v/>
      </c>
      <c r="O1129" t="str">
        <f>""</f>
        <v/>
      </c>
    </row>
    <row r="1130" spans="1:15" x14ac:dyDescent="0.25">
      <c r="A1130" t="str">
        <f>"Start Date"</f>
        <v>Start Date</v>
      </c>
      <c r="B1130" t="str">
        <f>CONCATENATE("-",$B$1129,$B$1128)</f>
        <v>-5CY</v>
      </c>
      <c r="C1130" t="str">
        <f>CONCATENATE("-",$B$1129,$C$1128)</f>
        <v>-5AY</v>
      </c>
      <c r="K1130" t="str">
        <f>""</f>
        <v/>
      </c>
      <c r="L1130" t="str">
        <f>""</f>
        <v/>
      </c>
      <c r="M1130" t="str">
        <f>""</f>
        <v/>
      </c>
      <c r="N1130" t="str">
        <f>""</f>
        <v/>
      </c>
      <c r="O1130" t="str">
        <f>""</f>
        <v/>
      </c>
    </row>
    <row r="1131" spans="1:15" x14ac:dyDescent="0.25">
      <c r="A1131" t="str">
        <f>"End Date"</f>
        <v>End Date</v>
      </c>
      <c r="B1131">
        <f ca="1">TODAY()</f>
        <v>45110</v>
      </c>
      <c r="K1131" t="str">
        <f>""</f>
        <v/>
      </c>
      <c r="L1131" t="str">
        <f>""</f>
        <v/>
      </c>
      <c r="M1131" t="str">
        <f>""</f>
        <v/>
      </c>
      <c r="N1131" t="str">
        <f>""</f>
        <v/>
      </c>
      <c r="O1131" t="str">
        <f>""</f>
        <v/>
      </c>
    </row>
    <row r="1132" spans="1:15" x14ac:dyDescent="0.25">
      <c r="A1132" t="str">
        <f>"HeaderStatus(custom data)"</f>
        <v>HeaderStatus(custom data)</v>
      </c>
      <c r="K1132" t="str">
        <f>""</f>
        <v/>
      </c>
      <c r="L1132" t="str">
        <f>""</f>
        <v/>
      </c>
      <c r="M1132" t="str">
        <f>""</f>
        <v/>
      </c>
      <c r="N1132" t="str">
        <f>""</f>
        <v/>
      </c>
      <c r="O1132" t="str">
        <f>""</f>
        <v/>
      </c>
    </row>
    <row r="1133" spans="1:15" x14ac:dyDescent="0.25">
      <c r="K1133" t="str">
        <f>""</f>
        <v/>
      </c>
      <c r="L1133" t="str">
        <f>""</f>
        <v/>
      </c>
      <c r="M1133" t="str">
        <f>""</f>
        <v/>
      </c>
      <c r="N1133" t="str">
        <f>""</f>
        <v/>
      </c>
      <c r="O1133" t="str">
        <f>""</f>
        <v/>
      </c>
    </row>
    <row r="1134" spans="1:15" x14ac:dyDescent="0.25">
      <c r="A1134" t="str">
        <f>$A$7</f>
        <v xml:space="preserve">                AT&amp;T Inc</v>
      </c>
      <c r="B1134" t="str">
        <f>$B$7</f>
        <v>T US Equity</v>
      </c>
      <c r="C1134" t="str">
        <f>$C$7</f>
        <v>F0946</v>
      </c>
      <c r="D1134" t="str">
        <f>$D$7</f>
        <v>TOTAL_GHG_CO2_EMISSIONS</v>
      </c>
      <c r="E1134" t="str">
        <f>$E$7</f>
        <v>Dynamic</v>
      </c>
      <c r="F1134" t="str">
        <f ca="1">_xll.BDH($B$7,$C$7,$B$1130,$B$1131,CONCATENATE("Per=",$B$1128),"Dts=H","Dir=H",CONCATENATE("Points=",$B$1129),"Sort=R","Days=A","Fill=B",CONCATENATE("FX=", $B$1127),"cols=5;rows=1")</f>
        <v/>
      </c>
      <c r="G1134">
        <v>6.2098000000000004</v>
      </c>
      <c r="H1134">
        <v>6.68</v>
      </c>
      <c r="I1134">
        <v>7.0061</v>
      </c>
      <c r="J1134">
        <v>7.6818999999999997</v>
      </c>
      <c r="K1134" t="str">
        <f>""</f>
        <v/>
      </c>
      <c r="L1134" t="str">
        <f>""</f>
        <v/>
      </c>
      <c r="M1134" t="str">
        <f>""</f>
        <v/>
      </c>
      <c r="N1134" t="str">
        <f>""</f>
        <v/>
      </c>
      <c r="O1134" t="str">
        <f>""</f>
        <v/>
      </c>
    </row>
    <row r="1135" spans="1:15" x14ac:dyDescent="0.25">
      <c r="A1135" t="str">
        <f>$A$8</f>
        <v xml:space="preserve">                BCE Inc</v>
      </c>
      <c r="B1135" t="str">
        <f>$B$8</f>
        <v>BCE CN Equity</v>
      </c>
      <c r="C1135" t="str">
        <f>$C$8</f>
        <v>F0946</v>
      </c>
      <c r="D1135" t="str">
        <f>$D$8</f>
        <v>TOTAL_GHG_CO2_EMISSIONS</v>
      </c>
      <c r="E1135" t="str">
        <f>$E$8</f>
        <v>Dynamic</v>
      </c>
      <c r="F1135">
        <f ca="1">_xll.BDH($B$8,$C$8,$B$1130,$B$1131,CONCATENATE("Per=",$B$1128),"Dts=H","Dir=H",CONCATENATE("Points=",$B$1129),"Sort=R","Days=A","Fill=B",CONCATENATE("FX=", $B$1127),"cols=5;rows=1")</f>
        <v>0.25629999999999997</v>
      </c>
      <c r="G1135">
        <v>0.2757</v>
      </c>
      <c r="H1135">
        <v>0.31040000000000001</v>
      </c>
      <c r="I1135">
        <v>0.3453</v>
      </c>
      <c r="J1135">
        <v>0.33639999999999998</v>
      </c>
      <c r="K1135" t="str">
        <f>""</f>
        <v/>
      </c>
      <c r="L1135" t="str">
        <f>""</f>
        <v/>
      </c>
      <c r="M1135" t="str">
        <f>""</f>
        <v/>
      </c>
      <c r="N1135" t="str">
        <f>""</f>
        <v/>
      </c>
      <c r="O1135" t="str">
        <f>""</f>
        <v/>
      </c>
    </row>
    <row r="1136" spans="1:15" x14ac:dyDescent="0.25">
      <c r="A1136" t="str">
        <f>$A$9</f>
        <v xml:space="preserve">                Cogent Communications Holdings</v>
      </c>
      <c r="B1136" t="str">
        <f>$B$9</f>
        <v>CCOI US Equity</v>
      </c>
      <c r="C1136" t="str">
        <f>$C$9</f>
        <v>F0946</v>
      </c>
      <c r="D1136" t="str">
        <f>$D$9</f>
        <v>TOTAL_GHG_CO2_EMISSIONS</v>
      </c>
      <c r="E1136" t="str">
        <f>$E$9</f>
        <v>Dynamic</v>
      </c>
      <c r="F1136" t="str">
        <f ca="1">_xll.BDH($B$9,$C$9,$B$1130,$B$1131,CONCATENATE("Per=",$B$1128),"Dts=H","Dir=H",CONCATENATE("Points=",$B$1129),"Sort=R","Days=A","Fill=B",CONCATENATE("FX=", $B$1127) )</f>
        <v/>
      </c>
      <c r="K1136" t="str">
        <f>""</f>
        <v/>
      </c>
      <c r="L1136" t="str">
        <f>""</f>
        <v/>
      </c>
      <c r="M1136" t="str">
        <f>""</f>
        <v/>
      </c>
      <c r="N1136" t="str">
        <f>""</f>
        <v/>
      </c>
      <c r="O1136" t="str">
        <f>""</f>
        <v/>
      </c>
    </row>
    <row r="1137" spans="1:15" x14ac:dyDescent="0.25">
      <c r="A1137" t="str">
        <f>$A$10</f>
        <v xml:space="preserve">                Consolidated Communications Ho</v>
      </c>
      <c r="B1137" t="str">
        <f>$B$10</f>
        <v>CNSL US Equity</v>
      </c>
      <c r="C1137" t="str">
        <f>$C$10</f>
        <v>F0946</v>
      </c>
      <c r="D1137" t="str">
        <f>$D$10</f>
        <v>TOTAL_GHG_CO2_EMISSIONS</v>
      </c>
      <c r="E1137" t="str">
        <f>$E$10</f>
        <v>Dynamic</v>
      </c>
      <c r="F1137">
        <f ca="1">_xll.BDH($B$10,$C$10,$B$1130,$B$1131,CONCATENATE("Per=",$B$1128),"Dts=H","Dir=H",CONCATENATE("Points=",$B$1129),"Sort=R","Days=A","Fill=B",CONCATENATE("FX=", $B$1127),"cols=5;rows=1")</f>
        <v>9.7199999999999995E-2</v>
      </c>
      <c r="K1137" t="str">
        <f>""</f>
        <v/>
      </c>
      <c r="L1137" t="str">
        <f>""</f>
        <v/>
      </c>
      <c r="M1137" t="str">
        <f>""</f>
        <v/>
      </c>
      <c r="N1137" t="str">
        <f>""</f>
        <v/>
      </c>
      <c r="O1137" t="str">
        <f>""</f>
        <v/>
      </c>
    </row>
    <row r="1138" spans="1:15" x14ac:dyDescent="0.25">
      <c r="A1138" t="str">
        <f>$A$11</f>
        <v xml:space="preserve">                Frontier Communications Corp</v>
      </c>
      <c r="B1138" t="str">
        <f>$B$11</f>
        <v>FTRCQ US Equity</v>
      </c>
      <c r="C1138" t="str">
        <f>$C$11</f>
        <v>F0946</v>
      </c>
      <c r="D1138" t="str">
        <f>$D$11</f>
        <v>TOTAL_GHG_CO2_EMISSIONS</v>
      </c>
      <c r="E1138" t="str">
        <f>$E$11</f>
        <v>Dynamic</v>
      </c>
      <c r="F1138" t="str">
        <f ca="1">_xll.BDH($B$11,$C$11,$B$1130,$B$1131,CONCATENATE("Per=",$B$1128),"Dts=H","Dir=H",CONCATENATE("Points=",$B$1129),"Sort=R","Days=A","Fill=B",CONCATENATE("FX=", $B$1127) )</f>
        <v/>
      </c>
      <c r="K1138" t="str">
        <f>""</f>
        <v/>
      </c>
      <c r="L1138" t="str">
        <f>""</f>
        <v/>
      </c>
      <c r="M1138" t="str">
        <f>""</f>
        <v/>
      </c>
      <c r="N1138" t="str">
        <f>""</f>
        <v/>
      </c>
      <c r="O1138" t="str">
        <f>""</f>
        <v/>
      </c>
    </row>
    <row r="1139" spans="1:15" x14ac:dyDescent="0.25">
      <c r="A1139" t="str">
        <f>$A$12</f>
        <v xml:space="preserve">                Lumen Technologies Inc</v>
      </c>
      <c r="B1139" t="str">
        <f>$B$12</f>
        <v>LUMN US Equity</v>
      </c>
      <c r="C1139" t="str">
        <f>$C$12</f>
        <v>F0946</v>
      </c>
      <c r="D1139" t="str">
        <f>$D$12</f>
        <v>TOTAL_GHG_CO2_EMISSIONS</v>
      </c>
      <c r="E1139" t="str">
        <f>$E$12</f>
        <v>Dynamic</v>
      </c>
      <c r="F1139" t="str">
        <f ca="1">_xll.BDH($B$12,$C$12,$B$1130,$B$1131,CONCATENATE("Per=",$B$1128),"Dts=H","Dir=H",CONCATENATE("Points=",$B$1129),"Sort=R","Days=A","Fill=B",CONCATENATE("FX=", $B$1127),"cols=5;rows=1")</f>
        <v/>
      </c>
      <c r="G1139">
        <v>1.8188</v>
      </c>
      <c r="H1139">
        <v>2.0842999999999998</v>
      </c>
      <c r="I1139">
        <v>2.2153</v>
      </c>
      <c r="J1139">
        <v>2.2618</v>
      </c>
      <c r="K1139" t="str">
        <f>""</f>
        <v/>
      </c>
      <c r="L1139" t="str">
        <f>""</f>
        <v/>
      </c>
      <c r="M1139" t="str">
        <f>""</f>
        <v/>
      </c>
      <c r="N1139" t="str">
        <f>""</f>
        <v/>
      </c>
      <c r="O1139" t="str">
        <f>""</f>
        <v/>
      </c>
    </row>
    <row r="1140" spans="1:15" x14ac:dyDescent="0.25">
      <c r="A1140" t="str">
        <f>$A$13</f>
        <v xml:space="preserve">                Rogers Communications Inc</v>
      </c>
      <c r="B1140" t="str">
        <f>$B$13</f>
        <v>RCI/B CN Equity</v>
      </c>
      <c r="C1140" t="str">
        <f>$C$13</f>
        <v>F0946</v>
      </c>
      <c r="D1140" t="str">
        <f>$D$13</f>
        <v>TOTAL_GHG_CO2_EMISSIONS</v>
      </c>
      <c r="E1140" t="str">
        <f>$E$13</f>
        <v>Dynamic</v>
      </c>
      <c r="F1140">
        <f ca="1">_xll.BDH($B$13,$C$13,$B$1130,$B$1131,CONCATENATE("Per=",$B$1128),"Dts=H","Dir=H",CONCATENATE("Points=",$B$1129),"Sort=R","Days=A","Fill=B",CONCATENATE("FX=", $B$1127),"cols=5;rows=1")</f>
        <v>0.1313</v>
      </c>
      <c r="G1140">
        <v>0.1338</v>
      </c>
      <c r="H1140">
        <v>0.14810000000000001</v>
      </c>
      <c r="I1140">
        <v>0.15609999999999999</v>
      </c>
      <c r="J1140">
        <v>0.1663</v>
      </c>
      <c r="K1140" t="str">
        <f>""</f>
        <v/>
      </c>
      <c r="L1140" t="str">
        <f>""</f>
        <v/>
      </c>
      <c r="M1140" t="str">
        <f>""</f>
        <v/>
      </c>
      <c r="N1140" t="str">
        <f>""</f>
        <v/>
      </c>
      <c r="O1140" t="str">
        <f>""</f>
        <v/>
      </c>
    </row>
    <row r="1141" spans="1:15" x14ac:dyDescent="0.25">
      <c r="A1141" t="str">
        <f>$A$14</f>
        <v xml:space="preserve">                Spok Holdings Inc</v>
      </c>
      <c r="B1141" t="str">
        <f>$B$14</f>
        <v>SPOK US Equity</v>
      </c>
      <c r="C1141" t="str">
        <f>$C$14</f>
        <v>F0946</v>
      </c>
      <c r="D1141" t="str">
        <f>$D$14</f>
        <v>TOTAL_GHG_CO2_EMISSIONS</v>
      </c>
      <c r="E1141" t="str">
        <f>$E$14</f>
        <v>Dynamic</v>
      </c>
      <c r="F1141" t="str">
        <f ca="1">_xll.BDH($B$14,$C$14,$B$1130,$B$1131,CONCATENATE("Per=",$B$1128),"Dts=H","Dir=H",CONCATENATE("Points=",$B$1129),"Sort=R","Days=A","Fill=B",CONCATENATE("FX=", $B$1127) )</f>
        <v/>
      </c>
      <c r="K1141" t="str">
        <f>""</f>
        <v/>
      </c>
      <c r="L1141" t="str">
        <f>""</f>
        <v/>
      </c>
      <c r="M1141" t="str">
        <f>""</f>
        <v/>
      </c>
      <c r="N1141" t="str">
        <f>""</f>
        <v/>
      </c>
      <c r="O1141" t="str">
        <f>""</f>
        <v/>
      </c>
    </row>
    <row r="1142" spans="1:15" x14ac:dyDescent="0.25">
      <c r="A1142" t="str">
        <f>$A$15</f>
        <v xml:space="preserve">                Shenandoah Telecommunications</v>
      </c>
      <c r="B1142" t="str">
        <f>$B$15</f>
        <v>SHEN US Equity</v>
      </c>
      <c r="C1142" t="str">
        <f>$C$15</f>
        <v>F0946</v>
      </c>
      <c r="D1142" t="str">
        <f>$D$15</f>
        <v>TOTAL_GHG_CO2_EMISSIONS</v>
      </c>
      <c r="E1142" t="str">
        <f>$E$15</f>
        <v>Dynamic</v>
      </c>
      <c r="F1142" t="str">
        <f ca="1">_xll.BDH($B$15,$C$15,$B$1130,$B$1131,CONCATENATE("Per=",$B$1128),"Dts=H","Dir=H",CONCATENATE("Points=",$B$1129),"Sort=R","Days=A","Fill=B",CONCATENATE("FX=", $B$1127) )</f>
        <v/>
      </c>
      <c r="K1142" t="str">
        <f>""</f>
        <v/>
      </c>
      <c r="L1142" t="str">
        <f>""</f>
        <v/>
      </c>
      <c r="M1142" t="str">
        <f>""</f>
        <v/>
      </c>
      <c r="N1142" t="str">
        <f>""</f>
        <v/>
      </c>
      <c r="O1142" t="str">
        <f>""</f>
        <v/>
      </c>
    </row>
    <row r="1143" spans="1:15" x14ac:dyDescent="0.25">
      <c r="A1143" t="str">
        <f>$A$16</f>
        <v xml:space="preserve">                T-Mobile US Inc</v>
      </c>
      <c r="B1143" t="str">
        <f>$B$16</f>
        <v>TMUS US Equity</v>
      </c>
      <c r="C1143" t="str">
        <f>$C$16</f>
        <v>F0946</v>
      </c>
      <c r="D1143" t="str">
        <f>$D$16</f>
        <v>TOTAL_GHG_CO2_EMISSIONS</v>
      </c>
      <c r="E1143" t="str">
        <f>$E$16</f>
        <v>Dynamic</v>
      </c>
      <c r="F1143" t="str">
        <f ca="1">_xll.BDH($B$16,$C$16,$B$1130,$B$1131,CONCATENATE("Per=",$B$1128),"Dts=H","Dir=H",CONCATENATE("Points=",$B$1129),"Sort=R","Days=A","Fill=B",CONCATENATE("FX=", $B$1127),"cols=5;rows=1")</f>
        <v/>
      </c>
      <c r="G1143">
        <v>2.9641000000000002</v>
      </c>
      <c r="H1143">
        <v>2.8090000000000002</v>
      </c>
      <c r="I1143">
        <v>1.4309000000000001</v>
      </c>
      <c r="J1143">
        <v>1.2790999999999999</v>
      </c>
      <c r="K1143" t="str">
        <f>""</f>
        <v/>
      </c>
      <c r="L1143" t="str">
        <f>""</f>
        <v/>
      </c>
      <c r="M1143" t="str">
        <f>""</f>
        <v/>
      </c>
      <c r="N1143" t="str">
        <f>""</f>
        <v/>
      </c>
      <c r="O1143" t="str">
        <f>""</f>
        <v/>
      </c>
    </row>
    <row r="1144" spans="1:15" x14ac:dyDescent="0.25">
      <c r="A1144" t="str">
        <f>$A$17</f>
        <v xml:space="preserve">                TELUS Corp</v>
      </c>
      <c r="B1144" t="str">
        <f>$B$17</f>
        <v>T CN Equity</v>
      </c>
      <c r="C1144" t="str">
        <f>$C$17</f>
        <v>F0946</v>
      </c>
      <c r="D1144" t="str">
        <f>$D$17</f>
        <v>TOTAL_GHG_CO2_EMISSIONS</v>
      </c>
      <c r="E1144" t="str">
        <f>$E$17</f>
        <v>Dynamic</v>
      </c>
      <c r="F1144">
        <f ca="1">_xll.BDH($B$17,$C$17,$B$1130,$B$1131,CONCATENATE("Per=",$B$1128),"Dts=H","Dir=H",CONCATENATE("Points=",$B$1129),"Sort=R","Days=A","Fill=B",CONCATENATE("FX=", $B$1127),"cols=5;rows=1")</f>
        <v>0.22600000000000001</v>
      </c>
      <c r="G1144">
        <v>0.26879999999999998</v>
      </c>
      <c r="H1144">
        <v>0.2676</v>
      </c>
      <c r="I1144">
        <v>0.31790000000000002</v>
      </c>
      <c r="J1144">
        <v>0.32919999999999999</v>
      </c>
      <c r="K1144" t="str">
        <f>""</f>
        <v/>
      </c>
      <c r="L1144" t="str">
        <f>""</f>
        <v/>
      </c>
      <c r="M1144" t="str">
        <f>""</f>
        <v/>
      </c>
      <c r="N1144" t="str">
        <f>""</f>
        <v/>
      </c>
      <c r="O1144" t="str">
        <f>""</f>
        <v/>
      </c>
    </row>
    <row r="1145" spans="1:15" x14ac:dyDescent="0.25">
      <c r="A1145" t="str">
        <f>$A$18</f>
        <v xml:space="preserve">                Telephone and Data Systems Inc</v>
      </c>
      <c r="B1145" t="str">
        <f>$B$18</f>
        <v>TDS US Equity</v>
      </c>
      <c r="C1145" t="str">
        <f>$C$18</f>
        <v>F0946</v>
      </c>
      <c r="D1145" t="str">
        <f>$D$18</f>
        <v>TOTAL_GHG_CO2_EMISSIONS</v>
      </c>
      <c r="E1145" t="str">
        <f>$E$18</f>
        <v>Dynamic</v>
      </c>
      <c r="F1145" t="str">
        <f ca="1">_xll.BDH($B$18,$C$18,$B$1130,$B$1131,CONCATENATE("Per=",$B$1128),"Dts=H","Dir=H",CONCATENATE("Points=",$B$1129),"Sort=R","Days=A","Fill=B",CONCATENATE("FX=", $B$1127) )</f>
        <v/>
      </c>
      <c r="K1145" t="str">
        <f>""</f>
        <v/>
      </c>
      <c r="L1145" t="str">
        <f>""</f>
        <v/>
      </c>
      <c r="M1145" t="str">
        <f>""</f>
        <v/>
      </c>
      <c r="N1145" t="str">
        <f>""</f>
        <v/>
      </c>
      <c r="O1145" t="str">
        <f>""</f>
        <v/>
      </c>
    </row>
    <row r="1146" spans="1:15" x14ac:dyDescent="0.25">
      <c r="A1146" t="str">
        <f>$A$19</f>
        <v xml:space="preserve">                United States Cellular Corp</v>
      </c>
      <c r="B1146" t="str">
        <f>$B$19</f>
        <v>USM US Equity</v>
      </c>
      <c r="C1146" t="str">
        <f>$C$19</f>
        <v>F0946</v>
      </c>
      <c r="D1146" t="str">
        <f>$D$19</f>
        <v>TOTAL_GHG_CO2_EMISSIONS</v>
      </c>
      <c r="E1146" t="str">
        <f>$E$19</f>
        <v>Dynamic</v>
      </c>
      <c r="F1146" t="str">
        <f ca="1">_xll.BDH($B$19,$C$19,$B$1130,$B$1131,CONCATENATE("Per=",$B$1128),"Dts=H","Dir=H",CONCATENATE("Points=",$B$1129),"Sort=R","Days=A","Fill=B",CONCATENATE("FX=", $B$1127) )</f>
        <v/>
      </c>
      <c r="K1146" t="str">
        <f>""</f>
        <v/>
      </c>
      <c r="L1146" t="str">
        <f>""</f>
        <v/>
      </c>
      <c r="M1146" t="str">
        <f>""</f>
        <v/>
      </c>
      <c r="N1146" t="str">
        <f>""</f>
        <v/>
      </c>
      <c r="O1146" t="str">
        <f>""</f>
        <v/>
      </c>
    </row>
    <row r="1147" spans="1:15" x14ac:dyDescent="0.25">
      <c r="A1147" t="str">
        <f>$A$20</f>
        <v xml:space="preserve">                Verizon Communications Inc</v>
      </c>
      <c r="B1147" t="str">
        <f>$B$20</f>
        <v>VZ US Equity</v>
      </c>
      <c r="C1147" t="str">
        <f>$C$20</f>
        <v>F0946</v>
      </c>
      <c r="D1147" t="str">
        <f>$D$20</f>
        <v>TOTAL_GHG_CO2_EMISSIONS</v>
      </c>
      <c r="E1147" t="str">
        <f>$E$20</f>
        <v>Dynamic</v>
      </c>
      <c r="F1147" t="str">
        <f ca="1">_xll.BDH($B$20,$C$20,$B$1130,$B$1131,CONCATENATE("Per=",$B$1128),"Dts=H","Dir=H",CONCATENATE("Points=",$B$1129),"Sort=R","Days=A","Fill=B",CONCATENATE("FX=", $B$1127),"cols=5;rows=1")</f>
        <v/>
      </c>
      <c r="G1147">
        <v>3.8643000000000001</v>
      </c>
      <c r="H1147">
        <v>4.0904999999999996</v>
      </c>
      <c r="I1147">
        <v>4.3655999999999997</v>
      </c>
      <c r="J1147">
        <v>4.4188000000000001</v>
      </c>
      <c r="K1147" t="str">
        <f>""</f>
        <v/>
      </c>
      <c r="L1147" t="str">
        <f>""</f>
        <v/>
      </c>
      <c r="M1147" t="str">
        <f>""</f>
        <v/>
      </c>
      <c r="N1147" t="str">
        <f>""</f>
        <v/>
      </c>
      <c r="O1147" t="str">
        <f>""</f>
        <v/>
      </c>
    </row>
    <row r="1148" spans="1:15" x14ac:dyDescent="0.25">
      <c r="A1148" t="str">
        <f>$A$24</f>
        <v xml:space="preserve">                    Aston Martin Lagonda Global Ho</v>
      </c>
      <c r="B1148" t="str">
        <f>$B$24</f>
        <v>AML LN Equity</v>
      </c>
      <c r="C1148" t="str">
        <f>$C$24</f>
        <v>F0946</v>
      </c>
      <c r="D1148" t="str">
        <f>$D$24</f>
        <v>TOTAL_GHG_CO2_EMISSIONS</v>
      </c>
      <c r="E1148" t="str">
        <f>$E$24</f>
        <v>Dynamic</v>
      </c>
      <c r="F1148">
        <f ca="1">_xll.BDH($B$24,$C$24,$B$1130,$B$1131,CONCATENATE("Per=",$B$1128),"Dts=H","Dir=H",CONCATENATE("Points=",$B$1129),"Sort=R","Days=A","Fill=B",CONCATENATE("FX=", $B$1127),"cols=5;rows=1")</f>
        <v>1.52E-2</v>
      </c>
      <c r="G1148">
        <v>1.61E-2</v>
      </c>
      <c r="H1148">
        <v>1.67E-2</v>
      </c>
      <c r="I1148">
        <v>1.77E-2</v>
      </c>
      <c r="J1148">
        <v>1.6899999999999998E-2</v>
      </c>
      <c r="K1148" t="str">
        <f>""</f>
        <v/>
      </c>
      <c r="L1148" t="str">
        <f>""</f>
        <v/>
      </c>
      <c r="M1148" t="str">
        <f>""</f>
        <v/>
      </c>
      <c r="N1148" t="str">
        <f>""</f>
        <v/>
      </c>
      <c r="O1148" t="str">
        <f>""</f>
        <v/>
      </c>
    </row>
    <row r="1149" spans="1:15" x14ac:dyDescent="0.25">
      <c r="A1149" t="str">
        <f>$A$25</f>
        <v xml:space="preserve">                    BAIC Motor Corp Ltd</v>
      </c>
      <c r="B1149" t="str">
        <f>$B$25</f>
        <v>1958 HK Equity</v>
      </c>
      <c r="C1149" t="str">
        <f>$C$25</f>
        <v>F0946</v>
      </c>
      <c r="D1149" t="str">
        <f>$D$25</f>
        <v>TOTAL_GHG_CO2_EMISSIONS</v>
      </c>
      <c r="E1149" t="str">
        <f>$E$25</f>
        <v>Dynamic</v>
      </c>
      <c r="F1149">
        <f ca="1">_xll.BDH($B$25,$C$25,$B$1130,$B$1131,CONCATENATE("Per=",$B$1128),"Dts=H","Dir=H",CONCATENATE("Points=",$B$1129),"Sort=R","Days=A","Fill=B",CONCATENATE("FX=", $B$1127),"cols=5;rows=1")</f>
        <v>0.78049999999999997</v>
      </c>
      <c r="G1149">
        <v>0.78059999999999996</v>
      </c>
      <c r="H1149">
        <v>0.90800000000000003</v>
      </c>
      <c r="I1149">
        <v>1.0217000000000001</v>
      </c>
      <c r="J1149">
        <v>1.1752</v>
      </c>
      <c r="K1149" t="str">
        <f>""</f>
        <v/>
      </c>
      <c r="L1149" t="str">
        <f>""</f>
        <v/>
      </c>
      <c r="M1149" t="str">
        <f>""</f>
        <v/>
      </c>
      <c r="N1149" t="str">
        <f>""</f>
        <v/>
      </c>
      <c r="O1149" t="str">
        <f>""</f>
        <v/>
      </c>
    </row>
    <row r="1150" spans="1:15" x14ac:dyDescent="0.25">
      <c r="A1150" t="str">
        <f>$A$26</f>
        <v xml:space="preserve">                    Bayerische Motoren Werke AG</v>
      </c>
      <c r="B1150" t="str">
        <f>$B$26</f>
        <v>BMW GR Equity</v>
      </c>
      <c r="C1150" t="str">
        <f>$C$26</f>
        <v>F0946</v>
      </c>
      <c r="D1150" t="str">
        <f>$D$26</f>
        <v>TOTAL_GHG_CO2_EMISSIONS</v>
      </c>
      <c r="E1150" t="str">
        <f>$E$26</f>
        <v>Dynamic</v>
      </c>
      <c r="F1150" t="str">
        <f ca="1">_xll.BDH($B$26,$C$26,$B$1130,$B$1131,CONCATENATE("Per=",$B$1128),"Dts=H","Dir=H",CONCATENATE("Points=",$B$1129),"Sort=R","Days=A","Fill=B",CONCATENATE("FX=", $B$1127),"cols=5;rows=1")</f>
        <v/>
      </c>
      <c r="G1150">
        <v>2.1040999999999999</v>
      </c>
      <c r="H1150">
        <v>1.8935</v>
      </c>
      <c r="I1150">
        <v>2.0623999999999998</v>
      </c>
      <c r="J1150">
        <v>2.1211000000000002</v>
      </c>
      <c r="K1150" t="str">
        <f>""</f>
        <v/>
      </c>
      <c r="L1150" t="str">
        <f>""</f>
        <v/>
      </c>
      <c r="M1150" t="str">
        <f>""</f>
        <v/>
      </c>
      <c r="N1150" t="str">
        <f>""</f>
        <v/>
      </c>
      <c r="O1150" t="str">
        <f>""</f>
        <v/>
      </c>
    </row>
    <row r="1151" spans="1:15" x14ac:dyDescent="0.25">
      <c r="A1151" t="str">
        <f>$A$27</f>
        <v xml:space="preserve">                    Brilliance China Automotive Ho</v>
      </c>
      <c r="B1151" t="str">
        <f>$B$27</f>
        <v>1114 HK Equity</v>
      </c>
      <c r="C1151" t="str">
        <f>$C$27</f>
        <v>F0946</v>
      </c>
      <c r="D1151" t="str">
        <f>$D$27</f>
        <v>TOTAL_GHG_CO2_EMISSIONS</v>
      </c>
      <c r="E1151" t="str">
        <f>$E$27</f>
        <v>Dynamic</v>
      </c>
      <c r="F1151">
        <f ca="1">_xll.BDH($B$27,$C$27,$B$1130,$B$1131,CONCATENATE("Per=",$B$1128),"Dts=H","Dir=H",CONCATENATE("Points=",$B$1129),"Sort=R","Days=A","Fill=B",CONCATENATE("FX=", $B$1127),"cols=5;rows=1")</f>
        <v>2.0199999999999999E-2</v>
      </c>
      <c r="K1151" t="str">
        <f>""</f>
        <v/>
      </c>
      <c r="L1151" t="str">
        <f>""</f>
        <v/>
      </c>
      <c r="M1151" t="str">
        <f>""</f>
        <v/>
      </c>
      <c r="N1151" t="str">
        <f>""</f>
        <v/>
      </c>
      <c r="O1151" t="str">
        <f>""</f>
        <v/>
      </c>
    </row>
    <row r="1152" spans="1:15" x14ac:dyDescent="0.25">
      <c r="A1152" t="str">
        <f>$A$28</f>
        <v xml:space="preserve">                    BYD Co Ltd</v>
      </c>
      <c r="B1152" t="str">
        <f>$B$28</f>
        <v>1211 HK Equity</v>
      </c>
      <c r="C1152" t="str">
        <f>$C$28</f>
        <v>F0946</v>
      </c>
      <c r="D1152" t="str">
        <f>$D$28</f>
        <v>TOTAL_GHG_CO2_EMISSIONS</v>
      </c>
      <c r="E1152" t="str">
        <f>$E$28</f>
        <v>Dynamic</v>
      </c>
      <c r="F1152">
        <f ca="1">_xll.BDH($B$28,$C$28,$B$1130,$B$1131,CONCATENATE("Per=",$B$1128),"Dts=H","Dir=H",CONCATENATE("Points=",$B$1129),"Sort=R","Days=A","Fill=B",CONCATENATE("FX=", $B$1127),"cols=5;rows=1")</f>
        <v>8.0619999999999994</v>
      </c>
      <c r="G1152">
        <v>5.2191000000000001</v>
      </c>
      <c r="H1152">
        <v>4.1452</v>
      </c>
      <c r="I1152">
        <v>4.0038</v>
      </c>
      <c r="J1152">
        <v>2.8649</v>
      </c>
      <c r="K1152" t="str">
        <f>""</f>
        <v/>
      </c>
      <c r="L1152" t="str">
        <f>""</f>
        <v/>
      </c>
      <c r="M1152" t="str">
        <f>""</f>
        <v/>
      </c>
      <c r="N1152" t="str">
        <f>""</f>
        <v/>
      </c>
      <c r="O1152" t="str">
        <f>""</f>
        <v/>
      </c>
    </row>
    <row r="1153" spans="1:15" x14ac:dyDescent="0.25">
      <c r="A1153" t="str">
        <f>$A$29</f>
        <v xml:space="preserve">                    Chongqing Changan Automobile C</v>
      </c>
      <c r="B1153" t="str">
        <f>$B$29</f>
        <v>200625 CH Equity</v>
      </c>
      <c r="C1153" t="str">
        <f>$C$29</f>
        <v>F0946</v>
      </c>
      <c r="D1153" t="str">
        <f>$D$29</f>
        <v>TOTAL_GHG_CO2_EMISSIONS</v>
      </c>
      <c r="E1153" t="str">
        <f>$E$29</f>
        <v>Dynamic</v>
      </c>
      <c r="F1153" t="str">
        <f ca="1">_xll.BDH($B$29,$C$29,$B$1130,$B$1131,CONCATENATE("Per=",$B$1128),"Dts=H","Dir=H",CONCATENATE("Points=",$B$1129),"Sort=R","Days=A","Fill=B",CONCATENATE("FX=", $B$1127) )</f>
        <v/>
      </c>
      <c r="K1153" t="str">
        <f>""</f>
        <v/>
      </c>
      <c r="L1153" t="str">
        <f>""</f>
        <v/>
      </c>
      <c r="M1153" t="str">
        <f>""</f>
        <v/>
      </c>
      <c r="N1153" t="str">
        <f>""</f>
        <v/>
      </c>
      <c r="O1153" t="str">
        <f>""</f>
        <v/>
      </c>
    </row>
    <row r="1154" spans="1:15" x14ac:dyDescent="0.25">
      <c r="A1154" t="str">
        <f>$A$30</f>
        <v xml:space="preserve">                    Dongfeng Motor Group Co Ltd</v>
      </c>
      <c r="B1154" t="str">
        <f>$B$30</f>
        <v>489 HK Equity</v>
      </c>
      <c r="C1154" t="str">
        <f>$C$30</f>
        <v>F0946</v>
      </c>
      <c r="D1154" t="str">
        <f>$D$30</f>
        <v>TOTAL_GHG_CO2_EMISSIONS</v>
      </c>
      <c r="E1154" t="str">
        <f>$E$30</f>
        <v>Dynamic</v>
      </c>
      <c r="F1154">
        <f ca="1">_xll.BDH($B$30,$C$30,$B$1130,$B$1131,CONCATENATE("Per=",$B$1128),"Dts=H","Dir=H",CONCATENATE("Points=",$B$1129),"Sort=R","Days=A","Fill=B",CONCATENATE("FX=", $B$1127),"cols=5;rows=1")</f>
        <v>1.6876</v>
      </c>
      <c r="G1154">
        <v>2.0665</v>
      </c>
      <c r="H1154">
        <v>2.1612</v>
      </c>
      <c r="I1154">
        <v>2.2201</v>
      </c>
      <c r="J1154">
        <v>2.2227999999999999</v>
      </c>
      <c r="K1154" t="str">
        <f>""</f>
        <v/>
      </c>
      <c r="L1154" t="str">
        <f>""</f>
        <v/>
      </c>
      <c r="M1154" t="str">
        <f>""</f>
        <v/>
      </c>
      <c r="N1154" t="str">
        <f>""</f>
        <v/>
      </c>
      <c r="O1154" t="str">
        <f>""</f>
        <v/>
      </c>
    </row>
    <row r="1155" spans="1:15" x14ac:dyDescent="0.25">
      <c r="A1155" t="str">
        <f>$A$31</f>
        <v xml:space="preserve">                    Dr Ing hc F Porsche AG</v>
      </c>
      <c r="B1155" t="str">
        <f>$B$31</f>
        <v>P911 GR Equity</v>
      </c>
      <c r="C1155" t="str">
        <f>$C$31</f>
        <v>F0946</v>
      </c>
      <c r="D1155" t="str">
        <f>$D$31</f>
        <v>TOTAL_GHG_CO2_EMISSIONS</v>
      </c>
      <c r="E1155" t="str">
        <f>$E$31</f>
        <v>Dynamic</v>
      </c>
      <c r="F1155">
        <f ca="1">_xll.BDH($B$31,$C$31,$B$1130,$B$1131,CONCATENATE("Per=",$B$1128),"Dts=H","Dir=H",CONCATENATE("Points=",$B$1129),"Sort=R","Days=A","Fill=B",CONCATENATE("FX=", $B$1127),"cols=5;rows=1")</f>
        <v>9.2299999999999993E-2</v>
      </c>
      <c r="G1155">
        <v>9.1000000000000004E-3</v>
      </c>
      <c r="K1155" t="str">
        <f>""</f>
        <v/>
      </c>
      <c r="L1155" t="str">
        <f>""</f>
        <v/>
      </c>
      <c r="M1155" t="str">
        <f>""</f>
        <v/>
      </c>
      <c r="N1155" t="str">
        <f>""</f>
        <v/>
      </c>
      <c r="O1155" t="str">
        <f>""</f>
        <v/>
      </c>
    </row>
    <row r="1156" spans="1:15" x14ac:dyDescent="0.25">
      <c r="A1156" t="str">
        <f>$A$32</f>
        <v xml:space="preserve">                    Ferrari NV</v>
      </c>
      <c r="B1156" t="str">
        <f>$B$32</f>
        <v>RACE IM Equity</v>
      </c>
      <c r="C1156" t="str">
        <f>$C$32</f>
        <v>F0946</v>
      </c>
      <c r="D1156" t="str">
        <f>$D$32</f>
        <v>TOTAL_GHG_CO2_EMISSIONS</v>
      </c>
      <c r="E1156" t="str">
        <f>$E$32</f>
        <v>Dynamic</v>
      </c>
      <c r="F1156">
        <f ca="1">_xll.BDH($B$32,$C$32,$B$1130,$B$1131,CONCATENATE("Per=",$B$1128),"Dts=H","Dir=H",CONCATENATE("Points=",$B$1129),"Sort=R","Days=A","Fill=B",CONCATENATE("FX=", $B$1127),"cols=5;rows=1")</f>
        <v>9.6000000000000002E-2</v>
      </c>
      <c r="G1156">
        <v>0.1079</v>
      </c>
      <c r="H1156">
        <v>9.8299999999999998E-2</v>
      </c>
      <c r="I1156">
        <v>0.10539999999999999</v>
      </c>
      <c r="J1156">
        <v>0.1002</v>
      </c>
      <c r="K1156" t="str">
        <f>""</f>
        <v/>
      </c>
      <c r="L1156" t="str">
        <f>""</f>
        <v/>
      </c>
      <c r="M1156" t="str">
        <f>""</f>
        <v/>
      </c>
      <c r="N1156" t="str">
        <f>""</f>
        <v/>
      </c>
      <c r="O1156" t="str">
        <f>""</f>
        <v/>
      </c>
    </row>
    <row r="1157" spans="1:15" x14ac:dyDescent="0.25">
      <c r="A1157" t="str">
        <f>$A$33</f>
        <v xml:space="preserve">                    Ford Motor Co</v>
      </c>
      <c r="B1157" t="str">
        <f>$B$33</f>
        <v>F US Equity</v>
      </c>
      <c r="C1157" t="str">
        <f>$C$33</f>
        <v>F0946</v>
      </c>
      <c r="D1157" t="str">
        <f>$D$33</f>
        <v>TOTAL_GHG_CO2_EMISSIONS</v>
      </c>
      <c r="E1157" t="str">
        <f>$E$33</f>
        <v>Dynamic</v>
      </c>
      <c r="F1157">
        <f ca="1">_xll.BDH($B$33,$C$33,$B$1130,$B$1131,CONCATENATE("Per=",$B$1128),"Dts=H","Dir=H",CONCATENATE("Points=",$B$1129),"Sort=R","Days=A","Fill=B",CONCATENATE("FX=", $B$1127),"cols=5;rows=1")</f>
        <v>3</v>
      </c>
      <c r="G1157">
        <v>3.6859000000000002</v>
      </c>
      <c r="H1157">
        <v>3.8401000000000001</v>
      </c>
      <c r="I1157">
        <v>4.6475999999999997</v>
      </c>
      <c r="J1157">
        <v>4.7927999999999997</v>
      </c>
      <c r="K1157" t="str">
        <f>""</f>
        <v/>
      </c>
      <c r="L1157" t="str">
        <f>""</f>
        <v/>
      </c>
      <c r="M1157" t="str">
        <f>""</f>
        <v/>
      </c>
      <c r="N1157" t="str">
        <f>""</f>
        <v/>
      </c>
      <c r="O1157" t="str">
        <f>""</f>
        <v/>
      </c>
    </row>
    <row r="1158" spans="1:15" x14ac:dyDescent="0.25">
      <c r="A1158" t="str">
        <f>$A$34</f>
        <v xml:space="preserve">                    FAW Jiefang Group Co Ltd</v>
      </c>
      <c r="B1158" t="str">
        <f>$B$34</f>
        <v>000800 CH Equity</v>
      </c>
      <c r="C1158" t="str">
        <f>$C$34</f>
        <v>F0946</v>
      </c>
      <c r="D1158" t="str">
        <f>$D$34</f>
        <v>TOTAL_GHG_CO2_EMISSIONS</v>
      </c>
      <c r="E1158" t="str">
        <f>$E$34</f>
        <v>Dynamic</v>
      </c>
      <c r="F1158" t="str">
        <f ca="1">_xll.BDH($B$34,$C$34,$B$1130,$B$1131,CONCATENATE("Per=",$B$1128),"Dts=H","Dir=H",CONCATENATE("Points=",$B$1129),"Sort=R","Days=A","Fill=B",CONCATENATE("FX=", $B$1127) )</f>
        <v/>
      </c>
      <c r="K1158" t="str">
        <f>""</f>
        <v/>
      </c>
      <c r="L1158" t="str">
        <f>""</f>
        <v/>
      </c>
      <c r="M1158" t="str">
        <f>""</f>
        <v/>
      </c>
      <c r="N1158" t="str">
        <f>""</f>
        <v/>
      </c>
      <c r="O1158" t="str">
        <f>""</f>
        <v/>
      </c>
    </row>
    <row r="1159" spans="1:15" x14ac:dyDescent="0.25">
      <c r="A1159" t="str">
        <f>$A$35</f>
        <v xml:space="preserve">                    Geely Automobile Holdings Ltd</v>
      </c>
      <c r="B1159" t="str">
        <f>$B$35</f>
        <v>175 HK Equity</v>
      </c>
      <c r="C1159" t="str">
        <f>$C$35</f>
        <v>F0946</v>
      </c>
      <c r="D1159" t="str">
        <f>$D$35</f>
        <v>TOTAL_GHG_CO2_EMISSIONS</v>
      </c>
      <c r="E1159" t="str">
        <f>$E$35</f>
        <v>Dynamic</v>
      </c>
      <c r="F1159">
        <f ca="1">_xll.BDH($B$35,$C$35,$B$1130,$B$1131,CONCATENATE("Per=",$B$1128),"Dts=H","Dir=H",CONCATENATE("Points=",$B$1129),"Sort=R","Days=A","Fill=B",CONCATENATE("FX=", $B$1127),"cols=5;rows=1")</f>
        <v>0.60109999999999997</v>
      </c>
      <c r="G1159">
        <v>0.69330000000000003</v>
      </c>
      <c r="H1159">
        <v>0.66449999999999998</v>
      </c>
      <c r="I1159">
        <v>0.55930000000000002</v>
      </c>
      <c r="J1159">
        <v>0.5645</v>
      </c>
      <c r="K1159" t="str">
        <f>""</f>
        <v/>
      </c>
      <c r="L1159" t="str">
        <f>""</f>
        <v/>
      </c>
      <c r="M1159" t="str">
        <f>""</f>
        <v/>
      </c>
      <c r="N1159" t="str">
        <f>""</f>
        <v/>
      </c>
      <c r="O1159" t="str">
        <f>""</f>
        <v/>
      </c>
    </row>
    <row r="1160" spans="1:15" x14ac:dyDescent="0.25">
      <c r="A1160" t="str">
        <f>$A$36</f>
        <v xml:space="preserve">                    General Motors Co</v>
      </c>
      <c r="B1160" t="str">
        <f>$B$36</f>
        <v>GM US Equity</v>
      </c>
      <c r="C1160" t="str">
        <f>$C$36</f>
        <v>F0946</v>
      </c>
      <c r="D1160" t="str">
        <f>$D$36</f>
        <v>TOTAL_GHG_CO2_EMISSIONS</v>
      </c>
      <c r="E1160" t="str">
        <f>$E$36</f>
        <v>Dynamic</v>
      </c>
      <c r="F1160">
        <f ca="1">_xll.BDH($B$36,$C$36,$B$1130,$B$1131,CONCATENATE("Per=",$B$1128),"Dts=H","Dir=H",CONCATENATE("Points=",$B$1129),"Sort=R","Days=A","Fill=B",CONCATENATE("FX=", $B$1127),"cols=5;rows=1")</f>
        <v>4.4625000000000004</v>
      </c>
      <c r="G1160">
        <v>4.1346999999999996</v>
      </c>
      <c r="H1160">
        <v>4.3018999999999998</v>
      </c>
      <c r="I1160">
        <v>5.9717000000000002</v>
      </c>
      <c r="J1160">
        <v>6.0862999999999996</v>
      </c>
      <c r="K1160" t="str">
        <f>""</f>
        <v/>
      </c>
      <c r="L1160" t="str">
        <f>""</f>
        <v/>
      </c>
      <c r="M1160" t="str">
        <f>""</f>
        <v/>
      </c>
      <c r="N1160" t="str">
        <f>""</f>
        <v/>
      </c>
      <c r="O1160" t="str">
        <f>""</f>
        <v/>
      </c>
    </row>
    <row r="1161" spans="1:15" x14ac:dyDescent="0.25">
      <c r="A1161" t="str">
        <f>$A$37</f>
        <v xml:space="preserve">                    Great Wall Motor Co Ltd</v>
      </c>
      <c r="B1161" t="str">
        <f>$B$37</f>
        <v>2333 HK Equity</v>
      </c>
      <c r="C1161" t="str">
        <f>$C$37</f>
        <v>F0946</v>
      </c>
      <c r="D1161" t="str">
        <f>$D$37</f>
        <v>TOTAL_GHG_CO2_EMISSIONS</v>
      </c>
      <c r="E1161" t="str">
        <f>$E$37</f>
        <v>Dynamic</v>
      </c>
      <c r="F1161">
        <f ca="1">_xll.BDH($B$37,$C$37,$B$1130,$B$1131,CONCATENATE("Per=",$B$1128),"Dts=H","Dir=H",CONCATENATE("Points=",$B$1129),"Sort=R","Days=A","Fill=B",CONCATENATE("FX=", $B$1127),"cols=5;rows=1")</f>
        <v>1.0584</v>
      </c>
      <c r="G1161">
        <v>1.2791999999999999</v>
      </c>
      <c r="H1161">
        <v>1.2706999999999999</v>
      </c>
      <c r="I1161">
        <v>1.2910999999999999</v>
      </c>
      <c r="J1161">
        <v>1.3537999999999999</v>
      </c>
      <c r="K1161" t="str">
        <f>""</f>
        <v/>
      </c>
      <c r="L1161" t="str">
        <f>""</f>
        <v/>
      </c>
      <c r="M1161" t="str">
        <f>""</f>
        <v/>
      </c>
      <c r="N1161" t="str">
        <f>""</f>
        <v/>
      </c>
      <c r="O1161" t="str">
        <f>""</f>
        <v/>
      </c>
    </row>
    <row r="1162" spans="1:15" x14ac:dyDescent="0.25">
      <c r="A1162" t="str">
        <f>$A$38</f>
        <v xml:space="preserve">                    Guangzhou Automobile Group Co</v>
      </c>
      <c r="B1162" t="str">
        <f>$B$38</f>
        <v>2238 HK Equity</v>
      </c>
      <c r="C1162" t="str">
        <f>$C$38</f>
        <v>F0946</v>
      </c>
      <c r="D1162" t="str">
        <f>$D$38</f>
        <v>TOTAL_GHG_CO2_EMISSIONS</v>
      </c>
      <c r="E1162" t="str">
        <f>$E$38</f>
        <v>Dynamic</v>
      </c>
      <c r="F1162">
        <f ca="1">_xll.BDH($B$38,$C$38,$B$1130,$B$1131,CONCATENATE("Per=",$B$1128),"Dts=H","Dir=H",CONCATENATE("Points=",$B$1129),"Sort=R","Days=A","Fill=B",CONCATENATE("FX=", $B$1127),"cols=5;rows=1")</f>
        <v>1.3293999999999999</v>
      </c>
      <c r="G1162">
        <v>1.0196000000000001</v>
      </c>
      <c r="H1162">
        <v>1.5285</v>
      </c>
      <c r="I1162">
        <v>0.75219999999999998</v>
      </c>
      <c r="K1162" t="str">
        <f>""</f>
        <v/>
      </c>
      <c r="L1162" t="str">
        <f>""</f>
        <v/>
      </c>
      <c r="M1162" t="str">
        <f>""</f>
        <v/>
      </c>
      <c r="N1162" t="str">
        <f>""</f>
        <v/>
      </c>
      <c r="O1162" t="str">
        <f>""</f>
        <v/>
      </c>
    </row>
    <row r="1163" spans="1:15" x14ac:dyDescent="0.25">
      <c r="A1163" t="str">
        <f>$A$39</f>
        <v xml:space="preserve">                    Hyundai Motor Co</v>
      </c>
      <c r="B1163" t="str">
        <f>$B$39</f>
        <v>005380 KS Equity</v>
      </c>
      <c r="C1163" t="str">
        <f>$C$39</f>
        <v>F0946</v>
      </c>
      <c r="D1163" t="str">
        <f>$D$39</f>
        <v>TOTAL_GHG_CO2_EMISSIONS</v>
      </c>
      <c r="E1163" t="str">
        <f>$E$39</f>
        <v>Dynamic</v>
      </c>
      <c r="F1163" t="str">
        <f ca="1">_xll.BDH($B$39,$C$39,$B$1130,$B$1131,CONCATENATE("Per=",$B$1128),"Dts=H","Dir=H",CONCATENATE("Points=",$B$1129),"Sort=R","Days=A","Fill=B",CONCATENATE("FX=", $B$1127),"cols=5;rows=1")</f>
        <v/>
      </c>
      <c r="G1163">
        <v>2.3841999999999999</v>
      </c>
      <c r="H1163">
        <v>2.3963000000000001</v>
      </c>
      <c r="I1163">
        <v>2.7090999999999998</v>
      </c>
      <c r="J1163">
        <v>2.7513000000000001</v>
      </c>
      <c r="K1163" t="str">
        <f>""</f>
        <v/>
      </c>
      <c r="L1163" t="str">
        <f>""</f>
        <v/>
      </c>
      <c r="M1163" t="str">
        <f>""</f>
        <v/>
      </c>
      <c r="N1163" t="str">
        <f>""</f>
        <v/>
      </c>
      <c r="O1163" t="str">
        <f>""</f>
        <v/>
      </c>
    </row>
    <row r="1164" spans="1:15" x14ac:dyDescent="0.25">
      <c r="A1164" t="str">
        <f>$A$40</f>
        <v xml:space="preserve">                    Honda Motor Co Ltd</v>
      </c>
      <c r="B1164" t="str">
        <f>$B$40</f>
        <v>7267 JP Equity</v>
      </c>
      <c r="C1164" t="str">
        <f>$C$40</f>
        <v>F0946</v>
      </c>
      <c r="D1164" t="str">
        <f>$D$40</f>
        <v>TOTAL_GHG_CO2_EMISSIONS</v>
      </c>
      <c r="E1164" t="str">
        <f>$E$40</f>
        <v>Dynamic</v>
      </c>
      <c r="F1164" t="str">
        <f ca="1">_xll.BDH($B$40,$C$40,$B$1130,$B$1131,CONCATENATE("Per=",$B$1128),"Dts=H","Dir=H",CONCATENATE("Points=",$B$1129),"Sort=R","Days=A","Fill=B",CONCATENATE("FX=", $B$1127),"cols=5;rows=1")</f>
        <v/>
      </c>
      <c r="G1164">
        <v>4.4054000000000002</v>
      </c>
      <c r="H1164">
        <v>4.17</v>
      </c>
      <c r="K1164" t="str">
        <f>""</f>
        <v/>
      </c>
      <c r="L1164" t="str">
        <f>""</f>
        <v/>
      </c>
      <c r="M1164" t="str">
        <f>""</f>
        <v/>
      </c>
      <c r="N1164" t="str">
        <f>""</f>
        <v/>
      </c>
      <c r="O1164" t="str">
        <f>""</f>
        <v/>
      </c>
    </row>
    <row r="1165" spans="1:15" x14ac:dyDescent="0.25">
      <c r="A1165" t="str">
        <f>$A$41</f>
        <v xml:space="preserve">                    Isuzu Motors Ltd</v>
      </c>
      <c r="B1165" t="str">
        <f>$B$41</f>
        <v>7202 JP Equity</v>
      </c>
      <c r="C1165" t="str">
        <f>$C$41</f>
        <v>F0946</v>
      </c>
      <c r="D1165" t="str">
        <f>$D$41</f>
        <v>TOTAL_GHG_CO2_EMISSIONS</v>
      </c>
      <c r="E1165" t="str">
        <f>$E$41</f>
        <v>Dynamic</v>
      </c>
      <c r="F1165" t="str">
        <f ca="1">_xll.BDH($B$41,$C$41,$B$1130,$B$1131,CONCATENATE("Per=",$B$1128),"Dts=H","Dir=H",CONCATENATE("Points=",$B$1129),"Sort=R","Days=A","Fill=B",CONCATENATE("FX=", $B$1127),"cols=5;rows=1")</f>
        <v/>
      </c>
      <c r="G1165">
        <v>0.28089999999999998</v>
      </c>
      <c r="H1165">
        <v>0.2457</v>
      </c>
      <c r="I1165">
        <v>0.42499999999999999</v>
      </c>
      <c r="J1165">
        <v>0.63500000000000001</v>
      </c>
      <c r="K1165" t="str">
        <f>""</f>
        <v/>
      </c>
      <c r="L1165" t="str">
        <f>""</f>
        <v/>
      </c>
      <c r="M1165" t="str">
        <f>""</f>
        <v/>
      </c>
      <c r="N1165" t="str">
        <f>""</f>
        <v/>
      </c>
      <c r="O1165" t="str">
        <f>""</f>
        <v/>
      </c>
    </row>
    <row r="1166" spans="1:15" x14ac:dyDescent="0.25">
      <c r="A1166" t="str">
        <f>$A$42</f>
        <v xml:space="preserve">                    Kia Corp</v>
      </c>
      <c r="B1166" t="str">
        <f>$B$42</f>
        <v>000270 KS Equity</v>
      </c>
      <c r="C1166" t="str">
        <f>$C$42</f>
        <v>F0946</v>
      </c>
      <c r="D1166" t="str">
        <f>$D$42</f>
        <v>TOTAL_GHG_CO2_EMISSIONS</v>
      </c>
      <c r="E1166" t="str">
        <f>$E$42</f>
        <v>Dynamic</v>
      </c>
      <c r="F1166" t="str">
        <f ca="1">_xll.BDH($B$42,$C$42,$B$1130,$B$1131,CONCATENATE("Per=",$B$1128),"Dts=H","Dir=H",CONCATENATE("Points=",$B$1129),"Sort=R","Days=A","Fill=B",CONCATENATE("FX=", $B$1127),"cols=5;rows=1")</f>
        <v/>
      </c>
      <c r="G1166">
        <v>1.1392</v>
      </c>
      <c r="H1166">
        <v>1.194</v>
      </c>
      <c r="I1166">
        <v>1.2071000000000001</v>
      </c>
      <c r="J1166">
        <v>1.151</v>
      </c>
      <c r="K1166" t="str">
        <f>""</f>
        <v/>
      </c>
      <c r="L1166" t="str">
        <f>""</f>
        <v/>
      </c>
      <c r="M1166" t="str">
        <f>""</f>
        <v/>
      </c>
      <c r="N1166" t="str">
        <f>""</f>
        <v/>
      </c>
      <c r="O1166" t="str">
        <f>""</f>
        <v/>
      </c>
    </row>
    <row r="1167" spans="1:15" x14ac:dyDescent="0.25">
      <c r="A1167" t="str">
        <f>$A$43</f>
        <v xml:space="preserve">                    Li Auto Inc</v>
      </c>
      <c r="B1167" t="str">
        <f>$B$43</f>
        <v>LI US Equity</v>
      </c>
      <c r="C1167" t="str">
        <f>$C$43</f>
        <v>F0946</v>
      </c>
      <c r="D1167" t="str">
        <f>$D$43</f>
        <v>TOTAL_GHG_CO2_EMISSIONS</v>
      </c>
      <c r="E1167" t="str">
        <f>$E$43</f>
        <v>Dynamic</v>
      </c>
      <c r="F1167">
        <f ca="1">_xll.BDH($B$43,$C$43,$B$1130,$B$1131,CONCATENATE("Per=",$B$1128),"Dts=H","Dir=H",CONCATENATE("Points=",$B$1129),"Sort=R","Days=A","Fill=B",CONCATENATE("FX=", $B$1127),"cols=5;rows=1")</f>
        <v>7.5499999999999998E-2</v>
      </c>
      <c r="G1167">
        <v>5.4899999999999997E-2</v>
      </c>
      <c r="K1167" t="str">
        <f>""</f>
        <v/>
      </c>
      <c r="L1167" t="str">
        <f>""</f>
        <v/>
      </c>
      <c r="M1167" t="str">
        <f>""</f>
        <v/>
      </c>
      <c r="N1167" t="str">
        <f>""</f>
        <v/>
      </c>
      <c r="O1167" t="str">
        <f>""</f>
        <v/>
      </c>
    </row>
    <row r="1168" spans="1:15" x14ac:dyDescent="0.25">
      <c r="A1168" t="str">
        <f>$A$44</f>
        <v xml:space="preserve">                    Lucid Group Inc</v>
      </c>
      <c r="B1168" t="str">
        <f>$B$44</f>
        <v>LCID US Equity</v>
      </c>
      <c r="C1168" t="str">
        <f>$C$44</f>
        <v>F0946</v>
      </c>
      <c r="D1168" t="str">
        <f>$D$44</f>
        <v>TOTAL_GHG_CO2_EMISSIONS</v>
      </c>
      <c r="E1168" t="str">
        <f>$E$44</f>
        <v>Dynamic</v>
      </c>
      <c r="F1168" t="str">
        <f ca="1">_xll.BDH($B$44,$C$44,$B$1130,$B$1131,CONCATENATE("Per=",$B$1128),"Dts=H","Dir=H",CONCATENATE("Points=",$B$1129),"Sort=R","Days=A","Fill=B",CONCATENATE("FX=", $B$1127) )</f>
        <v/>
      </c>
      <c r="K1168" t="str">
        <f>""</f>
        <v/>
      </c>
      <c r="L1168" t="str">
        <f>""</f>
        <v/>
      </c>
      <c r="M1168" t="str">
        <f>""</f>
        <v/>
      </c>
      <c r="N1168" t="str">
        <f>""</f>
        <v/>
      </c>
      <c r="O1168" t="str">
        <f>""</f>
        <v/>
      </c>
    </row>
    <row r="1169" spans="1:15" x14ac:dyDescent="0.25">
      <c r="A1169" t="str">
        <f>$A$45</f>
        <v xml:space="preserve">                    Mahindra &amp; Mahindra Ltd</v>
      </c>
      <c r="B1169" t="str">
        <f>$B$45</f>
        <v>MM IN Equity</v>
      </c>
      <c r="C1169" t="str">
        <f>$C$45</f>
        <v>F0946</v>
      </c>
      <c r="D1169" t="str">
        <f>$D$45</f>
        <v>TOTAL_GHG_CO2_EMISSIONS</v>
      </c>
      <c r="E1169" t="str">
        <f>$E$45</f>
        <v>Dynamic</v>
      </c>
      <c r="F1169" t="str">
        <f ca="1">_xll.BDH($B$45,$C$45,$B$1130,$B$1131,CONCATENATE("Per=",$B$1128),"Dts=H","Dir=H",CONCATENATE("Points=",$B$1129),"Sort=R","Days=A","Fill=B",CONCATENATE("FX=", $B$1127),"cols=5;rows=1")</f>
        <v/>
      </c>
      <c r="G1169">
        <v>0</v>
      </c>
      <c r="H1169">
        <v>0.314</v>
      </c>
      <c r="I1169">
        <v>0.34870000000000001</v>
      </c>
      <c r="J1169">
        <v>0.40160000000000001</v>
      </c>
      <c r="K1169" t="str">
        <f>""</f>
        <v/>
      </c>
      <c r="L1169" t="str">
        <f>""</f>
        <v/>
      </c>
      <c r="M1169" t="str">
        <f>""</f>
        <v/>
      </c>
      <c r="N1169" t="str">
        <f>""</f>
        <v/>
      </c>
      <c r="O1169" t="str">
        <f>""</f>
        <v/>
      </c>
    </row>
    <row r="1170" spans="1:15" x14ac:dyDescent="0.25">
      <c r="A1170" t="str">
        <f>$A$46</f>
        <v xml:space="preserve">                    Maruti Suzuki India Ltd</v>
      </c>
      <c r="B1170" t="str">
        <f>$B$46</f>
        <v>MSIL IN Equity</v>
      </c>
      <c r="C1170" t="str">
        <f>$C$46</f>
        <v>F0946</v>
      </c>
      <c r="D1170" t="str">
        <f>$D$46</f>
        <v>TOTAL_GHG_CO2_EMISSIONS</v>
      </c>
      <c r="E1170" t="str">
        <f>$E$46</f>
        <v>Dynamic</v>
      </c>
      <c r="F1170" t="str">
        <f ca="1">_xll.BDH($B$46,$C$46,$B$1130,$B$1131,CONCATENATE("Per=",$B$1128),"Dts=H","Dir=H",CONCATENATE("Points=",$B$1129),"Sort=R","Days=A","Fill=B",CONCATENATE("FX=", $B$1127),"cols=5;rows=1")</f>
        <v/>
      </c>
      <c r="G1170">
        <v>0.41810000000000003</v>
      </c>
      <c r="H1170">
        <v>0.3911</v>
      </c>
      <c r="I1170">
        <v>0.41199999999999998</v>
      </c>
      <c r="J1170">
        <v>0.45579999999999998</v>
      </c>
      <c r="K1170" t="str">
        <f>""</f>
        <v/>
      </c>
      <c r="L1170" t="str">
        <f>""</f>
        <v/>
      </c>
      <c r="M1170" t="str">
        <f>""</f>
        <v/>
      </c>
      <c r="N1170" t="str">
        <f>""</f>
        <v/>
      </c>
      <c r="O1170" t="str">
        <f>""</f>
        <v/>
      </c>
    </row>
    <row r="1171" spans="1:15" x14ac:dyDescent="0.25">
      <c r="A1171" t="str">
        <f>$A$47</f>
        <v xml:space="preserve">                    Mitsubishi Motors Corp</v>
      </c>
      <c r="B1171" t="str">
        <f>$B$47</f>
        <v>7211 JP Equity</v>
      </c>
      <c r="C1171" t="str">
        <f>$C$47</f>
        <v>F0946</v>
      </c>
      <c r="D1171" t="str">
        <f>$D$47</f>
        <v>TOTAL_GHG_CO2_EMISSIONS</v>
      </c>
      <c r="E1171" t="str">
        <f>$E$47</f>
        <v>Dynamic</v>
      </c>
      <c r="F1171" t="str">
        <f ca="1">_xll.BDH($B$47,$C$47,$B$1130,$B$1131,CONCATENATE("Per=",$B$1128),"Dts=H","Dir=H",CONCATENATE("Points=",$B$1129),"Sort=R","Days=A","Fill=B",CONCATENATE("FX=", $B$1127),"cols=5;rows=1")</f>
        <v/>
      </c>
      <c r="G1171">
        <v>0.39739999999999998</v>
      </c>
      <c r="H1171">
        <v>0.35920000000000002</v>
      </c>
      <c r="I1171">
        <v>0.52600000000000002</v>
      </c>
      <c r="J1171">
        <v>0.58799999999999997</v>
      </c>
      <c r="K1171" t="str">
        <f>""</f>
        <v/>
      </c>
      <c r="L1171" t="str">
        <f>""</f>
        <v/>
      </c>
      <c r="M1171" t="str">
        <f>""</f>
        <v/>
      </c>
      <c r="N1171" t="str">
        <f>""</f>
        <v/>
      </c>
      <c r="O1171" t="str">
        <f>""</f>
        <v/>
      </c>
    </row>
    <row r="1172" spans="1:15" x14ac:dyDescent="0.25">
      <c r="A1172" t="str">
        <f>$A$48</f>
        <v xml:space="preserve">                    Mazda Motor Corp</v>
      </c>
      <c r="B1172" t="str">
        <f>$B$48</f>
        <v>7261 JP Equity</v>
      </c>
      <c r="C1172" t="str">
        <f>$C$48</f>
        <v>F0946</v>
      </c>
      <c r="D1172" t="str">
        <f>$D$48</f>
        <v>TOTAL_GHG_CO2_EMISSIONS</v>
      </c>
      <c r="E1172" t="str">
        <f>$E$48</f>
        <v>Dynamic</v>
      </c>
      <c r="F1172" t="str">
        <f ca="1">_xll.BDH($B$48,$C$48,$B$1130,$B$1131,CONCATENATE("Per=",$B$1128),"Dts=H","Dir=H",CONCATENATE("Points=",$B$1129),"Sort=R","Days=A","Fill=B",CONCATENATE("FX=", $B$1127),"cols=5;rows=1")</f>
        <v/>
      </c>
      <c r="G1172">
        <v>0.58850000000000002</v>
      </c>
      <c r="H1172">
        <v>0.54600000000000004</v>
      </c>
      <c r="I1172">
        <v>0.64800000000000002</v>
      </c>
      <c r="J1172">
        <v>0.70499999999999996</v>
      </c>
      <c r="K1172" t="str">
        <f>""</f>
        <v/>
      </c>
      <c r="L1172" t="str">
        <f>""</f>
        <v/>
      </c>
      <c r="M1172" t="str">
        <f>""</f>
        <v/>
      </c>
      <c r="N1172" t="str">
        <f>""</f>
        <v/>
      </c>
      <c r="O1172" t="str">
        <f>""</f>
        <v/>
      </c>
    </row>
    <row r="1173" spans="1:15" x14ac:dyDescent="0.25">
      <c r="A1173" t="str">
        <f>$A$49</f>
        <v xml:space="preserve">                    Mercedes-Benz Group AG</v>
      </c>
      <c r="B1173" t="str">
        <f>$B$49</f>
        <v>MBG GR Equity</v>
      </c>
      <c r="C1173" t="str">
        <f>$C$49</f>
        <v>F0946</v>
      </c>
      <c r="D1173" t="str">
        <f>$D$49</f>
        <v>TOTAL_GHG_CO2_EMISSIONS</v>
      </c>
      <c r="E1173" t="str">
        <f>$E$49</f>
        <v>Dynamic</v>
      </c>
      <c r="F1173">
        <f ca="1">_xll.BDH($B$49,$C$49,$B$1130,$B$1131,CONCATENATE("Per=",$B$1128),"Dts=H","Dir=H",CONCATENATE("Points=",$B$1129),"Sort=R","Days=A","Fill=B",CONCATENATE("FX=", $B$1127),"cols=5;rows=1")</f>
        <v>1.69</v>
      </c>
      <c r="G1173">
        <v>1.804</v>
      </c>
      <c r="H1173">
        <v>2.5190000000000001</v>
      </c>
      <c r="I1173">
        <v>2.9449999999999998</v>
      </c>
      <c r="J1173">
        <v>3.2320000000000002</v>
      </c>
      <c r="K1173" t="str">
        <f>""</f>
        <v/>
      </c>
      <c r="L1173" t="str">
        <f>""</f>
        <v/>
      </c>
      <c r="M1173" t="str">
        <f>""</f>
        <v/>
      </c>
      <c r="N1173" t="str">
        <f>""</f>
        <v/>
      </c>
      <c r="O1173" t="str">
        <f>""</f>
        <v/>
      </c>
    </row>
    <row r="1174" spans="1:15" x14ac:dyDescent="0.25">
      <c r="A1174" t="str">
        <f>$A$50</f>
        <v xml:space="preserve">                    NIO Inc</v>
      </c>
      <c r="B1174" t="str">
        <f>$B$50</f>
        <v>NIO US Equity</v>
      </c>
      <c r="C1174" t="str">
        <f>$C$50</f>
        <v>F0946</v>
      </c>
      <c r="D1174" t="str">
        <f>$D$50</f>
        <v>TOTAL_GHG_CO2_EMISSIONS</v>
      </c>
      <c r="E1174" t="str">
        <f>$E$50</f>
        <v>Dynamic</v>
      </c>
      <c r="F1174" t="str">
        <f ca="1">_xll.BDH($B$50,$C$50,$B$1130,$B$1131,CONCATENATE("Per=",$B$1128),"Dts=H","Dir=H",CONCATENATE("Points=",$B$1129),"Sort=R","Days=A","Fill=B",CONCATENATE("FX=", $B$1127),"cols=5;rows=1")</f>
        <v/>
      </c>
      <c r="G1174">
        <v>5.3800000000000001E-2</v>
      </c>
      <c r="K1174" t="str">
        <f>""</f>
        <v/>
      </c>
      <c r="L1174" t="str">
        <f>""</f>
        <v/>
      </c>
      <c r="M1174" t="str">
        <f>""</f>
        <v/>
      </c>
      <c r="N1174" t="str">
        <f>""</f>
        <v/>
      </c>
      <c r="O1174" t="str">
        <f>""</f>
        <v/>
      </c>
    </row>
    <row r="1175" spans="1:15" x14ac:dyDescent="0.25">
      <c r="A1175" t="str">
        <f>$A$51</f>
        <v xml:space="preserve">                    Nissan Motor Co Ltd</v>
      </c>
      <c r="B1175" t="str">
        <f>$B$51</f>
        <v>7201 JP Equity</v>
      </c>
      <c r="C1175" t="str">
        <f>$C$51</f>
        <v>F0946</v>
      </c>
      <c r="D1175" t="str">
        <f>$D$51</f>
        <v>TOTAL_GHG_CO2_EMISSIONS</v>
      </c>
      <c r="E1175" t="str">
        <f>$E$51</f>
        <v>Dynamic</v>
      </c>
      <c r="F1175" t="str">
        <f ca="1">_xll.BDH($B$51,$C$51,$B$1130,$B$1131,CONCATENATE("Per=",$B$1128),"Dts=H","Dir=H",CONCATENATE("Points=",$B$1129),"Sort=R","Days=A","Fill=B",CONCATENATE("FX=", $B$1127),"cols=5;rows=1")</f>
        <v/>
      </c>
      <c r="G1175">
        <v>2.3086000000000002</v>
      </c>
      <c r="H1175">
        <v>3.3195999999999999</v>
      </c>
      <c r="I1175">
        <v>2.9386000000000001</v>
      </c>
      <c r="J1175">
        <v>3.2292999999999998</v>
      </c>
      <c r="K1175" t="str">
        <f>""</f>
        <v/>
      </c>
      <c r="L1175" t="str">
        <f>""</f>
        <v/>
      </c>
      <c r="M1175" t="str">
        <f>""</f>
        <v/>
      </c>
      <c r="N1175" t="str">
        <f>""</f>
        <v/>
      </c>
      <c r="O1175" t="str">
        <f>""</f>
        <v/>
      </c>
    </row>
    <row r="1176" spans="1:15" x14ac:dyDescent="0.25">
      <c r="A1176" t="str">
        <f>$A$52</f>
        <v xml:space="preserve">                    Polestar Automotive Holding UK</v>
      </c>
      <c r="B1176" t="str">
        <f>$B$52</f>
        <v>PSNY US Equity</v>
      </c>
      <c r="C1176" t="str">
        <f>$C$52</f>
        <v>F0946</v>
      </c>
      <c r="D1176" t="str">
        <f>$D$52</f>
        <v>TOTAL_GHG_CO2_EMISSIONS</v>
      </c>
      <c r="E1176" t="str">
        <f>$E$52</f>
        <v>Dynamic</v>
      </c>
      <c r="F1176">
        <f ca="1">_xll.BDH($B$52,$C$52,$B$1130,$B$1131,CONCATENATE("Per=",$B$1128),"Dts=H","Dir=H",CONCATENATE("Points=",$B$1129),"Sort=R","Days=A","Fill=B",CONCATENATE("FX=", $B$1127),"cols=5;rows=1")</f>
        <v>8.0000000000000002E-3</v>
      </c>
      <c r="K1176" t="str">
        <f>""</f>
        <v/>
      </c>
      <c r="L1176" t="str">
        <f>""</f>
        <v/>
      </c>
      <c r="M1176" t="str">
        <f>""</f>
        <v/>
      </c>
      <c r="N1176" t="str">
        <f>""</f>
        <v/>
      </c>
      <c r="O1176" t="str">
        <f>""</f>
        <v/>
      </c>
    </row>
    <row r="1177" spans="1:15" x14ac:dyDescent="0.25">
      <c r="A1177" t="str">
        <f>$A$53</f>
        <v xml:space="preserve">                    Renault SA</v>
      </c>
      <c r="B1177" t="str">
        <f>$B$53</f>
        <v>RNO FP Equity</v>
      </c>
      <c r="C1177" t="str">
        <f>$C$53</f>
        <v>F0946</v>
      </c>
      <c r="D1177" t="str">
        <f>$D$53</f>
        <v>TOTAL_GHG_CO2_EMISSIONS</v>
      </c>
      <c r="E1177" t="str">
        <f>$E$53</f>
        <v>Dynamic</v>
      </c>
      <c r="F1177">
        <f ca="1">_xll.BDH($B$53,$C$53,$B$1130,$B$1131,CONCATENATE("Per=",$B$1128),"Dts=H","Dir=H",CONCATENATE("Points=",$B$1129),"Sort=R","Days=A","Fill=B",CONCATENATE("FX=", $B$1127),"cols=5;rows=1")</f>
        <v>0.60629999999999995</v>
      </c>
      <c r="G1177">
        <v>1.0073000000000001</v>
      </c>
      <c r="H1177">
        <v>1.0342</v>
      </c>
      <c r="I1177">
        <v>1.3240000000000001</v>
      </c>
      <c r="J1177">
        <v>1.3266</v>
      </c>
      <c r="K1177" t="str">
        <f>""</f>
        <v/>
      </c>
      <c r="L1177" t="str">
        <f>""</f>
        <v/>
      </c>
      <c r="M1177" t="str">
        <f>""</f>
        <v/>
      </c>
      <c r="N1177" t="str">
        <f>""</f>
        <v/>
      </c>
      <c r="O1177" t="str">
        <f>""</f>
        <v/>
      </c>
    </row>
    <row r="1178" spans="1:15" x14ac:dyDescent="0.25">
      <c r="A1178" t="str">
        <f>$A$54</f>
        <v xml:space="preserve">                    Rivian Automotive Inc</v>
      </c>
      <c r="B1178" t="str">
        <f>$B$54</f>
        <v>RIVN US Equity</v>
      </c>
      <c r="C1178" t="str">
        <f>$C$54</f>
        <v>F0946</v>
      </c>
      <c r="D1178" t="str">
        <f>$D$54</f>
        <v>TOTAL_GHG_CO2_EMISSIONS</v>
      </c>
      <c r="E1178" t="str">
        <f>$E$54</f>
        <v>Dynamic</v>
      </c>
      <c r="F1178" t="str">
        <f ca="1">_xll.BDH($B$54,$C$54,$B$1130,$B$1131,CONCATENATE("Per=",$B$1128),"Dts=H","Dir=H",CONCATENATE("Points=",$B$1129),"Sort=R","Days=A","Fill=B",CONCATENATE("FX=", $B$1127) )</f>
        <v/>
      </c>
      <c r="K1178" t="str">
        <f>""</f>
        <v/>
      </c>
      <c r="L1178" t="str">
        <f>""</f>
        <v/>
      </c>
      <c r="M1178" t="str">
        <f>""</f>
        <v/>
      </c>
      <c r="N1178" t="str">
        <f>""</f>
        <v/>
      </c>
      <c r="O1178" t="str">
        <f>""</f>
        <v/>
      </c>
    </row>
    <row r="1179" spans="1:15" x14ac:dyDescent="0.25">
      <c r="A1179" t="str">
        <f>$A$55</f>
        <v xml:space="preserve">                    SAIC Motor Corp Ltd</v>
      </c>
      <c r="B1179" t="str">
        <f>$B$55</f>
        <v>600104 CH Equity</v>
      </c>
      <c r="C1179" t="str">
        <f>$C$55</f>
        <v>F0946</v>
      </c>
      <c r="D1179" t="str">
        <f>$D$55</f>
        <v>TOTAL_GHG_CO2_EMISSIONS</v>
      </c>
      <c r="E1179" t="str">
        <f>$E$55</f>
        <v>Dynamic</v>
      </c>
      <c r="F1179">
        <f ca="1">_xll.BDH($B$55,$C$55,$B$1130,$B$1131,CONCATENATE("Per=",$B$1128),"Dts=H","Dir=H",CONCATENATE("Points=",$B$1129),"Sort=R","Days=A","Fill=B",CONCATENATE("FX=", $B$1127),"cols=5;rows=1")</f>
        <v>5.31</v>
      </c>
      <c r="G1179">
        <v>5.21</v>
      </c>
      <c r="H1179">
        <v>5.0199999999999996</v>
      </c>
      <c r="I1179">
        <v>5.24</v>
      </c>
      <c r="J1179">
        <v>5.75</v>
      </c>
      <c r="K1179" t="str">
        <f>""</f>
        <v/>
      </c>
      <c r="L1179" t="str">
        <f>""</f>
        <v/>
      </c>
      <c r="M1179" t="str">
        <f>""</f>
        <v/>
      </c>
      <c r="N1179" t="str">
        <f>""</f>
        <v/>
      </c>
      <c r="O1179" t="str">
        <f>""</f>
        <v/>
      </c>
    </row>
    <row r="1180" spans="1:15" x14ac:dyDescent="0.25">
      <c r="A1180" t="str">
        <f>$A$56</f>
        <v xml:space="preserve">                    Subaru Corp</v>
      </c>
      <c r="B1180" t="str">
        <f>$B$56</f>
        <v>7270 JP Equity</v>
      </c>
      <c r="C1180" t="str">
        <f>$C$56</f>
        <v>F0946</v>
      </c>
      <c r="D1180" t="str">
        <f>$D$56</f>
        <v>TOTAL_GHG_CO2_EMISSIONS</v>
      </c>
      <c r="E1180" t="str">
        <f>$E$56</f>
        <v>Dynamic</v>
      </c>
      <c r="F1180" t="str">
        <f ca="1">_xll.BDH($B$56,$C$56,$B$1130,$B$1131,CONCATENATE("Per=",$B$1128),"Dts=H","Dir=H",CONCATENATE("Points=",$B$1129),"Sort=R","Days=A","Fill=B",CONCATENATE("FX=", $B$1127),"cols=5;rows=1")</f>
        <v/>
      </c>
      <c r="G1180">
        <v>0.47070000000000001</v>
      </c>
      <c r="H1180">
        <v>0.59099999999999997</v>
      </c>
      <c r="I1180">
        <v>0.67</v>
      </c>
      <c r="J1180">
        <v>0.55500000000000005</v>
      </c>
      <c r="K1180" t="str">
        <f>""</f>
        <v/>
      </c>
      <c r="L1180" t="str">
        <f>""</f>
        <v/>
      </c>
      <c r="M1180" t="str">
        <f>""</f>
        <v/>
      </c>
      <c r="N1180" t="str">
        <f>""</f>
        <v/>
      </c>
      <c r="O1180" t="str">
        <f>""</f>
        <v/>
      </c>
    </row>
    <row r="1181" spans="1:15" x14ac:dyDescent="0.25">
      <c r="A1181" t="str">
        <f>$A$57</f>
        <v xml:space="preserve">                    Stellantis NV</v>
      </c>
      <c r="B1181" t="str">
        <f>$B$57</f>
        <v>STLA US Equity</v>
      </c>
      <c r="C1181" t="str">
        <f>$C$57</f>
        <v>F0946</v>
      </c>
      <c r="D1181" t="str">
        <f>$D$57</f>
        <v>TOTAL_GHG_CO2_EMISSIONS</v>
      </c>
      <c r="E1181" t="str">
        <f>$E$57</f>
        <v>Dynamic</v>
      </c>
      <c r="F1181">
        <f ca="1">_xll.BDH($B$57,$C$57,$B$1130,$B$1131,CONCATENATE("Per=",$B$1128),"Dts=H","Dir=H",CONCATENATE("Points=",$B$1129),"Sort=R","Days=A","Fill=B",CONCATENATE("FX=", $B$1127),"cols=5;rows=1")</f>
        <v>3.4430999999999998</v>
      </c>
      <c r="G1181">
        <v>3.8744999999999998</v>
      </c>
      <c r="H1181">
        <v>2.8614999999999999</v>
      </c>
      <c r="I1181">
        <v>3.3551000000000002</v>
      </c>
      <c r="J1181">
        <v>3.9253</v>
      </c>
      <c r="K1181" t="str">
        <f>""</f>
        <v/>
      </c>
      <c r="L1181" t="str">
        <f>""</f>
        <v/>
      </c>
      <c r="M1181" t="str">
        <f>""</f>
        <v/>
      </c>
      <c r="N1181" t="str">
        <f>""</f>
        <v/>
      </c>
      <c r="O1181" t="str">
        <f>""</f>
        <v/>
      </c>
    </row>
    <row r="1182" spans="1:15" x14ac:dyDescent="0.25">
      <c r="A1182" t="str">
        <f>$A$58</f>
        <v xml:space="preserve">                    Suzuki Motor Corp</v>
      </c>
      <c r="B1182" t="str">
        <f>$B$58</f>
        <v>7269 JP Equity</v>
      </c>
      <c r="C1182" t="str">
        <f>$C$58</f>
        <v>F0946</v>
      </c>
      <c r="D1182" t="str">
        <f>$D$58</f>
        <v>TOTAL_GHG_CO2_EMISSIONS</v>
      </c>
      <c r="E1182" t="str">
        <f>$E$58</f>
        <v>Dynamic</v>
      </c>
      <c r="F1182" t="str">
        <f ca="1">_xll.BDH($B$58,$C$58,$B$1130,$B$1131,CONCATENATE("Per=",$B$1128),"Dts=H","Dir=H",CONCATENATE("Points=",$B$1129),"Sort=R","Days=A","Fill=B",CONCATENATE("FX=", $B$1127),"cols=5;rows=1")</f>
        <v/>
      </c>
      <c r="G1182">
        <v>1.1100000000000001</v>
      </c>
      <c r="H1182">
        <v>1.04</v>
      </c>
      <c r="I1182">
        <v>1.1599999999999999</v>
      </c>
      <c r="J1182">
        <v>1.24</v>
      </c>
      <c r="K1182" t="str">
        <f>""</f>
        <v/>
      </c>
      <c r="L1182" t="str">
        <f>""</f>
        <v/>
      </c>
      <c r="M1182" t="str">
        <f>""</f>
        <v/>
      </c>
      <c r="N1182" t="str">
        <f>""</f>
        <v/>
      </c>
      <c r="O1182" t="str">
        <f>""</f>
        <v/>
      </c>
    </row>
    <row r="1183" spans="1:15" x14ac:dyDescent="0.25">
      <c r="A1183" t="str">
        <f>$A$59</f>
        <v xml:space="preserve">                    Tata Motors Ltd</v>
      </c>
      <c r="B1183" t="str">
        <f>$B$59</f>
        <v>TTMT IN Equity</v>
      </c>
      <c r="C1183" t="str">
        <f>$C$59</f>
        <v>F0946</v>
      </c>
      <c r="D1183" t="str">
        <f>$D$59</f>
        <v>TOTAL_GHG_CO2_EMISSIONS</v>
      </c>
      <c r="E1183" t="str">
        <f>$E$59</f>
        <v>Dynamic</v>
      </c>
      <c r="F1183" t="str">
        <f ca="1">_xll.BDH($B$59,$C$59,$B$1130,$B$1131,CONCATENATE("Per=",$B$1128),"Dts=H","Dir=H",CONCATENATE("Points=",$B$1129),"Sort=R","Days=A","Fill=B",CONCATENATE("FX=", $B$1127),"cols=5;rows=1")</f>
        <v/>
      </c>
      <c r="G1183">
        <v>0.5413</v>
      </c>
      <c r="H1183">
        <v>0.5413</v>
      </c>
      <c r="I1183">
        <v>0.59699999999999998</v>
      </c>
      <c r="K1183" t="str">
        <f>""</f>
        <v/>
      </c>
      <c r="L1183" t="str">
        <f>""</f>
        <v/>
      </c>
      <c r="M1183" t="str">
        <f>""</f>
        <v/>
      </c>
      <c r="N1183" t="str">
        <f>""</f>
        <v/>
      </c>
      <c r="O1183" t="str">
        <f>""</f>
        <v/>
      </c>
    </row>
    <row r="1184" spans="1:15" x14ac:dyDescent="0.25">
      <c r="A1184" t="str">
        <f>$A$60</f>
        <v xml:space="preserve">                    Tesla Inc</v>
      </c>
      <c r="B1184" t="str">
        <f>$B$60</f>
        <v>TSLA US Equity</v>
      </c>
      <c r="C1184" t="str">
        <f>$C$60</f>
        <v>F0946</v>
      </c>
      <c r="D1184" t="str">
        <f>$D$60</f>
        <v>TOTAL_GHG_CO2_EMISSIONS</v>
      </c>
      <c r="E1184" t="str">
        <f>$E$60</f>
        <v>Dynamic</v>
      </c>
      <c r="F1184">
        <f ca="1">_xll.BDH($B$60,$C$60,$B$1130,$B$1131,CONCATENATE("Per=",$B$1128),"Dts=H","Dir=H",CONCATENATE("Points=",$B$1129),"Sort=R","Days=A","Fill=B",CONCATENATE("FX=", $B$1127),"cols=5;rows=1")</f>
        <v>0.61</v>
      </c>
      <c r="G1184">
        <v>0.58799999999999997</v>
      </c>
      <c r="K1184" t="str">
        <f>""</f>
        <v/>
      </c>
      <c r="L1184" t="str">
        <f>""</f>
        <v/>
      </c>
      <c r="M1184" t="str">
        <f>""</f>
        <v/>
      </c>
      <c r="N1184" t="str">
        <f>""</f>
        <v/>
      </c>
      <c r="O1184" t="str">
        <f>""</f>
        <v/>
      </c>
    </row>
    <row r="1185" spans="1:15" x14ac:dyDescent="0.25">
      <c r="A1185" t="str">
        <f>$A$61</f>
        <v xml:space="preserve">                    Toyota Motor Corp</v>
      </c>
      <c r="B1185" t="str">
        <f>$B$61</f>
        <v>7203 JP Equity</v>
      </c>
      <c r="C1185" t="str">
        <f>$C$61</f>
        <v>F0946</v>
      </c>
      <c r="D1185" t="str">
        <f>$D$61</f>
        <v>TOTAL_GHG_CO2_EMISSIONS</v>
      </c>
      <c r="E1185" t="str">
        <f>$E$61</f>
        <v>Dynamic</v>
      </c>
      <c r="F1185" t="str">
        <f ca="1">_xll.BDH($B$61,$C$61,$B$1130,$B$1131,CONCATENATE("Per=",$B$1128),"Dts=H","Dir=H",CONCATENATE("Points=",$B$1129),"Sort=R","Days=A","Fill=B",CONCATENATE("FX=", $B$1127),"cols=5;rows=1")</f>
        <v/>
      </c>
      <c r="G1185">
        <v>6.46</v>
      </c>
      <c r="H1185">
        <v>5.3268000000000004</v>
      </c>
      <c r="I1185">
        <v>6.1489000000000003</v>
      </c>
      <c r="J1185">
        <v>7.65</v>
      </c>
      <c r="K1185" t="str">
        <f>""</f>
        <v/>
      </c>
      <c r="L1185" t="str">
        <f>""</f>
        <v/>
      </c>
      <c r="M1185" t="str">
        <f>""</f>
        <v/>
      </c>
      <c r="N1185" t="str">
        <f>""</f>
        <v/>
      </c>
      <c r="O1185" t="str">
        <f>""</f>
        <v/>
      </c>
    </row>
    <row r="1186" spans="1:15" x14ac:dyDescent="0.25">
      <c r="A1186" t="str">
        <f>$A$62</f>
        <v xml:space="preserve">                    Volkswagen AG</v>
      </c>
      <c r="B1186" t="str">
        <f>$B$62</f>
        <v>VOW GR Equity</v>
      </c>
      <c r="C1186" t="str">
        <f>$C$62</f>
        <v>F0946</v>
      </c>
      <c r="D1186" t="str">
        <f>$D$62</f>
        <v>TOTAL_GHG_CO2_EMISSIONS</v>
      </c>
      <c r="E1186" t="str">
        <f>$E$62</f>
        <v>Dynamic</v>
      </c>
      <c r="F1186">
        <f ca="1">_xll.BDH($B$62,$C$62,$B$1130,$B$1131,CONCATENATE("Per=",$B$1128),"Dts=H","Dir=H",CONCATENATE("Points=",$B$1129),"Sort=R","Days=A","Fill=B",CONCATENATE("FX=", $B$1127),"cols=5;rows=1")</f>
        <v>6.57</v>
      </c>
      <c r="G1186">
        <v>9.9367999999999999</v>
      </c>
      <c r="H1186">
        <v>9.5930999999999997</v>
      </c>
      <c r="I1186">
        <v>10.468</v>
      </c>
      <c r="J1186">
        <v>10.438800000000001</v>
      </c>
      <c r="K1186" t="str">
        <f>""</f>
        <v/>
      </c>
      <c r="L1186" t="str">
        <f>""</f>
        <v/>
      </c>
      <c r="M1186" t="str">
        <f>""</f>
        <v/>
      </c>
      <c r="N1186" t="str">
        <f>""</f>
        <v/>
      </c>
      <c r="O1186" t="str">
        <f>""</f>
        <v/>
      </c>
    </row>
    <row r="1187" spans="1:15" x14ac:dyDescent="0.25">
      <c r="A1187" t="str">
        <f>$A$63</f>
        <v xml:space="preserve">                    Volvo Car AB</v>
      </c>
      <c r="B1187" t="str">
        <f>$B$63</f>
        <v>VOLCARB SS Equity</v>
      </c>
      <c r="C1187" t="str">
        <f>$C$63</f>
        <v>F0946</v>
      </c>
      <c r="D1187" t="str">
        <f>$D$63</f>
        <v>TOTAL_GHG_CO2_EMISSIONS</v>
      </c>
      <c r="E1187" t="str">
        <f>$E$63</f>
        <v>Dynamic</v>
      </c>
      <c r="F1187">
        <f ca="1">_xll.BDH($B$63,$C$63,$B$1130,$B$1131,CONCATENATE("Per=",$B$1128),"Dts=H","Dir=H",CONCATENATE("Points=",$B$1129),"Sort=R","Days=A","Fill=B",CONCATENATE("FX=", $B$1127),"cols=5;rows=1")</f>
        <v>0.113</v>
      </c>
      <c r="G1187">
        <v>0.122</v>
      </c>
      <c r="H1187">
        <v>0.185</v>
      </c>
      <c r="I1187">
        <v>0.22800000000000001</v>
      </c>
      <c r="J1187">
        <v>0.251</v>
      </c>
      <c r="K1187" t="str">
        <f>""</f>
        <v/>
      </c>
      <c r="L1187" t="str">
        <f>""</f>
        <v/>
      </c>
      <c r="M1187" t="str">
        <f>""</f>
        <v/>
      </c>
      <c r="N1187" t="str">
        <f>""</f>
        <v/>
      </c>
      <c r="O1187" t="str">
        <f>""</f>
        <v/>
      </c>
    </row>
    <row r="1188" spans="1:15" x14ac:dyDescent="0.25">
      <c r="A1188" t="str">
        <f>$A$64</f>
        <v xml:space="preserve">                    XPeng Inc</v>
      </c>
      <c r="B1188" t="str">
        <f>$B$64</f>
        <v>XPEV US Equity</v>
      </c>
      <c r="C1188" t="str">
        <f>$C$64</f>
        <v>F0946</v>
      </c>
      <c r="D1188" t="str">
        <f>$D$64</f>
        <v>TOTAL_GHG_CO2_EMISSIONS</v>
      </c>
      <c r="E1188" t="str">
        <f>$E$64</f>
        <v>Dynamic</v>
      </c>
      <c r="F1188">
        <f ca="1">_xll.BDH($B$64,$C$64,$B$1130,$B$1131,CONCATENATE("Per=",$B$1128),"Dts=H","Dir=H",CONCATENATE("Points=",$B$1129),"Sort=R","Days=A","Fill=B",CONCATENATE("FX=", $B$1127),"cols=5;rows=1")</f>
        <v>0.1017</v>
      </c>
      <c r="G1188">
        <v>3.8600000000000002E-2</v>
      </c>
      <c r="H1188">
        <v>2.7300000000000001E-2</v>
      </c>
      <c r="K1188" t="str">
        <f>""</f>
        <v/>
      </c>
      <c r="L1188" t="str">
        <f>""</f>
        <v/>
      </c>
      <c r="M1188" t="str">
        <f>""</f>
        <v/>
      </c>
      <c r="N1188" t="str">
        <f>""</f>
        <v/>
      </c>
      <c r="O1188" t="str">
        <f>""</f>
        <v/>
      </c>
    </row>
    <row r="1189" spans="1:15" x14ac:dyDescent="0.25">
      <c r="A1189" t="str">
        <f>$A$65</f>
        <v xml:space="preserve">                    Yulon Motor Co Ltd</v>
      </c>
      <c r="B1189" t="str">
        <f>$B$65</f>
        <v>2201 TT Equity</v>
      </c>
      <c r="C1189" t="str">
        <f>$C$65</f>
        <v>F0946</v>
      </c>
      <c r="D1189" t="str">
        <f>$D$65</f>
        <v>TOTAL_GHG_CO2_EMISSIONS</v>
      </c>
      <c r="E1189" t="str">
        <f>$E$65</f>
        <v>Dynamic</v>
      </c>
      <c r="F1189" t="str">
        <f ca="1">_xll.BDH($B$65,$C$65,$B$1130,$B$1131,CONCATENATE("Per=",$B$1128),"Dts=H","Dir=H",CONCATENATE("Points=",$B$1129),"Sort=R","Days=A","Fill=B",CONCATENATE("FX=", $B$1127) )</f>
        <v/>
      </c>
      <c r="K1189" t="str">
        <f>""</f>
        <v/>
      </c>
      <c r="L1189" t="str">
        <f>""</f>
        <v/>
      </c>
      <c r="M1189" t="str">
        <f>""</f>
        <v/>
      </c>
      <c r="N1189" t="str">
        <f>""</f>
        <v/>
      </c>
      <c r="O1189" t="str">
        <f>""</f>
        <v/>
      </c>
    </row>
    <row r="1190" spans="1:15" x14ac:dyDescent="0.25">
      <c r="A1190" t="str">
        <f>$A$67</f>
        <v xml:space="preserve">                    Aeolus Tyre Co Ltd</v>
      </c>
      <c r="B1190" t="str">
        <f>$B$67</f>
        <v>600469 CH Equity</v>
      </c>
      <c r="C1190" t="str">
        <f>$C$67</f>
        <v>F0946</v>
      </c>
      <c r="D1190" t="str">
        <f>$D$67</f>
        <v>TOTAL_GHG_CO2_EMISSIONS</v>
      </c>
      <c r="E1190" t="str">
        <f>$E$67</f>
        <v>Dynamic</v>
      </c>
      <c r="F1190" t="str">
        <f ca="1">_xll.BDH($B$67,$C$67,$B$1130,$B$1131,CONCATENATE("Per=",$B$1128),"Dts=H","Dir=H",CONCATENATE("Points=",$B$1129),"Sort=R","Days=A","Fill=B",CONCATENATE("FX=", $B$1127) )</f>
        <v/>
      </c>
      <c r="K1190" t="str">
        <f>""</f>
        <v/>
      </c>
      <c r="L1190" t="str">
        <f>""</f>
        <v/>
      </c>
      <c r="M1190" t="str">
        <f>""</f>
        <v/>
      </c>
      <c r="N1190" t="str">
        <f>""</f>
        <v/>
      </c>
      <c r="O1190" t="str">
        <f>""</f>
        <v/>
      </c>
    </row>
    <row r="1191" spans="1:15" x14ac:dyDescent="0.25">
      <c r="A1191" t="str">
        <f>$A$68</f>
        <v xml:space="preserve">                    AGC Inc</v>
      </c>
      <c r="B1191" t="str">
        <f>$B$68</f>
        <v>5201 JP Equity</v>
      </c>
      <c r="C1191" t="str">
        <f>$C$68</f>
        <v>F0946</v>
      </c>
      <c r="D1191" t="str">
        <f>$D$68</f>
        <v>TOTAL_GHG_CO2_EMISSIONS</v>
      </c>
      <c r="E1191" t="str">
        <f>$E$68</f>
        <v>Dynamic</v>
      </c>
      <c r="F1191">
        <f ca="1">_xll.BDH($B$68,$C$68,$B$1130,$B$1131,CONCATENATE("Per=",$B$1128),"Dts=H","Dir=H",CONCATENATE("Points=",$B$1129),"Sort=R","Days=A","Fill=B",CONCATENATE("FX=", $B$1127),"cols=5;rows=1")</f>
        <v>11.025</v>
      </c>
      <c r="G1191">
        <v>11.682399999999999</v>
      </c>
      <c r="H1191">
        <v>11.238</v>
      </c>
      <c r="I1191">
        <v>11.478400000000001</v>
      </c>
      <c r="J1191">
        <v>10.891</v>
      </c>
      <c r="K1191" t="str">
        <f>""</f>
        <v/>
      </c>
      <c r="L1191" t="str">
        <f>""</f>
        <v/>
      </c>
      <c r="M1191" t="str">
        <f>""</f>
        <v/>
      </c>
      <c r="N1191" t="str">
        <f>""</f>
        <v/>
      </c>
      <c r="O1191" t="str">
        <f>""</f>
        <v/>
      </c>
    </row>
    <row r="1192" spans="1:15" x14ac:dyDescent="0.25">
      <c r="A1192" t="str">
        <f>$A$69</f>
        <v xml:space="preserve">                    Aisin Corp</v>
      </c>
      <c r="B1192" t="str">
        <f>$B$69</f>
        <v>7259 JP Equity</v>
      </c>
      <c r="C1192" t="str">
        <f>$C$69</f>
        <v>F0946</v>
      </c>
      <c r="D1192" t="str">
        <f>$D$69</f>
        <v>TOTAL_GHG_CO2_EMISSIONS</v>
      </c>
      <c r="E1192" t="str">
        <f>$E$69</f>
        <v>Dynamic</v>
      </c>
      <c r="F1192" t="str">
        <f ca="1">_xll.BDH($B$69,$C$69,$B$1130,$B$1131,CONCATENATE("Per=",$B$1128),"Dts=H","Dir=H",CONCATENATE("Points=",$B$1129),"Sort=R","Days=A","Fill=B",CONCATENATE("FX=", $B$1127),"cols=5;rows=1")</f>
        <v/>
      </c>
      <c r="G1192">
        <v>2.5720999999999998</v>
      </c>
      <c r="H1192">
        <v>2.6038000000000001</v>
      </c>
      <c r="I1192">
        <v>2.819</v>
      </c>
      <c r="J1192">
        <v>1.3633</v>
      </c>
      <c r="K1192" t="str">
        <f>""</f>
        <v/>
      </c>
      <c r="L1192" t="str">
        <f>""</f>
        <v/>
      </c>
      <c r="M1192" t="str">
        <f>""</f>
        <v/>
      </c>
      <c r="N1192" t="str">
        <f>""</f>
        <v/>
      </c>
      <c r="O1192" t="str">
        <f>""</f>
        <v/>
      </c>
    </row>
    <row r="1193" spans="1:15" x14ac:dyDescent="0.25">
      <c r="A1193" t="str">
        <f>$A$70</f>
        <v xml:space="preserve">                    Alfa SAB de CV</v>
      </c>
      <c r="B1193" t="str">
        <f>$B$70</f>
        <v>ALFAA MM Equity</v>
      </c>
      <c r="C1193" t="str">
        <f>$C$70</f>
        <v>F0946</v>
      </c>
      <c r="D1193" t="str">
        <f>$D$70</f>
        <v>TOTAL_GHG_CO2_EMISSIONS</v>
      </c>
      <c r="E1193" t="str">
        <f>$E$70</f>
        <v>Dynamic</v>
      </c>
      <c r="F1193">
        <f ca="1">_xll.BDH($B$70,$C$70,$B$1130,$B$1131,CONCATENATE("Per=",$B$1128),"Dts=H","Dir=H",CONCATENATE("Points=",$B$1129),"Sort=R","Days=A","Fill=B",CONCATENATE("FX=", $B$1127),"cols=5;rows=1")</f>
        <v>2.65</v>
      </c>
      <c r="G1193">
        <v>2.84</v>
      </c>
      <c r="H1193">
        <v>3.9</v>
      </c>
      <c r="I1193">
        <v>6.94</v>
      </c>
      <c r="J1193">
        <v>4.3600000000000003</v>
      </c>
      <c r="K1193" t="str">
        <f>""</f>
        <v/>
      </c>
      <c r="L1193" t="str">
        <f>""</f>
        <v/>
      </c>
      <c r="M1193" t="str">
        <f>""</f>
        <v/>
      </c>
      <c r="N1193" t="str">
        <f>""</f>
        <v/>
      </c>
      <c r="O1193" t="str">
        <f>""</f>
        <v/>
      </c>
    </row>
    <row r="1194" spans="1:15" x14ac:dyDescent="0.25">
      <c r="A1194" t="str">
        <f>$A$71</f>
        <v xml:space="preserve">                    American Axle &amp; Manufacturing</v>
      </c>
      <c r="B1194" t="str">
        <f>$B$71</f>
        <v>AXL US Equity</v>
      </c>
      <c r="C1194" t="str">
        <f>$C$71</f>
        <v>F0946</v>
      </c>
      <c r="D1194" t="str">
        <f>$D$71</f>
        <v>TOTAL_GHG_CO2_EMISSIONS</v>
      </c>
      <c r="E1194" t="str">
        <f>$E$71</f>
        <v>Dynamic</v>
      </c>
      <c r="F1194" t="str">
        <f ca="1">_xll.BDH($B$71,$C$71,$B$1130,$B$1131,CONCATENATE("Per=",$B$1128),"Dts=H","Dir=H",CONCATENATE("Points=",$B$1129),"Sort=R","Days=A","Fill=B",CONCATENATE("FX=", $B$1127),"cols=5;rows=1")</f>
        <v/>
      </c>
      <c r="G1194">
        <v>0.56530000000000002</v>
      </c>
      <c r="H1194">
        <v>0.45519999999999999</v>
      </c>
      <c r="I1194">
        <v>0.98440000000000005</v>
      </c>
      <c r="J1194">
        <v>1.3011999999999999</v>
      </c>
      <c r="K1194" t="str">
        <f>""</f>
        <v/>
      </c>
      <c r="L1194" t="str">
        <f>""</f>
        <v/>
      </c>
      <c r="M1194" t="str">
        <f>""</f>
        <v/>
      </c>
      <c r="N1194" t="str">
        <f>""</f>
        <v/>
      </c>
      <c r="O1194" t="str">
        <f>""</f>
        <v/>
      </c>
    </row>
    <row r="1195" spans="1:15" x14ac:dyDescent="0.25">
      <c r="A1195" t="str">
        <f>$A$72</f>
        <v xml:space="preserve">                    Apollo Tyres Ltd</v>
      </c>
      <c r="B1195" t="str">
        <f>$B$72</f>
        <v>APTY IN Equity</v>
      </c>
      <c r="C1195" t="str">
        <f>$C$72</f>
        <v>F0946</v>
      </c>
      <c r="D1195" t="str">
        <f>$D$72</f>
        <v>TOTAL_GHG_CO2_EMISSIONS</v>
      </c>
      <c r="E1195" t="str">
        <f>$E$72</f>
        <v>Dynamic</v>
      </c>
      <c r="F1195" t="str">
        <f ca="1">_xll.BDH($B$72,$C$72,$B$1130,$B$1131,CONCATENATE("Per=",$B$1128),"Dts=H","Dir=H",CONCATENATE("Points=",$B$1129),"Sort=R","Days=A","Fill=B",CONCATENATE("FX=", $B$1127),"cols=5;rows=1")</f>
        <v/>
      </c>
      <c r="G1195">
        <v>0.74050000000000005</v>
      </c>
      <c r="H1195">
        <v>0.64600000000000002</v>
      </c>
      <c r="I1195">
        <v>0.68530000000000002</v>
      </c>
      <c r="J1195">
        <v>0.72250000000000003</v>
      </c>
      <c r="K1195" t="str">
        <f>""</f>
        <v/>
      </c>
      <c r="L1195" t="str">
        <f>""</f>
        <v/>
      </c>
      <c r="M1195" t="str">
        <f>""</f>
        <v/>
      </c>
      <c r="N1195" t="str">
        <f>""</f>
        <v/>
      </c>
      <c r="O1195" t="str">
        <f>""</f>
        <v/>
      </c>
    </row>
    <row r="1196" spans="1:15" x14ac:dyDescent="0.25">
      <c r="A1196" t="str">
        <f>$A$73</f>
        <v xml:space="preserve">                    Aptiv PLC</v>
      </c>
      <c r="B1196" t="str">
        <f>$B$73</f>
        <v>APTV US Equity</v>
      </c>
      <c r="C1196" t="str">
        <f>$C$73</f>
        <v>F0946</v>
      </c>
      <c r="D1196" t="str">
        <f>$D$73</f>
        <v>TOTAL_GHG_CO2_EMISSIONS</v>
      </c>
      <c r="E1196" t="str">
        <f>$E$73</f>
        <v>Dynamic</v>
      </c>
      <c r="F1196" t="str">
        <f ca="1">_xll.BDH($B$73,$C$73,$B$1130,$B$1131,CONCATENATE("Per=",$B$1128),"Dts=H","Dir=H",CONCATENATE("Points=",$B$1129),"Sort=R","Days=A","Fill=B",CONCATENATE("FX=", $B$1127),"cols=5;rows=1")</f>
        <v/>
      </c>
      <c r="G1196">
        <v>0.32500000000000001</v>
      </c>
      <c r="H1196">
        <v>0.29299999999999998</v>
      </c>
      <c r="I1196">
        <v>0.3639</v>
      </c>
      <c r="J1196">
        <v>0.33660000000000001</v>
      </c>
      <c r="K1196" t="str">
        <f>""</f>
        <v/>
      </c>
      <c r="L1196" t="str">
        <f>""</f>
        <v/>
      </c>
      <c r="M1196" t="str">
        <f>""</f>
        <v/>
      </c>
      <c r="N1196" t="str">
        <f>""</f>
        <v/>
      </c>
      <c r="O1196" t="str">
        <f>""</f>
        <v/>
      </c>
    </row>
    <row r="1197" spans="1:15" x14ac:dyDescent="0.25">
      <c r="A1197" t="str">
        <f>$A$74</f>
        <v xml:space="preserve">                    Autoliv Inc</v>
      </c>
      <c r="B1197" t="str">
        <f>$B$74</f>
        <v>ALV US Equity</v>
      </c>
      <c r="C1197" t="str">
        <f>$C$74</f>
        <v>F0946</v>
      </c>
      <c r="D1197" t="str">
        <f>$D$74</f>
        <v>TOTAL_GHG_CO2_EMISSIONS</v>
      </c>
      <c r="E1197" t="str">
        <f>$E$74</f>
        <v>Dynamic</v>
      </c>
      <c r="F1197">
        <f ca="1">_xll.BDH($B$74,$C$74,$B$1130,$B$1131,CONCATENATE("Per=",$B$1128),"Dts=H","Dir=H",CONCATENATE("Points=",$B$1129),"Sort=R","Days=A","Fill=B",CONCATENATE("FX=", $B$1127),"cols=5;rows=1")</f>
        <v>0.378</v>
      </c>
      <c r="G1197">
        <v>0.39300000000000002</v>
      </c>
      <c r="H1197">
        <v>0.38159999999999999</v>
      </c>
      <c r="I1197">
        <v>0.41070000000000001</v>
      </c>
      <c r="J1197">
        <v>0.41070000000000001</v>
      </c>
      <c r="K1197" t="str">
        <f>""</f>
        <v/>
      </c>
      <c r="L1197" t="str">
        <f>""</f>
        <v/>
      </c>
      <c r="M1197" t="str">
        <f>""</f>
        <v/>
      </c>
      <c r="N1197" t="str">
        <f>""</f>
        <v/>
      </c>
      <c r="O1197" t="str">
        <f>""</f>
        <v/>
      </c>
    </row>
    <row r="1198" spans="1:15" x14ac:dyDescent="0.25">
      <c r="A1198" t="str">
        <f>$A$75</f>
        <v xml:space="preserve">                    Akebono Brake Industry Co Ltd</v>
      </c>
      <c r="B1198" t="str">
        <f>$B$75</f>
        <v>7238 JP Equity</v>
      </c>
      <c r="C1198" t="str">
        <f>$C$75</f>
        <v>F0946</v>
      </c>
      <c r="D1198" t="str">
        <f>$D$75</f>
        <v>TOTAL_GHG_CO2_EMISSIONS</v>
      </c>
      <c r="E1198" t="str">
        <f>$E$75</f>
        <v>Dynamic</v>
      </c>
      <c r="F1198" t="str">
        <f ca="1">_xll.BDH($B$75,$C$75,$B$1130,$B$1131,CONCATENATE("Per=",$B$1128),"Dts=H","Dir=H",CONCATENATE("Points=",$B$1129),"Sort=R","Days=A","Fill=B",CONCATENATE("FX=", $B$1127),"cols=5;rows=1")</f>
        <v/>
      </c>
      <c r="G1198">
        <v>0.188</v>
      </c>
      <c r="H1198">
        <v>0.17899999999999999</v>
      </c>
      <c r="I1198">
        <v>0.26960000000000001</v>
      </c>
      <c r="J1198">
        <v>0.30969999999999998</v>
      </c>
      <c r="K1198" t="str">
        <f>""</f>
        <v/>
      </c>
      <c r="L1198" t="str">
        <f>""</f>
        <v/>
      </c>
      <c r="M1198" t="str">
        <f>""</f>
        <v/>
      </c>
      <c r="N1198" t="str">
        <f>""</f>
        <v/>
      </c>
      <c r="O1198" t="str">
        <f>""</f>
        <v/>
      </c>
    </row>
    <row r="1199" spans="1:15" x14ac:dyDescent="0.25">
      <c r="A1199" t="str">
        <f>$A$76</f>
        <v xml:space="preserve">                    BASF SE</v>
      </c>
      <c r="B1199" t="str">
        <f>$B$76</f>
        <v>BAS GR Equity</v>
      </c>
      <c r="C1199" t="str">
        <f>$C$76</f>
        <v>F0946</v>
      </c>
      <c r="D1199" t="str">
        <f>$D$76</f>
        <v>TOTAL_GHG_CO2_EMISSIONS</v>
      </c>
      <c r="E1199" t="str">
        <f>$E$76</f>
        <v>Dynamic</v>
      </c>
      <c r="F1199" t="str">
        <f ca="1">_xll.BDH($B$76,$C$76,$B$1130,$B$1131,CONCATENATE("Per=",$B$1128),"Dts=H","Dir=H",CONCATENATE("Points=",$B$1129),"Sort=R","Days=A","Fill=B",CONCATENATE("FX=", $B$1127),"cols=5;rows=1")</f>
        <v/>
      </c>
      <c r="G1199">
        <v>22.338000000000001</v>
      </c>
      <c r="H1199">
        <v>21.757000000000001</v>
      </c>
      <c r="I1199">
        <v>20.875</v>
      </c>
      <c r="J1199">
        <v>22.164999999999999</v>
      </c>
      <c r="K1199" t="str">
        <f>""</f>
        <v/>
      </c>
      <c r="L1199" t="str">
        <f>""</f>
        <v/>
      </c>
      <c r="M1199" t="str">
        <f>""</f>
        <v/>
      </c>
      <c r="N1199" t="str">
        <f>""</f>
        <v/>
      </c>
      <c r="O1199" t="str">
        <f>""</f>
        <v/>
      </c>
    </row>
    <row r="1200" spans="1:15" x14ac:dyDescent="0.25">
      <c r="A1200" t="str">
        <f>$A$77</f>
        <v xml:space="preserve">                    Benteler Business Services Gmb</v>
      </c>
      <c r="B1200" t="str">
        <f>$B$77</f>
        <v>2333Z GR Equity</v>
      </c>
      <c r="C1200" t="str">
        <f>$C$77</f>
        <v>F0946</v>
      </c>
      <c r="D1200" t="str">
        <f>$D$77</f>
        <v>TOTAL_GHG_CO2_EMISSIONS</v>
      </c>
      <c r="E1200" t="str">
        <f>$E$77</f>
        <v>Dynamic</v>
      </c>
      <c r="F1200" t="str">
        <f ca="1">_xll.BDH($B$77,$C$77,$B$1130,$B$1131,CONCATENATE("Per=",$B$1128),"Dts=H","Dir=H",CONCATENATE("Points=",$B$1129),"Sort=R","Days=A","Fill=B",CONCATENATE("FX=", $B$1127) )</f>
        <v/>
      </c>
      <c r="K1200" t="str">
        <f>""</f>
        <v/>
      </c>
      <c r="L1200" t="str">
        <f>""</f>
        <v/>
      </c>
      <c r="M1200" t="str">
        <f>""</f>
        <v/>
      </c>
      <c r="N1200" t="str">
        <f>""</f>
        <v/>
      </c>
      <c r="O1200" t="str">
        <f>""</f>
        <v/>
      </c>
    </row>
    <row r="1201" spans="1:15" x14ac:dyDescent="0.25">
      <c r="A1201" t="str">
        <f>$A$78</f>
        <v xml:space="preserve">                    BorgWarner Inc</v>
      </c>
      <c r="B1201" t="str">
        <f>$B$78</f>
        <v>BWA US Equity</v>
      </c>
      <c r="C1201" t="str">
        <f>$C$78</f>
        <v>F0946</v>
      </c>
      <c r="D1201" t="str">
        <f>$D$78</f>
        <v>TOTAL_GHG_CO2_EMISSIONS</v>
      </c>
      <c r="E1201" t="str">
        <f>$E$78</f>
        <v>Dynamic</v>
      </c>
      <c r="F1201" t="str">
        <f ca="1">_xll.BDH($B$78,$C$78,$B$1130,$B$1131,CONCATENATE("Per=",$B$1128),"Dts=H","Dir=H",CONCATENATE("Points=",$B$1129),"Sort=R","Days=A","Fill=B",CONCATENATE("FX=", $B$1127),"cols=5;rows=1")</f>
        <v/>
      </c>
      <c r="G1201">
        <v>0.52049999999999996</v>
      </c>
      <c r="K1201" t="str">
        <f>""</f>
        <v/>
      </c>
      <c r="L1201" t="str">
        <f>""</f>
        <v/>
      </c>
      <c r="M1201" t="str">
        <f>""</f>
        <v/>
      </c>
      <c r="N1201" t="str">
        <f>""</f>
        <v/>
      </c>
      <c r="O1201" t="str">
        <f>""</f>
        <v/>
      </c>
    </row>
    <row r="1202" spans="1:15" x14ac:dyDescent="0.25">
      <c r="A1202" t="str">
        <f>$A$79</f>
        <v xml:space="preserve">                    Bridgestone Corp</v>
      </c>
      <c r="B1202" t="str">
        <f>$B$79</f>
        <v>5108 JP Equity</v>
      </c>
      <c r="C1202" t="str">
        <f>$C$79</f>
        <v>F0946</v>
      </c>
      <c r="D1202" t="str">
        <f>$D$79</f>
        <v>TOTAL_GHG_CO2_EMISSIONS</v>
      </c>
      <c r="E1202" t="str">
        <f>$E$79</f>
        <v>Dynamic</v>
      </c>
      <c r="F1202" t="str">
        <f ca="1">_xll.BDH($B$79,$C$79,$B$1130,$B$1131,CONCATENATE("Per=",$B$1128),"Dts=H","Dir=H",CONCATENATE("Points=",$B$1129),"Sort=R","Days=A","Fill=B",CONCATENATE("FX=", $B$1127),"cols=5;rows=1")</f>
        <v/>
      </c>
      <c r="G1202">
        <v>3.7839999999999998</v>
      </c>
      <c r="H1202">
        <v>3.4359000000000002</v>
      </c>
      <c r="I1202">
        <v>4.0913000000000004</v>
      </c>
      <c r="J1202">
        <v>4.2470999999999997</v>
      </c>
      <c r="K1202" t="str">
        <f>""</f>
        <v/>
      </c>
      <c r="L1202" t="str">
        <f>""</f>
        <v/>
      </c>
      <c r="M1202" t="str">
        <f>""</f>
        <v/>
      </c>
      <c r="N1202" t="str">
        <f>""</f>
        <v/>
      </c>
      <c r="O1202" t="str">
        <f>""</f>
        <v/>
      </c>
    </row>
    <row r="1203" spans="1:15" x14ac:dyDescent="0.25">
      <c r="A1203" t="str">
        <f>$A$80</f>
        <v xml:space="preserve">                    Cheng Shin Rubber Industry Co</v>
      </c>
      <c r="B1203" t="str">
        <f>$B$80</f>
        <v>2105 TT Equity</v>
      </c>
      <c r="C1203" t="str">
        <f>$C$80</f>
        <v>F0946</v>
      </c>
      <c r="D1203" t="str">
        <f>$D$80</f>
        <v>TOTAL_GHG_CO2_EMISSIONS</v>
      </c>
      <c r="E1203" t="str">
        <f>$E$80</f>
        <v>Dynamic</v>
      </c>
      <c r="F1203" t="str">
        <f ca="1">_xll.BDH($B$80,$C$80,$B$1130,$B$1131,CONCATENATE("Per=",$B$1128),"Dts=H","Dir=H",CONCATENATE("Points=",$B$1129),"Sort=R","Days=A","Fill=B",CONCATENATE("FX=", $B$1127) )</f>
        <v/>
      </c>
      <c r="K1203" t="str">
        <f>""</f>
        <v/>
      </c>
      <c r="L1203" t="str">
        <f>""</f>
        <v/>
      </c>
      <c r="M1203" t="str">
        <f>""</f>
        <v/>
      </c>
      <c r="N1203" t="str">
        <f>""</f>
        <v/>
      </c>
      <c r="O1203" t="str">
        <f>""</f>
        <v/>
      </c>
    </row>
    <row r="1204" spans="1:15" x14ac:dyDescent="0.25">
      <c r="A1204" t="str">
        <f>$A$81</f>
        <v xml:space="preserve">                    CIE Automotive SA</v>
      </c>
      <c r="B1204" t="str">
        <f>$B$81</f>
        <v>CIE SM Equity</v>
      </c>
      <c r="C1204" t="str">
        <f>$C$81</f>
        <v>F0946</v>
      </c>
      <c r="D1204" t="str">
        <f>$D$81</f>
        <v>TOTAL_GHG_CO2_EMISSIONS</v>
      </c>
      <c r="E1204" t="str">
        <f>$E$81</f>
        <v>Dynamic</v>
      </c>
      <c r="F1204">
        <f ca="1">_xll.BDH($B$81,$C$81,$B$1130,$B$1131,CONCATENATE("Per=",$B$1128),"Dts=H","Dir=H",CONCATENATE("Points=",$B$1129),"Sort=R","Days=A","Fill=B",CONCATENATE("FX=", $B$1127),"cols=5;rows=1")</f>
        <v>0.42530000000000001</v>
      </c>
      <c r="G1204">
        <v>0.64359999999999995</v>
      </c>
      <c r="H1204">
        <v>0.4153</v>
      </c>
      <c r="I1204">
        <v>0.45100000000000001</v>
      </c>
      <c r="J1204">
        <v>0.45889999999999997</v>
      </c>
      <c r="K1204" t="str">
        <f>""</f>
        <v/>
      </c>
      <c r="L1204" t="str">
        <f>""</f>
        <v/>
      </c>
      <c r="M1204" t="str">
        <f>""</f>
        <v/>
      </c>
      <c r="N1204" t="str">
        <f>""</f>
        <v/>
      </c>
      <c r="O1204" t="str">
        <f>""</f>
        <v/>
      </c>
    </row>
    <row r="1205" spans="1:15" x14ac:dyDescent="0.25">
      <c r="A1205" t="str">
        <f>$A$82</f>
        <v xml:space="preserve">                    Cie Plastic Omnium SA</v>
      </c>
      <c r="B1205" t="str">
        <f>$B$82</f>
        <v>POM FP Equity</v>
      </c>
      <c r="C1205" t="str">
        <f>$C$82</f>
        <v>F0946</v>
      </c>
      <c r="D1205" t="str">
        <f>$D$82</f>
        <v>TOTAL_GHG_CO2_EMISSIONS</v>
      </c>
      <c r="E1205" t="str">
        <f>$E$82</f>
        <v>Dynamic</v>
      </c>
      <c r="F1205">
        <f ca="1">_xll.BDH($B$82,$C$82,$B$1130,$B$1131,CONCATENATE("Per=",$B$1128),"Dts=H","Dir=H",CONCATENATE("Points=",$B$1129),"Sort=R","Days=A","Fill=B",CONCATENATE("FX=", $B$1127),"cols=5;rows=1")</f>
        <v>0.38100000000000001</v>
      </c>
      <c r="G1205">
        <v>0.37909999999999999</v>
      </c>
      <c r="H1205">
        <v>0.3548</v>
      </c>
      <c r="I1205">
        <v>0.44550000000000001</v>
      </c>
      <c r="J1205">
        <v>0.47689999999999999</v>
      </c>
      <c r="K1205" t="str">
        <f>""</f>
        <v/>
      </c>
      <c r="L1205" t="str">
        <f>""</f>
        <v/>
      </c>
      <c r="M1205" t="str">
        <f>""</f>
        <v/>
      </c>
      <c r="N1205" t="str">
        <f>""</f>
        <v/>
      </c>
      <c r="O1205" t="str">
        <f>""</f>
        <v/>
      </c>
    </row>
    <row r="1206" spans="1:15" x14ac:dyDescent="0.25">
      <c r="A1206" t="str">
        <f>$A$83</f>
        <v xml:space="preserve">                    Continental AG</v>
      </c>
      <c r="B1206" t="str">
        <f>$B$83</f>
        <v>CON GR Equity</v>
      </c>
      <c r="C1206" t="str">
        <f>$C$83</f>
        <v>F0946</v>
      </c>
      <c r="D1206" t="str">
        <f>$D$83</f>
        <v>TOTAL_GHG_CO2_EMISSIONS</v>
      </c>
      <c r="E1206" t="str">
        <f>$E$83</f>
        <v>Dynamic</v>
      </c>
      <c r="F1206" t="str">
        <f ca="1">_xll.BDH($B$83,$C$83,$B$1130,$B$1131,CONCATENATE("Per=",$B$1128),"Dts=H","Dir=H",CONCATENATE("Points=",$B$1129),"Sort=R","Days=A","Fill=B",CONCATENATE("FX=", $B$1127),"cols=5;rows=1")</f>
        <v/>
      </c>
      <c r="G1206">
        <v>2.9056000000000002</v>
      </c>
      <c r="H1206">
        <v>2.96</v>
      </c>
      <c r="I1206">
        <v>3.22</v>
      </c>
      <c r="J1206">
        <v>3.2206999999999999</v>
      </c>
      <c r="K1206" t="str">
        <f>""</f>
        <v/>
      </c>
      <c r="L1206" t="str">
        <f>""</f>
        <v/>
      </c>
      <c r="M1206" t="str">
        <f>""</f>
        <v/>
      </c>
      <c r="N1206" t="str">
        <f>""</f>
        <v/>
      </c>
      <c r="O1206" t="str">
        <f>""</f>
        <v/>
      </c>
    </row>
    <row r="1207" spans="1:15" x14ac:dyDescent="0.25">
      <c r="A1207" t="str">
        <f>$A$84</f>
        <v xml:space="preserve">                    Dana Inc</v>
      </c>
      <c r="B1207" t="str">
        <f>$B$84</f>
        <v>DAN US Equity</v>
      </c>
      <c r="C1207" t="str">
        <f>$C$84</f>
        <v>F0946</v>
      </c>
      <c r="D1207" t="str">
        <f>$D$84</f>
        <v>TOTAL_GHG_CO2_EMISSIONS</v>
      </c>
      <c r="E1207" t="str">
        <f>$E$84</f>
        <v>Dynamic</v>
      </c>
      <c r="F1207">
        <f ca="1">_xll.BDH($B$84,$C$84,$B$1130,$B$1131,CONCATENATE("Per=",$B$1128),"Dts=H","Dir=H",CONCATENATE("Points=",$B$1129),"Sort=R","Days=A","Fill=B",CONCATENATE("FX=", $B$1127),"cols=5;rows=1")</f>
        <v>0.49819999999999998</v>
      </c>
      <c r="G1207">
        <v>0.54659999999999997</v>
      </c>
      <c r="H1207">
        <v>0.52159999999999995</v>
      </c>
      <c r="I1207">
        <v>0.61780000000000002</v>
      </c>
      <c r="J1207">
        <v>0.54210000000000003</v>
      </c>
      <c r="K1207" t="str">
        <f>""</f>
        <v/>
      </c>
      <c r="L1207" t="str">
        <f>""</f>
        <v/>
      </c>
      <c r="M1207" t="str">
        <f>""</f>
        <v/>
      </c>
      <c r="N1207" t="str">
        <f>""</f>
        <v/>
      </c>
      <c r="O1207" t="str">
        <f>""</f>
        <v/>
      </c>
    </row>
    <row r="1208" spans="1:15" x14ac:dyDescent="0.25">
      <c r="A1208" t="str">
        <f>$A$85</f>
        <v xml:space="preserve">                    Denso Corp</v>
      </c>
      <c r="B1208" t="str">
        <f>$B$85</f>
        <v>6902 JP Equity</v>
      </c>
      <c r="C1208" t="str">
        <f>$C$85</f>
        <v>F0946</v>
      </c>
      <c r="D1208" t="str">
        <f>$D$85</f>
        <v>TOTAL_GHG_CO2_EMISSIONS</v>
      </c>
      <c r="E1208" t="str">
        <f>$E$85</f>
        <v>Dynamic</v>
      </c>
      <c r="F1208" t="str">
        <f ca="1">_xll.BDH($B$85,$C$85,$B$1130,$B$1131,CONCATENATE("Per=",$B$1128),"Dts=H","Dir=H",CONCATENATE("Points=",$B$1129),"Sort=R","Days=A","Fill=B",CONCATENATE("FX=", $B$1127),"cols=5;rows=1")</f>
        <v/>
      </c>
      <c r="G1208">
        <v>2.1046</v>
      </c>
      <c r="H1208">
        <v>1.784</v>
      </c>
      <c r="I1208">
        <v>1.73</v>
      </c>
      <c r="J1208">
        <v>1.66</v>
      </c>
      <c r="K1208" t="str">
        <f>""</f>
        <v/>
      </c>
      <c r="L1208" t="str">
        <f>""</f>
        <v/>
      </c>
      <c r="M1208" t="str">
        <f>""</f>
        <v/>
      </c>
      <c r="N1208" t="str">
        <f>""</f>
        <v/>
      </c>
      <c r="O1208" t="str">
        <f>""</f>
        <v/>
      </c>
    </row>
    <row r="1209" spans="1:15" x14ac:dyDescent="0.25">
      <c r="A1209" t="str">
        <f>$A$86</f>
        <v xml:space="preserve">                    Eaton Corp PLC</v>
      </c>
      <c r="B1209" t="str">
        <f>$B$86</f>
        <v>ETN US Equity</v>
      </c>
      <c r="C1209" t="str">
        <f>$C$86</f>
        <v>F0946</v>
      </c>
      <c r="D1209" t="str">
        <f>$D$86</f>
        <v>TOTAL_GHG_CO2_EMISSIONS</v>
      </c>
      <c r="E1209" t="str">
        <f>$E$86</f>
        <v>Dynamic</v>
      </c>
      <c r="F1209" t="str">
        <f ca="1">_xll.BDH($B$86,$C$86,$B$1130,$B$1131,CONCATENATE("Per=",$B$1128),"Dts=H","Dir=H",CONCATENATE("Points=",$B$1129),"Sort=R","Days=A","Fill=B",CONCATENATE("FX=", $B$1127),"cols=5;rows=1")</f>
        <v/>
      </c>
      <c r="G1209">
        <v>0.82989999999999997</v>
      </c>
      <c r="H1209">
        <v>0.97409999999999997</v>
      </c>
      <c r="I1209">
        <v>1.1204000000000001</v>
      </c>
      <c r="J1209">
        <v>1.1789000000000001</v>
      </c>
      <c r="K1209" t="str">
        <f>""</f>
        <v/>
      </c>
      <c r="L1209" t="str">
        <f>""</f>
        <v/>
      </c>
      <c r="M1209" t="str">
        <f>""</f>
        <v/>
      </c>
      <c r="N1209" t="str">
        <f>""</f>
        <v/>
      </c>
      <c r="O1209" t="str">
        <f>""</f>
        <v/>
      </c>
    </row>
    <row r="1210" spans="1:15" x14ac:dyDescent="0.25">
      <c r="A1210" t="str">
        <f>$A$87</f>
        <v xml:space="preserve">                    Exedy Corp</v>
      </c>
      <c r="B1210" t="str">
        <f>$B$87</f>
        <v>7278 JP Equity</v>
      </c>
      <c r="C1210" t="str">
        <f>$C$87</f>
        <v>F0946</v>
      </c>
      <c r="D1210" t="str">
        <f>$D$87</f>
        <v>TOTAL_GHG_CO2_EMISSIONS</v>
      </c>
      <c r="E1210" t="str">
        <f>$E$87</f>
        <v>Dynamic</v>
      </c>
      <c r="F1210" t="str">
        <f ca="1">_xll.BDH($B$87,$C$87,$B$1130,$B$1131,CONCATENATE("Per=",$B$1128),"Dts=H","Dir=H",CONCATENATE("Points=",$B$1129),"Sort=R","Days=A","Fill=B",CONCATENATE("FX=", $B$1127),"cols=5;rows=1")</f>
        <v/>
      </c>
      <c r="G1210">
        <v>0.21840000000000001</v>
      </c>
      <c r="H1210">
        <v>0.21870000000000001</v>
      </c>
      <c r="I1210">
        <v>0.25259999999999999</v>
      </c>
      <c r="J1210">
        <v>0.27650000000000002</v>
      </c>
      <c r="K1210" t="str">
        <f>""</f>
        <v/>
      </c>
      <c r="L1210" t="str">
        <f>""</f>
        <v/>
      </c>
      <c r="M1210" t="str">
        <f>""</f>
        <v/>
      </c>
      <c r="N1210" t="str">
        <f>""</f>
        <v/>
      </c>
      <c r="O1210" t="str">
        <f>""</f>
        <v/>
      </c>
    </row>
    <row r="1211" spans="1:15" x14ac:dyDescent="0.25">
      <c r="A1211" t="str">
        <f>$A$88</f>
        <v xml:space="preserve">                    Eberspaecher Climate Control S</v>
      </c>
      <c r="B1211" t="str">
        <f>$B$88</f>
        <v>3577080Z GR Equity</v>
      </c>
      <c r="C1211" t="str">
        <f>$C$88</f>
        <v>F0946</v>
      </c>
      <c r="D1211" t="str">
        <f>$D$88</f>
        <v>TOTAL_GHG_CO2_EMISSIONS</v>
      </c>
      <c r="E1211" t="str">
        <f>$E$88</f>
        <v>Dynamic</v>
      </c>
      <c r="F1211" t="str">
        <f ca="1">_xll.BDH($B$88,$C$88,$B$1130,$B$1131,CONCATENATE("Per=",$B$1128),"Dts=H","Dir=H",CONCATENATE("Points=",$B$1129),"Sort=R","Days=A","Fill=B",CONCATENATE("FX=", $B$1127) )</f>
        <v/>
      </c>
      <c r="K1211" t="str">
        <f>""</f>
        <v/>
      </c>
      <c r="L1211" t="str">
        <f>""</f>
        <v/>
      </c>
      <c r="M1211" t="str">
        <f>""</f>
        <v/>
      </c>
      <c r="N1211" t="str">
        <f>""</f>
        <v/>
      </c>
      <c r="O1211" t="str">
        <f>""</f>
        <v/>
      </c>
    </row>
    <row r="1212" spans="1:15" x14ac:dyDescent="0.25">
      <c r="A1212" t="str">
        <f>$A$89</f>
        <v xml:space="preserve">                    F-Tech Inc</v>
      </c>
      <c r="B1212" t="str">
        <f>$B$89</f>
        <v>7212 JP Equity</v>
      </c>
      <c r="C1212" t="str">
        <f>$C$89</f>
        <v>F0946</v>
      </c>
      <c r="D1212" t="str">
        <f>$D$89</f>
        <v>TOTAL_GHG_CO2_EMISSIONS</v>
      </c>
      <c r="E1212" t="str">
        <f>$E$89</f>
        <v>Dynamic</v>
      </c>
      <c r="F1212" t="str">
        <f ca="1">_xll.BDH($B$89,$C$89,$B$1130,$B$1131,CONCATENATE("Per=",$B$1128),"Dts=H","Dir=H",CONCATENATE("Points=",$B$1129),"Sort=R","Days=A","Fill=B",CONCATENATE("FX=", $B$1127),"cols=5;rows=1")</f>
        <v/>
      </c>
      <c r="G1212">
        <v>9.2399999999999996E-2</v>
      </c>
      <c r="H1212">
        <v>9.11E-2</v>
      </c>
      <c r="I1212">
        <v>0.11650000000000001</v>
      </c>
      <c r="J1212">
        <v>0.13059999999999999</v>
      </c>
      <c r="K1212" t="str">
        <f>""</f>
        <v/>
      </c>
      <c r="L1212" t="str">
        <f>""</f>
        <v/>
      </c>
      <c r="M1212" t="str">
        <f>""</f>
        <v/>
      </c>
      <c r="N1212" t="str">
        <f>""</f>
        <v/>
      </c>
      <c r="O1212" t="str">
        <f>""</f>
        <v/>
      </c>
    </row>
    <row r="1213" spans="1:15" x14ac:dyDescent="0.25">
      <c r="A1213" t="str">
        <f>$A$90</f>
        <v xml:space="preserve">                    Fuyao Glass Industry Group Co</v>
      </c>
      <c r="B1213" t="str">
        <f>$B$90</f>
        <v>600660 CH Equity</v>
      </c>
      <c r="C1213" t="str">
        <f>$C$90</f>
        <v>F0946</v>
      </c>
      <c r="D1213" t="str">
        <f>$D$90</f>
        <v>TOTAL_GHG_CO2_EMISSIONS</v>
      </c>
      <c r="E1213" t="str">
        <f>$E$90</f>
        <v>Dynamic</v>
      </c>
      <c r="F1213">
        <f ca="1">_xll.BDH($B$90,$C$90,$B$1130,$B$1131,CONCATENATE("Per=",$B$1128),"Dts=H","Dir=H",CONCATENATE("Points=",$B$1129),"Sort=R","Days=A","Fill=B",CONCATENATE("FX=", $B$1127),"cols=5;rows=1")</f>
        <v>1.8849</v>
      </c>
      <c r="G1213">
        <v>1.8327</v>
      </c>
      <c r="H1213">
        <v>1.6489</v>
      </c>
      <c r="I1213">
        <v>1.9398</v>
      </c>
      <c r="J1213">
        <v>1.7601</v>
      </c>
      <c r="K1213" t="str">
        <f>""</f>
        <v/>
      </c>
      <c r="L1213" t="str">
        <f>""</f>
        <v/>
      </c>
      <c r="M1213" t="str">
        <f>""</f>
        <v/>
      </c>
      <c r="N1213" t="str">
        <f>""</f>
        <v/>
      </c>
      <c r="O1213" t="str">
        <f>""</f>
        <v/>
      </c>
    </row>
    <row r="1214" spans="1:15" x14ac:dyDescent="0.25">
      <c r="A1214" t="str">
        <f>$A$91</f>
        <v xml:space="preserve">                    Faurecia SE</v>
      </c>
      <c r="B1214" t="str">
        <f>$B$91</f>
        <v>EO FP Equity</v>
      </c>
      <c r="C1214" t="str">
        <f>$C$91</f>
        <v>F0946</v>
      </c>
      <c r="D1214" t="str">
        <f>$D$91</f>
        <v>TOTAL_GHG_CO2_EMISSIONS</v>
      </c>
      <c r="E1214" t="str">
        <f>$E$91</f>
        <v>Dynamic</v>
      </c>
      <c r="F1214">
        <f ca="1">_xll.BDH($B$91,$C$91,$B$1130,$B$1131,CONCATENATE("Per=",$B$1128),"Dts=H","Dir=H",CONCATENATE("Points=",$B$1129),"Sort=R","Days=A","Fill=B",CONCATENATE("FX=", $B$1127),"cols=5;rows=1")</f>
        <v>0.59899999999999998</v>
      </c>
      <c r="G1214">
        <v>0.72199999999999998</v>
      </c>
      <c r="H1214">
        <v>0.79600000000000004</v>
      </c>
      <c r="I1214">
        <v>0.93</v>
      </c>
      <c r="J1214">
        <v>0.72309999999999997</v>
      </c>
      <c r="K1214" t="str">
        <f>""</f>
        <v/>
      </c>
      <c r="L1214" t="str">
        <f>""</f>
        <v/>
      </c>
      <c r="M1214" t="str">
        <f>""</f>
        <v/>
      </c>
      <c r="N1214" t="str">
        <f>""</f>
        <v/>
      </c>
      <c r="O1214" t="str">
        <f>""</f>
        <v/>
      </c>
    </row>
    <row r="1215" spans="1:15" x14ac:dyDescent="0.25">
      <c r="A1215" t="str">
        <f>$A$92</f>
        <v xml:space="preserve">                    Gajah Tunggal Tbk PT</v>
      </c>
      <c r="B1215" t="str">
        <f>$B$92</f>
        <v>GJTL IJ Equity</v>
      </c>
      <c r="C1215" t="str">
        <f>$C$92</f>
        <v>F0946</v>
      </c>
      <c r="D1215" t="str">
        <f>$D$92</f>
        <v>TOTAL_GHG_CO2_EMISSIONS</v>
      </c>
      <c r="E1215" t="str">
        <f>$E$92</f>
        <v>Dynamic</v>
      </c>
      <c r="F1215" t="str">
        <f ca="1">_xll.BDH($B$92,$C$92,$B$1130,$B$1131,CONCATENATE("Per=",$B$1128),"Dts=H","Dir=H",CONCATENATE("Points=",$B$1129),"Sort=R","Days=A","Fill=B",CONCATENATE("FX=", $B$1127) )</f>
        <v/>
      </c>
      <c r="K1215" t="str">
        <f>""</f>
        <v/>
      </c>
      <c r="L1215" t="str">
        <f>""</f>
        <v/>
      </c>
      <c r="M1215" t="str">
        <f>""</f>
        <v/>
      </c>
      <c r="N1215" t="str">
        <f>""</f>
        <v/>
      </c>
      <c r="O1215" t="str">
        <f>""</f>
        <v/>
      </c>
    </row>
    <row r="1216" spans="1:15" x14ac:dyDescent="0.25">
      <c r="A1216" t="str">
        <f>$A$93</f>
        <v xml:space="preserve">                    Gentex Corp</v>
      </c>
      <c r="B1216" t="str">
        <f>$B$93</f>
        <v>GNTX US Equity</v>
      </c>
      <c r="C1216" t="str">
        <f>$C$93</f>
        <v>F0946</v>
      </c>
      <c r="D1216" t="str">
        <f>$D$93</f>
        <v>TOTAL_GHG_CO2_EMISSIONS</v>
      </c>
      <c r="E1216" t="str">
        <f>$E$93</f>
        <v>Dynamic</v>
      </c>
      <c r="F1216">
        <f ca="1">_xll.BDH($B$93,$C$93,$B$1130,$B$1131,CONCATENATE("Per=",$B$1128),"Dts=H","Dir=H",CONCATENATE("Points=",$B$1129),"Sort=R","Days=A","Fill=B",CONCATENATE("FX=", $B$1127),"cols=5;rows=1")</f>
        <v>0.10299999999999999</v>
      </c>
      <c r="G1216">
        <v>0.1091</v>
      </c>
      <c r="H1216">
        <v>0.10879999999999999</v>
      </c>
      <c r="I1216">
        <v>0.1111</v>
      </c>
      <c r="J1216">
        <v>0.1056</v>
      </c>
      <c r="K1216" t="str">
        <f>""</f>
        <v/>
      </c>
      <c r="L1216" t="str">
        <f>""</f>
        <v/>
      </c>
      <c r="M1216" t="str">
        <f>""</f>
        <v/>
      </c>
      <c r="N1216" t="str">
        <f>""</f>
        <v/>
      </c>
      <c r="O1216" t="str">
        <f>""</f>
        <v/>
      </c>
    </row>
    <row r="1217" spans="1:15" x14ac:dyDescent="0.25">
      <c r="A1217" t="str">
        <f>$A$94</f>
        <v xml:space="preserve">                    Georg Fischer AG</v>
      </c>
      <c r="B1217" t="str">
        <f>$B$94</f>
        <v>GF SW Equity</v>
      </c>
      <c r="C1217" t="str">
        <f>$C$94</f>
        <v>F0946</v>
      </c>
      <c r="D1217" t="str">
        <f>$D$94</f>
        <v>TOTAL_GHG_CO2_EMISSIONS</v>
      </c>
      <c r="E1217" t="str">
        <f>$E$94</f>
        <v>Dynamic</v>
      </c>
      <c r="F1217">
        <f ca="1">_xll.BDH($B$94,$C$94,$B$1130,$B$1131,CONCATENATE("Per=",$B$1128),"Dts=H","Dir=H",CONCATENATE("Points=",$B$1129),"Sort=R","Days=A","Fill=B",CONCATENATE("FX=", $B$1127),"cols=5;rows=1")</f>
        <v>0.35399999999999998</v>
      </c>
      <c r="G1217">
        <v>0.377</v>
      </c>
      <c r="H1217">
        <v>0.36499999999999999</v>
      </c>
      <c r="I1217">
        <v>0.41</v>
      </c>
      <c r="J1217">
        <v>0.624</v>
      </c>
      <c r="K1217" t="str">
        <f>""</f>
        <v/>
      </c>
      <c r="L1217" t="str">
        <f>""</f>
        <v/>
      </c>
      <c r="M1217" t="str">
        <f>""</f>
        <v/>
      </c>
      <c r="N1217" t="str">
        <f>""</f>
        <v/>
      </c>
      <c r="O1217" t="str">
        <f>""</f>
        <v/>
      </c>
    </row>
    <row r="1218" spans="1:15" x14ac:dyDescent="0.25">
      <c r="A1218" t="str">
        <f>$A$95</f>
        <v xml:space="preserve">                    Guizhou Tyre Co Ltd</v>
      </c>
      <c r="B1218" t="str">
        <f>$B$95</f>
        <v>000589 CH Equity</v>
      </c>
      <c r="C1218" t="str">
        <f>$C$95</f>
        <v>F0946</v>
      </c>
      <c r="D1218" t="str">
        <f>$D$95</f>
        <v>TOTAL_GHG_CO2_EMISSIONS</v>
      </c>
      <c r="E1218" t="str">
        <f>$E$95</f>
        <v>Dynamic</v>
      </c>
      <c r="F1218" t="str">
        <f ca="1">_xll.BDH($B$95,$C$95,$B$1130,$B$1131,CONCATENATE("Per=",$B$1128),"Dts=H","Dir=H",CONCATENATE("Points=",$B$1129),"Sort=R","Days=A","Fill=B",CONCATENATE("FX=", $B$1127) )</f>
        <v/>
      </c>
      <c r="K1218" t="str">
        <f>""</f>
        <v/>
      </c>
      <c r="L1218" t="str">
        <f>""</f>
        <v/>
      </c>
      <c r="M1218" t="str">
        <f>""</f>
        <v/>
      </c>
      <c r="N1218" t="str">
        <f>""</f>
        <v/>
      </c>
      <c r="O1218" t="str">
        <f>""</f>
        <v/>
      </c>
    </row>
    <row r="1219" spans="1:15" x14ac:dyDescent="0.25">
      <c r="A1219" t="str">
        <f>$A$96</f>
        <v xml:space="preserve">                    Hella GmbH &amp; Co KGaA</v>
      </c>
      <c r="B1219" t="str">
        <f>$B$96</f>
        <v>HLE GR Equity</v>
      </c>
      <c r="C1219" t="str">
        <f>$C$96</f>
        <v>F0946</v>
      </c>
      <c r="D1219" t="str">
        <f>$D$96</f>
        <v>TOTAL_GHG_CO2_EMISSIONS</v>
      </c>
      <c r="E1219" t="str">
        <f>$E$96</f>
        <v>Dynamic</v>
      </c>
      <c r="F1219" t="str">
        <f ca="1">_xll.BDH($B$96,$C$96,$B$1130,$B$1131,CONCATENATE("Per=",$B$1128),"Dts=H","Dir=H",CONCATENATE("Points=",$B$1129),"Sort=R","Days=A","Fill=B",CONCATENATE("FX=", $B$1127),"cols=5;rows=1")</f>
        <v/>
      </c>
      <c r="G1219">
        <v>0.20399999999999999</v>
      </c>
      <c r="H1219">
        <v>0.2225</v>
      </c>
      <c r="I1219">
        <v>0.25769999999999998</v>
      </c>
      <c r="K1219" t="str">
        <f>""</f>
        <v/>
      </c>
      <c r="L1219" t="str">
        <f>""</f>
        <v/>
      </c>
      <c r="M1219" t="str">
        <f>""</f>
        <v/>
      </c>
      <c r="N1219" t="str">
        <f>""</f>
        <v/>
      </c>
      <c r="O1219" t="str">
        <f>""</f>
        <v/>
      </c>
    </row>
    <row r="1220" spans="1:15" x14ac:dyDescent="0.25">
      <c r="A1220" t="str">
        <f>$A$97</f>
        <v xml:space="preserve">                    Hitachi Ltd</v>
      </c>
      <c r="B1220" t="str">
        <f>$B$97</f>
        <v>6501 JP Equity</v>
      </c>
      <c r="C1220" t="str">
        <f>$C$97</f>
        <v>F0946</v>
      </c>
      <c r="D1220" t="str">
        <f>$D$97</f>
        <v>TOTAL_GHG_CO2_EMISSIONS</v>
      </c>
      <c r="E1220" t="str">
        <f>$E$97</f>
        <v>Dynamic</v>
      </c>
      <c r="F1220" t="str">
        <f ca="1">_xll.BDH($B$97,$C$97,$B$1130,$B$1131,CONCATENATE("Per=",$B$1128),"Dts=H","Dir=H",CONCATENATE("Points=",$B$1129),"Sort=R","Days=A","Fill=B",CONCATENATE("FX=", $B$1127),"cols=5;rows=1")</f>
        <v/>
      </c>
      <c r="G1220">
        <v>3.41</v>
      </c>
      <c r="H1220">
        <v>3.6107</v>
      </c>
      <c r="I1220">
        <v>4.6920000000000002</v>
      </c>
      <c r="J1220">
        <v>4.47</v>
      </c>
      <c r="K1220" t="str">
        <f>""</f>
        <v/>
      </c>
      <c r="L1220" t="str">
        <f>""</f>
        <v/>
      </c>
      <c r="M1220" t="str">
        <f>""</f>
        <v/>
      </c>
      <c r="N1220" t="str">
        <f>""</f>
        <v/>
      </c>
      <c r="O1220" t="str">
        <f>""</f>
        <v/>
      </c>
    </row>
    <row r="1221" spans="1:15" x14ac:dyDescent="0.25">
      <c r="A1221" t="str">
        <f>$A$98</f>
        <v xml:space="preserve">                    HL Holdings Corp</v>
      </c>
      <c r="B1221" t="str">
        <f>$B$98</f>
        <v>060980 KS Equity</v>
      </c>
      <c r="C1221" t="str">
        <f>$C$98</f>
        <v>F0946</v>
      </c>
      <c r="D1221" t="str">
        <f>$D$98</f>
        <v>TOTAL_GHG_CO2_EMISSIONS</v>
      </c>
      <c r="E1221" t="str">
        <f>$E$98</f>
        <v>Dynamic</v>
      </c>
      <c r="F1221" t="str">
        <f ca="1">_xll.BDH($B$98,$C$98,$B$1130,$B$1131,CONCATENATE("Per=",$B$1128),"Dts=H","Dir=H",CONCATENATE("Points=",$B$1129),"Sort=R","Days=A","Fill=B",CONCATENATE("FX=", $B$1127) )</f>
        <v/>
      </c>
      <c r="K1221" t="str">
        <f>""</f>
        <v/>
      </c>
      <c r="L1221" t="str">
        <f>""</f>
        <v/>
      </c>
      <c r="M1221" t="str">
        <f>""</f>
        <v/>
      </c>
      <c r="N1221" t="str">
        <f>""</f>
        <v/>
      </c>
      <c r="O1221" t="str">
        <f>""</f>
        <v/>
      </c>
    </row>
    <row r="1222" spans="1:15" x14ac:dyDescent="0.25">
      <c r="A1222" t="str">
        <f>$A$99</f>
        <v xml:space="preserve">                    Hyundai Mobis Co Ltd</v>
      </c>
      <c r="B1222" t="str">
        <f>$B$99</f>
        <v>012330 KS Equity</v>
      </c>
      <c r="C1222" t="str">
        <f>$C$99</f>
        <v>F0946</v>
      </c>
      <c r="D1222" t="str">
        <f>$D$99</f>
        <v>TOTAL_GHG_CO2_EMISSIONS</v>
      </c>
      <c r="E1222" t="str">
        <f>$E$99</f>
        <v>Dynamic</v>
      </c>
      <c r="F1222">
        <f ca="1">_xll.BDH($B$99,$C$99,$B$1130,$B$1131,CONCATENATE("Per=",$B$1128),"Dts=H","Dir=H",CONCATENATE("Points=",$B$1129),"Sort=R","Days=A","Fill=B",CONCATENATE("FX=", $B$1127),"cols=5;rows=1")</f>
        <v>0.28939999999999999</v>
      </c>
      <c r="G1222">
        <v>0.35630000000000001</v>
      </c>
      <c r="H1222">
        <v>0.38740000000000002</v>
      </c>
      <c r="I1222">
        <v>0.37759999999999999</v>
      </c>
      <c r="J1222">
        <v>0.37030000000000002</v>
      </c>
      <c r="K1222" t="str">
        <f>""</f>
        <v/>
      </c>
      <c r="L1222" t="str">
        <f>""</f>
        <v/>
      </c>
      <c r="M1222" t="str">
        <f>""</f>
        <v/>
      </c>
      <c r="N1222" t="str">
        <f>""</f>
        <v/>
      </c>
      <c r="O1222" t="str">
        <f>""</f>
        <v/>
      </c>
    </row>
    <row r="1223" spans="1:15" x14ac:dyDescent="0.25">
      <c r="A1223" t="str">
        <f>$A$100</f>
        <v xml:space="preserve">                    Hyundai Wia Corp</v>
      </c>
      <c r="B1223" t="str">
        <f>$B$100</f>
        <v>011210 KS Equity</v>
      </c>
      <c r="C1223" t="str">
        <f>$C$100</f>
        <v>F0946</v>
      </c>
      <c r="D1223" t="str">
        <f>$D$100</f>
        <v>TOTAL_GHG_CO2_EMISSIONS</v>
      </c>
      <c r="E1223" t="str">
        <f>$E$100</f>
        <v>Dynamic</v>
      </c>
      <c r="F1223" t="str">
        <f ca="1">_xll.BDH($B$100,$C$100,$B$1130,$B$1131,CONCATENATE("Per=",$B$1128),"Dts=H","Dir=H",CONCATENATE("Points=",$B$1129),"Sort=R","Days=A","Fill=B",CONCATENATE("FX=", $B$1127),"cols=5;rows=1")</f>
        <v/>
      </c>
      <c r="G1223">
        <v>0.35339999999999999</v>
      </c>
      <c r="H1223">
        <v>0.17019999999999999</v>
      </c>
      <c r="I1223">
        <v>0.2011</v>
      </c>
      <c r="J1223">
        <v>0.2215</v>
      </c>
      <c r="K1223" t="str">
        <f>""</f>
        <v/>
      </c>
      <c r="L1223" t="str">
        <f>""</f>
        <v/>
      </c>
      <c r="M1223" t="str">
        <f>""</f>
        <v/>
      </c>
      <c r="N1223" t="str">
        <f>""</f>
        <v/>
      </c>
      <c r="O1223" t="str">
        <f>""</f>
        <v/>
      </c>
    </row>
    <row r="1224" spans="1:15" x14ac:dyDescent="0.25">
      <c r="A1224" t="str">
        <f>$A$101</f>
        <v xml:space="preserve">                    Hankook Tire &amp; Technology Co L</v>
      </c>
      <c r="B1224" t="str">
        <f>$B$101</f>
        <v>161390 KS Equity</v>
      </c>
      <c r="C1224" t="str">
        <f>$C$101</f>
        <v>F0946</v>
      </c>
      <c r="D1224" t="str">
        <f>$D$101</f>
        <v>TOTAL_GHG_CO2_EMISSIONS</v>
      </c>
      <c r="E1224" t="str">
        <f>$E$101</f>
        <v>Dynamic</v>
      </c>
      <c r="F1224" t="str">
        <f ca="1">_xll.BDH($B$101,$C$101,$B$1130,$B$1131,CONCATENATE("Per=",$B$1128),"Dts=H","Dir=H",CONCATENATE("Points=",$B$1129),"Sort=R","Days=A","Fill=B",CONCATENATE("FX=", $B$1127),"cols=5;rows=1")</f>
        <v/>
      </c>
      <c r="G1224">
        <v>1.1087</v>
      </c>
      <c r="H1224">
        <v>1.1369</v>
      </c>
      <c r="I1224">
        <v>1.2199</v>
      </c>
      <c r="J1224">
        <v>1.2834000000000001</v>
      </c>
      <c r="K1224" t="str">
        <f>""</f>
        <v/>
      </c>
      <c r="L1224" t="str">
        <f>""</f>
        <v/>
      </c>
      <c r="M1224" t="str">
        <f>""</f>
        <v/>
      </c>
      <c r="N1224" t="str">
        <f>""</f>
        <v/>
      </c>
      <c r="O1224" t="str">
        <f>""</f>
        <v/>
      </c>
    </row>
    <row r="1225" spans="1:15" x14ac:dyDescent="0.25">
      <c r="A1225" t="str">
        <f>$A$102</f>
        <v xml:space="preserve">                    Honeywell International Inc</v>
      </c>
      <c r="B1225" t="str">
        <f>$B$102</f>
        <v>HON US Equity</v>
      </c>
      <c r="C1225" t="str">
        <f>$C$102</f>
        <v>F0946</v>
      </c>
      <c r="D1225" t="str">
        <f>$D$102</f>
        <v>TOTAL_GHG_CO2_EMISSIONS</v>
      </c>
      <c r="E1225" t="str">
        <f>$E$102</f>
        <v>Dynamic</v>
      </c>
      <c r="F1225" t="str">
        <f ca="1">_xll.BDH($B$102,$C$102,$B$1130,$B$1131,CONCATENATE("Per=",$B$1128),"Dts=H","Dir=H",CONCATENATE("Points=",$B$1129),"Sort=R","Days=A","Fill=B",CONCATENATE("FX=", $B$1127),"cols=5;rows=1")</f>
        <v/>
      </c>
      <c r="G1225">
        <v>2.0179999999999998</v>
      </c>
      <c r="H1225">
        <v>2.2483</v>
      </c>
      <c r="I1225">
        <v>2.0426000000000002</v>
      </c>
      <c r="J1225">
        <v>2.528</v>
      </c>
      <c r="K1225" t="str">
        <f>""</f>
        <v/>
      </c>
      <c r="L1225" t="str">
        <f>""</f>
        <v/>
      </c>
      <c r="M1225" t="str">
        <f>""</f>
        <v/>
      </c>
      <c r="N1225" t="str">
        <f>""</f>
        <v/>
      </c>
      <c r="O1225" t="str">
        <f>""</f>
        <v/>
      </c>
    </row>
    <row r="1226" spans="1:15" x14ac:dyDescent="0.25">
      <c r="A1226" t="str">
        <f>$A$103</f>
        <v xml:space="preserve">                    IHO Holding GmbH &amp; Co KG</v>
      </c>
      <c r="B1226" t="str">
        <f>$B$103</f>
        <v>668130Z GR Equity</v>
      </c>
      <c r="C1226" t="str">
        <f>$C$103</f>
        <v>F0946</v>
      </c>
      <c r="D1226" t="str">
        <f>$D$103</f>
        <v>TOTAL_GHG_CO2_EMISSIONS</v>
      </c>
      <c r="E1226" t="str">
        <f>$E$103</f>
        <v>Dynamic</v>
      </c>
      <c r="F1226" t="str">
        <f ca="1">_xll.BDH($B$103,$C$103,$B$1130,$B$1131,CONCATENATE("Per=",$B$1128),"Dts=H","Dir=H",CONCATENATE("Points=",$B$1129),"Sort=R","Days=A","Fill=B",CONCATENATE("FX=", $B$1127) )</f>
        <v/>
      </c>
      <c r="K1226" t="str">
        <f>""</f>
        <v/>
      </c>
      <c r="L1226" t="str">
        <f>""</f>
        <v/>
      </c>
      <c r="M1226" t="str">
        <f>""</f>
        <v/>
      </c>
      <c r="N1226" t="str">
        <f>""</f>
        <v/>
      </c>
      <c r="O1226" t="str">
        <f>""</f>
        <v/>
      </c>
    </row>
    <row r="1227" spans="1:15" x14ac:dyDescent="0.25">
      <c r="A1227" t="str">
        <f>$A$104</f>
        <v xml:space="preserve">                    Iochpe Maxion SA</v>
      </c>
      <c r="B1227" t="str">
        <f>$B$104</f>
        <v>MYPK3 BZ Equity</v>
      </c>
      <c r="C1227" t="str">
        <f>$C$104</f>
        <v>F0946</v>
      </c>
      <c r="D1227" t="str">
        <f>$D$104</f>
        <v>TOTAL_GHG_CO2_EMISSIONS</v>
      </c>
      <c r="E1227" t="str">
        <f>$E$104</f>
        <v>Dynamic</v>
      </c>
      <c r="F1227" t="str">
        <f ca="1">_xll.BDH($B$104,$C$104,$B$1130,$B$1131,CONCATENATE("Per=",$B$1128),"Dts=H","Dir=H",CONCATENATE("Points=",$B$1129),"Sort=R","Days=A","Fill=B",CONCATENATE("FX=", $B$1127),"cols=5;rows=1")</f>
        <v/>
      </c>
      <c r="G1227">
        <v>0.40400000000000003</v>
      </c>
      <c r="K1227" t="str">
        <f>""</f>
        <v/>
      </c>
      <c r="L1227" t="str">
        <f>""</f>
        <v/>
      </c>
      <c r="M1227" t="str">
        <f>""</f>
        <v/>
      </c>
      <c r="N1227" t="str">
        <f>""</f>
        <v/>
      </c>
      <c r="O1227" t="str">
        <f>""</f>
        <v/>
      </c>
    </row>
    <row r="1228" spans="1:15" x14ac:dyDescent="0.25">
      <c r="A1228" t="str">
        <f>$A$105</f>
        <v xml:space="preserve">                    JK Tyre &amp; Industries Ltd</v>
      </c>
      <c r="B1228" t="str">
        <f>$B$105</f>
        <v>JKI IN Equity</v>
      </c>
      <c r="C1228" t="str">
        <f>$C$105</f>
        <v>F0946</v>
      </c>
      <c r="D1228" t="str">
        <f>$D$105</f>
        <v>TOTAL_GHG_CO2_EMISSIONS</v>
      </c>
      <c r="E1228" t="str">
        <f>$E$105</f>
        <v>Dynamic</v>
      </c>
      <c r="F1228" t="str">
        <f ca="1">_xll.BDH($B$105,$C$105,$B$1130,$B$1131,CONCATENATE("Per=",$B$1128),"Dts=H","Dir=H",CONCATENATE("Points=",$B$1129),"Sort=R","Days=A","Fill=B",CONCATENATE("FX=", $B$1127),"cols=5;rows=1")</f>
        <v/>
      </c>
      <c r="G1228">
        <v>0.24909999999999999</v>
      </c>
      <c r="H1228">
        <v>0.41060000000000002</v>
      </c>
      <c r="I1228">
        <v>0.247</v>
      </c>
      <c r="J1228">
        <v>0.32179999999999997</v>
      </c>
      <c r="K1228" t="str">
        <f>""</f>
        <v/>
      </c>
      <c r="L1228" t="str">
        <f>""</f>
        <v/>
      </c>
      <c r="M1228" t="str">
        <f>""</f>
        <v/>
      </c>
      <c r="N1228" t="str">
        <f>""</f>
        <v/>
      </c>
      <c r="O1228" t="str">
        <f>""</f>
        <v/>
      </c>
    </row>
    <row r="1229" spans="1:15" x14ac:dyDescent="0.25">
      <c r="A1229" t="str">
        <f>$A$106</f>
        <v xml:space="preserve">                    JTEKT Corp</v>
      </c>
      <c r="B1229" t="str">
        <f>$B$106</f>
        <v>6473 JP Equity</v>
      </c>
      <c r="C1229" t="str">
        <f>$C$106</f>
        <v>F0946</v>
      </c>
      <c r="D1229" t="str">
        <f>$D$106</f>
        <v>TOTAL_GHG_CO2_EMISSIONS</v>
      </c>
      <c r="E1229" t="str">
        <f>$E$106</f>
        <v>Dynamic</v>
      </c>
      <c r="F1229" t="str">
        <f ca="1">_xll.BDH($B$106,$C$106,$B$1130,$B$1131,CONCATENATE("Per=",$B$1128),"Dts=H","Dir=H",CONCATENATE("Points=",$B$1129),"Sort=R","Days=A","Fill=B",CONCATENATE("FX=", $B$1127),"cols=5;rows=1")</f>
        <v/>
      </c>
      <c r="G1229">
        <v>0.621</v>
      </c>
      <c r="H1229">
        <v>0.68200000000000005</v>
      </c>
      <c r="I1229">
        <v>0.755</v>
      </c>
      <c r="J1229">
        <v>0.80700000000000005</v>
      </c>
      <c r="K1229" t="str">
        <f>""</f>
        <v/>
      </c>
      <c r="L1229" t="str">
        <f>""</f>
        <v/>
      </c>
      <c r="M1229" t="str">
        <f>""</f>
        <v/>
      </c>
      <c r="N1229" t="str">
        <f>""</f>
        <v/>
      </c>
      <c r="O1229" t="str">
        <f>""</f>
        <v/>
      </c>
    </row>
    <row r="1230" spans="1:15" x14ac:dyDescent="0.25">
      <c r="A1230" t="str">
        <f>$A$107</f>
        <v xml:space="preserve">                    Kumho Tire Co Inc</v>
      </c>
      <c r="B1230" t="str">
        <f>$B$107</f>
        <v>073240 KS Equity</v>
      </c>
      <c r="C1230" t="str">
        <f>$C$107</f>
        <v>F0946</v>
      </c>
      <c r="D1230" t="str">
        <f>$D$107</f>
        <v>TOTAL_GHG_CO2_EMISSIONS</v>
      </c>
      <c r="E1230" t="str">
        <f>$E$107</f>
        <v>Dynamic</v>
      </c>
      <c r="F1230" t="str">
        <f ca="1">_xll.BDH($B$107,$C$107,$B$1130,$B$1131,CONCATENATE("Per=",$B$1128),"Dts=H","Dir=H",CONCATENATE("Points=",$B$1129),"Sort=R","Days=A","Fill=B",CONCATENATE("FX=", $B$1127),"cols=5;rows=1")</f>
        <v/>
      </c>
      <c r="G1230">
        <v>0.48259999999999997</v>
      </c>
      <c r="H1230">
        <v>0.44779999999999998</v>
      </c>
      <c r="I1230">
        <v>0.48209999999999997</v>
      </c>
      <c r="K1230" t="str">
        <f>""</f>
        <v/>
      </c>
      <c r="L1230" t="str">
        <f>""</f>
        <v/>
      </c>
      <c r="M1230" t="str">
        <f>""</f>
        <v/>
      </c>
      <c r="N1230" t="str">
        <f>""</f>
        <v/>
      </c>
      <c r="O1230" t="str">
        <f>""</f>
        <v/>
      </c>
    </row>
    <row r="1231" spans="1:15" x14ac:dyDescent="0.25">
      <c r="A1231" t="str">
        <f>$A$108</f>
        <v xml:space="preserve">                    Koito Manufacturing Co Ltd</v>
      </c>
      <c r="B1231" t="str">
        <f>$B$108</f>
        <v>7276 JP Equity</v>
      </c>
      <c r="C1231" t="str">
        <f>$C$108</f>
        <v>F0946</v>
      </c>
      <c r="D1231" t="str">
        <f>$D$108</f>
        <v>TOTAL_GHG_CO2_EMISSIONS</v>
      </c>
      <c r="E1231" t="str">
        <f>$E$108</f>
        <v>Dynamic</v>
      </c>
      <c r="F1231" t="str">
        <f ca="1">_xll.BDH($B$108,$C$108,$B$1130,$B$1131,CONCATENATE("Per=",$B$1128),"Dts=H","Dir=H",CONCATENATE("Points=",$B$1129),"Sort=R","Days=A","Fill=B",CONCATENATE("FX=", $B$1127),"cols=5;rows=1")</f>
        <v/>
      </c>
      <c r="I1231">
        <v>0.36</v>
      </c>
      <c r="J1231">
        <v>0.375</v>
      </c>
      <c r="K1231" t="str">
        <f>""</f>
        <v/>
      </c>
      <c r="L1231" t="str">
        <f>""</f>
        <v/>
      </c>
      <c r="M1231" t="str">
        <f>""</f>
        <v/>
      </c>
      <c r="N1231" t="str">
        <f>""</f>
        <v/>
      </c>
      <c r="O1231" t="str">
        <f>""</f>
        <v/>
      </c>
    </row>
    <row r="1232" spans="1:15" x14ac:dyDescent="0.25">
      <c r="A1232" t="str">
        <f>$A$109</f>
        <v xml:space="preserve">                    Lear Corp</v>
      </c>
      <c r="B1232" t="str">
        <f>$B$109</f>
        <v>LEA US Equity</v>
      </c>
      <c r="C1232" t="str">
        <f>$C$109</f>
        <v>F0946</v>
      </c>
      <c r="D1232" t="str">
        <f>$D$109</f>
        <v>TOTAL_GHG_CO2_EMISSIONS</v>
      </c>
      <c r="E1232" t="str">
        <f>$E$109</f>
        <v>Dynamic</v>
      </c>
      <c r="F1232" t="str">
        <f ca="1">_xll.BDH($B$109,$C$109,$B$1130,$B$1131,CONCATENATE("Per=",$B$1128),"Dts=H","Dir=H",CONCATENATE("Points=",$B$1129),"Sort=R","Days=A","Fill=B",CONCATENATE("FX=", $B$1127),"cols=5;rows=1")</f>
        <v/>
      </c>
      <c r="G1232">
        <v>0.379</v>
      </c>
      <c r="H1232">
        <v>0.42809999999999998</v>
      </c>
      <c r="I1232">
        <v>0.48380000000000001</v>
      </c>
      <c r="J1232">
        <v>0.50229999999999997</v>
      </c>
      <c r="K1232" t="str">
        <f>""</f>
        <v/>
      </c>
      <c r="L1232" t="str">
        <f>""</f>
        <v/>
      </c>
      <c r="M1232" t="str">
        <f>""</f>
        <v/>
      </c>
      <c r="N1232" t="str">
        <f>""</f>
        <v/>
      </c>
      <c r="O1232" t="str">
        <f>""</f>
        <v/>
      </c>
    </row>
    <row r="1233" spans="1:15" x14ac:dyDescent="0.25">
      <c r="A1233" t="str">
        <f>$A$110</f>
        <v xml:space="preserve">                    Leoni AG</v>
      </c>
      <c r="B1233" t="str">
        <f>$B$110</f>
        <v>LEO GR Equity</v>
      </c>
      <c r="C1233" t="str">
        <f>$C$110</f>
        <v>F0946</v>
      </c>
      <c r="D1233" t="str">
        <f>$D$110</f>
        <v>TOTAL_GHG_CO2_EMISSIONS</v>
      </c>
      <c r="E1233" t="str">
        <f>$E$110</f>
        <v>Dynamic</v>
      </c>
      <c r="F1233" t="str">
        <f ca="1">_xll.BDH($B$110,$C$110,$B$1130,$B$1131,CONCATENATE("Per=",$B$1128),"Dts=H","Dir=H",CONCATENATE("Points=",$B$1129),"Sort=R","Days=A","Fill=B",CONCATENATE("FX=", $B$1127),"cols=5;rows=1")</f>
        <v/>
      </c>
      <c r="G1233">
        <v>0.1757</v>
      </c>
      <c r="H1233">
        <v>0.26069999999999999</v>
      </c>
      <c r="I1233">
        <v>0.192</v>
      </c>
      <c r="J1233">
        <v>0.2039</v>
      </c>
      <c r="K1233" t="str">
        <f>""</f>
        <v/>
      </c>
      <c r="L1233" t="str">
        <f>""</f>
        <v/>
      </c>
      <c r="M1233" t="str">
        <f>""</f>
        <v/>
      </c>
      <c r="N1233" t="str">
        <f>""</f>
        <v/>
      </c>
      <c r="O1233" t="str">
        <f>""</f>
        <v/>
      </c>
    </row>
    <row r="1234" spans="1:15" x14ac:dyDescent="0.25">
      <c r="A1234" t="str">
        <f>$A$111</f>
        <v xml:space="preserve">                    LG Chem Ltd</v>
      </c>
      <c r="B1234" t="str">
        <f>$B$111</f>
        <v>051910 KS Equity</v>
      </c>
      <c r="C1234" t="str">
        <f>$C$111</f>
        <v>F0946</v>
      </c>
      <c r="D1234" t="str">
        <f>$D$111</f>
        <v>TOTAL_GHG_CO2_EMISSIONS</v>
      </c>
      <c r="E1234" t="str">
        <f>$E$111</f>
        <v>Dynamic</v>
      </c>
      <c r="F1234" t="str">
        <f ca="1">_xll.BDH($B$111,$C$111,$B$1130,$B$1131,CONCATENATE("Per=",$B$1128),"Dts=H","Dir=H",CONCATENATE("Points=",$B$1129),"Sort=R","Days=A","Fill=B",CONCATENATE("FX=", $B$1127),"cols=5;rows=1")</f>
        <v/>
      </c>
      <c r="G1234">
        <v>10.339700000000001</v>
      </c>
      <c r="H1234">
        <v>9.5198</v>
      </c>
      <c r="I1234">
        <v>10.5832</v>
      </c>
      <c r="J1234">
        <v>9.9878999999999998</v>
      </c>
      <c r="K1234" t="str">
        <f>""</f>
        <v/>
      </c>
      <c r="L1234" t="str">
        <f>""</f>
        <v/>
      </c>
      <c r="M1234" t="str">
        <f>""</f>
        <v/>
      </c>
      <c r="N1234" t="str">
        <f>""</f>
        <v/>
      </c>
      <c r="O1234" t="str">
        <f>""</f>
        <v/>
      </c>
    </row>
    <row r="1235" spans="1:15" x14ac:dyDescent="0.25">
      <c r="A1235" t="str">
        <f>$A$112</f>
        <v xml:space="preserve">                    Linamar Corp</v>
      </c>
      <c r="B1235" t="str">
        <f>$B$112</f>
        <v>LNR CN Equity</v>
      </c>
      <c r="C1235" t="str">
        <f>$C$112</f>
        <v>F0946</v>
      </c>
      <c r="D1235" t="str">
        <f>$D$112</f>
        <v>TOTAL_GHG_CO2_EMISSIONS</v>
      </c>
      <c r="E1235" t="str">
        <f>$E$112</f>
        <v>Dynamic</v>
      </c>
      <c r="F1235" t="str">
        <f ca="1">_xll.BDH($B$112,$C$112,$B$1130,$B$1131,CONCATENATE("Per=",$B$1128),"Dts=H","Dir=H",CONCATENATE("Points=",$B$1129),"Sort=R","Days=A","Fill=B",CONCATENATE("FX=", $B$1127) )</f>
        <v/>
      </c>
      <c r="K1235" t="str">
        <f>""</f>
        <v/>
      </c>
      <c r="L1235" t="str">
        <f>""</f>
        <v/>
      </c>
      <c r="M1235" t="str">
        <f>""</f>
        <v/>
      </c>
      <c r="N1235" t="str">
        <f>""</f>
        <v/>
      </c>
      <c r="O1235" t="str">
        <f>""</f>
        <v/>
      </c>
    </row>
    <row r="1236" spans="1:15" x14ac:dyDescent="0.25">
      <c r="A1236" t="str">
        <f>$A$113</f>
        <v xml:space="preserve">                    MAHLE Behr GmbH &amp; Co KG</v>
      </c>
      <c r="B1236" t="str">
        <f>$B$113</f>
        <v>2551Z GR Equity</v>
      </c>
      <c r="C1236" t="str">
        <f>$C$113</f>
        <v>F0946</v>
      </c>
      <c r="D1236" t="str">
        <f>$D$113</f>
        <v>TOTAL_GHG_CO2_EMISSIONS</v>
      </c>
      <c r="E1236" t="str">
        <f>$E$113</f>
        <v>Dynamic</v>
      </c>
      <c r="F1236" t="str">
        <f ca="1">_xll.BDH($B$113,$C$113,$B$1130,$B$1131,CONCATENATE("Per=",$B$1128),"Dts=H","Dir=H",CONCATENATE("Points=",$B$1129),"Sort=R","Days=A","Fill=B",CONCATENATE("FX=", $B$1127) )</f>
        <v/>
      </c>
      <c r="K1236" t="str">
        <f>""</f>
        <v/>
      </c>
      <c r="L1236" t="str">
        <f>""</f>
        <v/>
      </c>
      <c r="M1236" t="str">
        <f>""</f>
        <v/>
      </c>
      <c r="N1236" t="str">
        <f>""</f>
        <v/>
      </c>
      <c r="O1236" t="str">
        <f>""</f>
        <v/>
      </c>
    </row>
    <row r="1237" spans="1:15" x14ac:dyDescent="0.25">
      <c r="A1237" t="str">
        <f>$A$114</f>
        <v xml:space="preserve">                    Martinrea International Inc</v>
      </c>
      <c r="B1237" t="str">
        <f>$B$114</f>
        <v>MRE CN Equity</v>
      </c>
      <c r="C1237" t="str">
        <f>$C$114</f>
        <v>F0946</v>
      </c>
      <c r="D1237" t="str">
        <f>$D$114</f>
        <v>TOTAL_GHG_CO2_EMISSIONS</v>
      </c>
      <c r="E1237" t="str">
        <f>$E$114</f>
        <v>Dynamic</v>
      </c>
      <c r="F1237" t="str">
        <f ca="1">_xll.BDH($B$114,$C$114,$B$1130,$B$1131,CONCATENATE("Per=",$B$1128),"Dts=H","Dir=H",CONCATENATE("Points=",$B$1129),"Sort=R","Days=A","Fill=B",CONCATENATE("FX=", $B$1127),"cols=5;rows=1")</f>
        <v/>
      </c>
      <c r="G1237">
        <v>0.25650000000000001</v>
      </c>
      <c r="H1237">
        <v>0.25390000000000001</v>
      </c>
      <c r="I1237">
        <v>0.2928</v>
      </c>
      <c r="K1237" t="str">
        <f>""</f>
        <v/>
      </c>
      <c r="L1237" t="str">
        <f>""</f>
        <v/>
      </c>
      <c r="M1237" t="str">
        <f>""</f>
        <v/>
      </c>
      <c r="N1237" t="str">
        <f>""</f>
        <v/>
      </c>
      <c r="O1237" t="str">
        <f>""</f>
        <v/>
      </c>
    </row>
    <row r="1238" spans="1:15" x14ac:dyDescent="0.25">
      <c r="A1238" t="str">
        <f>$A$115</f>
        <v xml:space="preserve">                    Mitsuba Corp</v>
      </c>
      <c r="B1238" t="str">
        <f>$B$115</f>
        <v>7280 JP Equity</v>
      </c>
      <c r="C1238" t="str">
        <f>$C$115</f>
        <v>F0946</v>
      </c>
      <c r="D1238" t="str">
        <f>$D$115</f>
        <v>TOTAL_GHG_CO2_EMISSIONS</v>
      </c>
      <c r="E1238" t="str">
        <f>$E$115</f>
        <v>Dynamic</v>
      </c>
      <c r="F1238" t="str">
        <f ca="1">_xll.BDH($B$115,$C$115,$B$1130,$B$1131,CONCATENATE("Per=",$B$1128),"Dts=H","Dir=H",CONCATENATE("Points=",$B$1129),"Sort=R","Days=A","Fill=B",CONCATENATE("FX=", $B$1127),"cols=5;rows=1")</f>
        <v/>
      </c>
      <c r="G1238">
        <v>0.16059999999999999</v>
      </c>
      <c r="H1238">
        <v>0.15640000000000001</v>
      </c>
      <c r="I1238">
        <v>0.17</v>
      </c>
      <c r="J1238">
        <v>0.17299999999999999</v>
      </c>
      <c r="K1238" t="str">
        <f>""</f>
        <v/>
      </c>
      <c r="L1238" t="str">
        <f>""</f>
        <v/>
      </c>
      <c r="M1238" t="str">
        <f>""</f>
        <v/>
      </c>
      <c r="N1238" t="str">
        <f>""</f>
        <v/>
      </c>
      <c r="O1238" t="str">
        <f>""</f>
        <v/>
      </c>
    </row>
    <row r="1239" spans="1:15" x14ac:dyDescent="0.25">
      <c r="A1239" t="str">
        <f>$A$116</f>
        <v xml:space="preserve">                    Modine Manufacturing Co</v>
      </c>
      <c r="B1239" t="str">
        <f>$B$116</f>
        <v>MOD US Equity</v>
      </c>
      <c r="C1239" t="str">
        <f>$C$116</f>
        <v>F0946</v>
      </c>
      <c r="D1239" t="str">
        <f>$D$116</f>
        <v>TOTAL_GHG_CO2_EMISSIONS</v>
      </c>
      <c r="E1239" t="str">
        <f>$E$116</f>
        <v>Dynamic</v>
      </c>
      <c r="F1239" t="str">
        <f ca="1">_xll.BDH($B$116,$C$116,$B$1130,$B$1131,CONCATENATE("Per=",$B$1128),"Dts=H","Dir=H",CONCATENATE("Points=",$B$1129),"Sort=R","Days=A","Fill=B",CONCATENATE("FX=", $B$1127),"cols=5;rows=1")</f>
        <v/>
      </c>
      <c r="H1239">
        <v>0.1958</v>
      </c>
      <c r="I1239">
        <v>0.19989999999999999</v>
      </c>
      <c r="J1239">
        <v>0.20549999999999999</v>
      </c>
      <c r="K1239" t="str">
        <f>""</f>
        <v/>
      </c>
      <c r="L1239" t="str">
        <f>""</f>
        <v/>
      </c>
      <c r="M1239" t="str">
        <f>""</f>
        <v/>
      </c>
      <c r="N1239" t="str">
        <f>""</f>
        <v/>
      </c>
      <c r="O1239" t="str">
        <f>""</f>
        <v/>
      </c>
    </row>
    <row r="1240" spans="1:15" x14ac:dyDescent="0.25">
      <c r="A1240" t="str">
        <f>$A$117</f>
        <v xml:space="preserve">                    Magna International Inc</v>
      </c>
      <c r="B1240" t="str">
        <f>$B$117</f>
        <v>MGA US Equity</v>
      </c>
      <c r="C1240" t="str">
        <f>$C$117</f>
        <v>F0946</v>
      </c>
      <c r="D1240" t="str">
        <f>$D$117</f>
        <v>TOTAL_GHG_CO2_EMISSIONS</v>
      </c>
      <c r="E1240" t="str">
        <f>$E$117</f>
        <v>Dynamic</v>
      </c>
      <c r="F1240" t="str">
        <f ca="1">_xll.BDH($B$117,$C$117,$B$1130,$B$1131,CONCATENATE("Per=",$B$1128),"Dts=H","Dir=H",CONCATENATE("Points=",$B$1129),"Sort=R","Days=A","Fill=B",CONCATENATE("FX=", $B$1127),"cols=5;rows=1")</f>
        <v/>
      </c>
      <c r="G1240">
        <v>1.5631999999999999</v>
      </c>
      <c r="H1240">
        <v>1.7059</v>
      </c>
      <c r="I1240">
        <v>2.1267</v>
      </c>
      <c r="J1240">
        <v>2.1202999999999999</v>
      </c>
      <c r="K1240" t="str">
        <f>""</f>
        <v/>
      </c>
      <c r="L1240" t="str">
        <f>""</f>
        <v/>
      </c>
      <c r="M1240" t="str">
        <f>""</f>
        <v/>
      </c>
      <c r="N1240" t="str">
        <f>""</f>
        <v/>
      </c>
      <c r="O1240" t="str">
        <f>""</f>
        <v/>
      </c>
    </row>
    <row r="1241" spans="1:15" x14ac:dyDescent="0.25">
      <c r="A1241" t="str">
        <f>$A$118</f>
        <v xml:space="preserve">                    Mahle GmbH</v>
      </c>
      <c r="B1241" t="str">
        <f>$B$118</f>
        <v>MAHL GR Equity</v>
      </c>
      <c r="C1241" t="str">
        <f>$C$118</f>
        <v>F0946</v>
      </c>
      <c r="D1241" t="str">
        <f>$D$118</f>
        <v>TOTAL_GHG_CO2_EMISSIONS</v>
      </c>
      <c r="E1241" t="str">
        <f>$E$118</f>
        <v>Dynamic</v>
      </c>
      <c r="F1241" t="str">
        <f ca="1">_xll.BDH($B$118,$C$118,$B$1130,$B$1131,CONCATENATE("Per=",$B$1128),"Dts=H","Dir=H",CONCATENATE("Points=",$B$1129),"Sort=R","Days=A","Fill=B",CONCATENATE("FX=", $B$1127) )</f>
        <v/>
      </c>
      <c r="K1241" t="str">
        <f>""</f>
        <v/>
      </c>
      <c r="L1241" t="str">
        <f>""</f>
        <v/>
      </c>
      <c r="M1241" t="str">
        <f>""</f>
        <v/>
      </c>
      <c r="N1241" t="str">
        <f>""</f>
        <v/>
      </c>
      <c r="O1241" t="str">
        <f>""</f>
        <v/>
      </c>
    </row>
    <row r="1242" spans="1:15" x14ac:dyDescent="0.25">
      <c r="A1242" t="str">
        <f>$A$119</f>
        <v xml:space="preserve">                    Cie Generale des Etablissement</v>
      </c>
      <c r="B1242" t="str">
        <f>$B$119</f>
        <v>ML FP Equity</v>
      </c>
      <c r="C1242" t="str">
        <f>$C$119</f>
        <v>F0946</v>
      </c>
      <c r="D1242" t="str">
        <f>$D$119</f>
        <v>TOTAL_GHG_CO2_EMISSIONS</v>
      </c>
      <c r="E1242" t="str">
        <f>$E$119</f>
        <v>Dynamic</v>
      </c>
      <c r="F1242">
        <f ca="1">_xll.BDH($B$119,$C$119,$B$1130,$B$1131,CONCATENATE("Per=",$B$1128),"Dts=H","Dir=H",CONCATENATE("Points=",$B$1129),"Sort=R","Days=A","Fill=B",CONCATENATE("FX=", $B$1127),"cols=5;rows=1")</f>
        <v>2.3039999999999998</v>
      </c>
      <c r="G1242">
        <v>2.7629999999999999</v>
      </c>
      <c r="H1242">
        <v>2.7934999999999999</v>
      </c>
      <c r="I1242">
        <v>3.2505999999999999</v>
      </c>
      <c r="J1242">
        <v>3.3908999999999998</v>
      </c>
      <c r="K1242" t="str">
        <f>""</f>
        <v/>
      </c>
      <c r="L1242" t="str">
        <f>""</f>
        <v/>
      </c>
      <c r="M1242" t="str">
        <f>""</f>
        <v/>
      </c>
      <c r="N1242" t="str">
        <f>""</f>
        <v/>
      </c>
      <c r="O1242" t="str">
        <f>""</f>
        <v/>
      </c>
    </row>
    <row r="1243" spans="1:15" x14ac:dyDescent="0.25">
      <c r="A1243" t="str">
        <f>$A$120</f>
        <v xml:space="preserve">                    MRF Ltd</v>
      </c>
      <c r="B1243" t="str">
        <f>$B$120</f>
        <v>MRF IN Equity</v>
      </c>
      <c r="C1243" t="str">
        <f>$C$120</f>
        <v>F0946</v>
      </c>
      <c r="D1243" t="str">
        <f>$D$120</f>
        <v>TOTAL_GHG_CO2_EMISSIONS</v>
      </c>
      <c r="E1243" t="str">
        <f>$E$120</f>
        <v>Dynamic</v>
      </c>
      <c r="F1243" t="str">
        <f ca="1">_xll.BDH($B$120,$C$120,$B$1130,$B$1131,CONCATENATE("Per=",$B$1128),"Dts=H","Dir=H",CONCATENATE("Points=",$B$1129),"Sort=R","Days=A","Fill=B",CONCATENATE("FX=", $B$1127) )</f>
        <v/>
      </c>
      <c r="K1243" t="str">
        <f>""</f>
        <v/>
      </c>
      <c r="L1243" t="str">
        <f>""</f>
        <v/>
      </c>
      <c r="M1243" t="str">
        <f>""</f>
        <v/>
      </c>
      <c r="N1243" t="str">
        <f>""</f>
        <v/>
      </c>
      <c r="O1243" t="str">
        <f>""</f>
        <v/>
      </c>
    </row>
    <row r="1244" spans="1:15" x14ac:dyDescent="0.25">
      <c r="A1244" t="str">
        <f>$A$121</f>
        <v xml:space="preserve">                    Nexen Tire Corp</v>
      </c>
      <c r="B1244" t="str">
        <f>$B$121</f>
        <v>002350 KS Equity</v>
      </c>
      <c r="C1244" t="str">
        <f>$C$121</f>
        <v>F0946</v>
      </c>
      <c r="D1244" t="str">
        <f>$D$121</f>
        <v>TOTAL_GHG_CO2_EMISSIONS</v>
      </c>
      <c r="E1244" t="str">
        <f>$E$121</f>
        <v>Dynamic</v>
      </c>
      <c r="F1244" t="str">
        <f ca="1">_xll.BDH($B$121,$C$121,$B$1130,$B$1131,CONCATENATE("Per=",$B$1128),"Dts=H","Dir=H",CONCATENATE("Points=",$B$1129),"Sort=R","Days=A","Fill=B",CONCATENATE("FX=", $B$1127),"cols=5;rows=1")</f>
        <v/>
      </c>
      <c r="G1244">
        <v>0.36830000000000002</v>
      </c>
      <c r="H1244">
        <v>0.30919999999999997</v>
      </c>
      <c r="I1244">
        <v>0.3478</v>
      </c>
      <c r="J1244">
        <v>0.2109</v>
      </c>
      <c r="K1244" t="str">
        <f>""</f>
        <v/>
      </c>
      <c r="L1244" t="str">
        <f>""</f>
        <v/>
      </c>
      <c r="M1244" t="str">
        <f>""</f>
        <v/>
      </c>
      <c r="N1244" t="str">
        <f>""</f>
        <v/>
      </c>
      <c r="O1244" t="str">
        <f>""</f>
        <v/>
      </c>
    </row>
    <row r="1245" spans="1:15" x14ac:dyDescent="0.25">
      <c r="A1245" t="str">
        <f>$A$122</f>
        <v xml:space="preserve">                    Nokian Renkaat Oyj</v>
      </c>
      <c r="B1245" t="str">
        <f>$B$122</f>
        <v>TYRES FH Equity</v>
      </c>
      <c r="C1245" t="str">
        <f>$C$122</f>
        <v>F0946</v>
      </c>
      <c r="D1245" t="str">
        <f>$D$122</f>
        <v>TOTAL_GHG_CO2_EMISSIONS</v>
      </c>
      <c r="E1245" t="str">
        <f>$E$122</f>
        <v>Dynamic</v>
      </c>
      <c r="F1245">
        <f ca="1">_xll.BDH($B$122,$C$122,$B$1130,$B$1131,CONCATENATE("Per=",$B$1128),"Dts=H","Dir=H",CONCATENATE("Points=",$B$1129),"Sort=R","Days=A","Fill=B",CONCATENATE("FX=", $B$1127),"cols=5;rows=1")</f>
        <v>0.106</v>
      </c>
      <c r="G1245">
        <v>0.1396</v>
      </c>
      <c r="H1245">
        <v>0.1232</v>
      </c>
      <c r="I1245">
        <v>0.1225</v>
      </c>
      <c r="J1245">
        <v>0.12230000000000001</v>
      </c>
      <c r="K1245" t="str">
        <f>""</f>
        <v/>
      </c>
      <c r="L1245" t="str">
        <f>""</f>
        <v/>
      </c>
      <c r="M1245" t="str">
        <f>""</f>
        <v/>
      </c>
      <c r="N1245" t="str">
        <f>""</f>
        <v/>
      </c>
      <c r="O1245" t="str">
        <f>""</f>
        <v/>
      </c>
    </row>
    <row r="1246" spans="1:15" x14ac:dyDescent="0.25">
      <c r="A1246" t="str">
        <f>$A$123</f>
        <v xml:space="preserve">                    NHK Spring Co Ltd</v>
      </c>
      <c r="B1246" t="str">
        <f>$B$123</f>
        <v>5991 JP Equity</v>
      </c>
      <c r="C1246" t="str">
        <f>$C$123</f>
        <v>F0946</v>
      </c>
      <c r="D1246" t="str">
        <f>$D$123</f>
        <v>TOTAL_GHG_CO2_EMISSIONS</v>
      </c>
      <c r="E1246" t="str">
        <f>$E$123</f>
        <v>Dynamic</v>
      </c>
      <c r="F1246" t="str">
        <f ca="1">_xll.BDH($B$123,$C$123,$B$1130,$B$1131,CONCATENATE("Per=",$B$1128),"Dts=H","Dir=H",CONCATENATE("Points=",$B$1129),"Sort=R","Days=A","Fill=B",CONCATENATE("FX=", $B$1127),"cols=5;rows=1")</f>
        <v/>
      </c>
      <c r="G1246">
        <v>9.7500000000000003E-2</v>
      </c>
      <c r="H1246">
        <v>9.2799999999999994E-2</v>
      </c>
      <c r="I1246">
        <v>9.6000000000000002E-2</v>
      </c>
      <c r="J1246">
        <v>9.06E-2</v>
      </c>
      <c r="K1246" t="str">
        <f>""</f>
        <v/>
      </c>
      <c r="L1246" t="str">
        <f>""</f>
        <v/>
      </c>
      <c r="M1246" t="str">
        <f>""</f>
        <v/>
      </c>
      <c r="N1246" t="str">
        <f>""</f>
        <v/>
      </c>
      <c r="O1246" t="str">
        <f>""</f>
        <v/>
      </c>
    </row>
    <row r="1247" spans="1:15" x14ac:dyDescent="0.25">
      <c r="A1247" t="str">
        <f>$A$124</f>
        <v xml:space="preserve">                    NSK Ltd</v>
      </c>
      <c r="B1247" t="str">
        <f>$B$124</f>
        <v>6471 JP Equity</v>
      </c>
      <c r="C1247" t="str">
        <f>$C$124</f>
        <v>F0946</v>
      </c>
      <c r="D1247" t="str">
        <f>$D$124</f>
        <v>TOTAL_GHG_CO2_EMISSIONS</v>
      </c>
      <c r="E1247" t="str">
        <f>$E$124</f>
        <v>Dynamic</v>
      </c>
      <c r="F1247" t="str">
        <f ca="1">_xll.BDH($B$124,$C$124,$B$1130,$B$1131,CONCATENATE("Per=",$B$1128),"Dts=H","Dir=H",CONCATENATE("Points=",$B$1129),"Sort=R","Days=A","Fill=B",CONCATENATE("FX=", $B$1127),"cols=5;rows=1")</f>
        <v/>
      </c>
      <c r="G1247">
        <v>0.8921</v>
      </c>
      <c r="H1247">
        <v>0.8236</v>
      </c>
      <c r="I1247">
        <v>0.84</v>
      </c>
      <c r="J1247">
        <v>0.97799999999999998</v>
      </c>
      <c r="K1247" t="str">
        <f>""</f>
        <v/>
      </c>
      <c r="L1247" t="str">
        <f>""</f>
        <v/>
      </c>
      <c r="M1247" t="str">
        <f>""</f>
        <v/>
      </c>
      <c r="N1247" t="str">
        <f>""</f>
        <v/>
      </c>
      <c r="O1247" t="str">
        <f>""</f>
        <v/>
      </c>
    </row>
    <row r="1248" spans="1:15" x14ac:dyDescent="0.25">
      <c r="A1248" t="str">
        <f>$A$125</f>
        <v xml:space="preserve">                    NTN Corp</v>
      </c>
      <c r="B1248" t="str">
        <f>$B$125</f>
        <v>6472 JP Equity</v>
      </c>
      <c r="C1248" t="str">
        <f>$C$125</f>
        <v>F0946</v>
      </c>
      <c r="D1248" t="str">
        <f>$D$125</f>
        <v>TOTAL_GHG_CO2_EMISSIONS</v>
      </c>
      <c r="E1248" t="str">
        <f>$E$125</f>
        <v>Dynamic</v>
      </c>
      <c r="F1248" t="str">
        <f ca="1">_xll.BDH($B$125,$C$125,$B$1130,$B$1131,CONCATENATE("Per=",$B$1128),"Dts=H","Dir=H",CONCATENATE("Points=",$B$1129),"Sort=R","Days=A","Fill=B",CONCATENATE("FX=", $B$1127),"cols=5;rows=1")</f>
        <v/>
      </c>
      <c r="G1248">
        <v>0.57699999999999996</v>
      </c>
      <c r="H1248">
        <v>0.55600000000000005</v>
      </c>
      <c r="I1248">
        <v>0.60599999999999998</v>
      </c>
      <c r="J1248">
        <v>0.67300000000000004</v>
      </c>
      <c r="K1248" t="str">
        <f>""</f>
        <v/>
      </c>
      <c r="L1248" t="str">
        <f>""</f>
        <v/>
      </c>
      <c r="M1248" t="str">
        <f>""</f>
        <v/>
      </c>
      <c r="N1248" t="str">
        <f>""</f>
        <v/>
      </c>
      <c r="O1248" t="str">
        <f>""</f>
        <v/>
      </c>
    </row>
    <row r="1249" spans="1:15" x14ac:dyDescent="0.25">
      <c r="A1249" t="str">
        <f>$A$126</f>
        <v xml:space="preserve">                    Omron Corp</v>
      </c>
      <c r="B1249" t="str">
        <f>$B$126</f>
        <v>6645 JP Equity</v>
      </c>
      <c r="C1249" t="str">
        <f>$C$126</f>
        <v>F0946</v>
      </c>
      <c r="D1249" t="str">
        <f>$D$126</f>
        <v>TOTAL_GHG_CO2_EMISSIONS</v>
      </c>
      <c r="E1249" t="str">
        <f>$E$126</f>
        <v>Dynamic</v>
      </c>
      <c r="F1249" t="str">
        <f ca="1">_xll.BDH($B$126,$C$126,$B$1130,$B$1131,CONCATENATE("Per=",$B$1128),"Dts=H","Dir=H",CONCATENATE("Points=",$B$1129),"Sort=R","Days=A","Fill=B",CONCATENATE("FX=", $B$1127),"cols=5;rows=1")</f>
        <v/>
      </c>
      <c r="G1249">
        <v>0.122</v>
      </c>
      <c r="H1249">
        <v>0.1234</v>
      </c>
      <c r="I1249">
        <v>0.1661</v>
      </c>
      <c r="J1249">
        <v>0.2346</v>
      </c>
      <c r="K1249" t="str">
        <f>""</f>
        <v/>
      </c>
      <c r="L1249" t="str">
        <f>""</f>
        <v/>
      </c>
      <c r="M1249" t="str">
        <f>""</f>
        <v/>
      </c>
      <c r="N1249" t="str">
        <f>""</f>
        <v/>
      </c>
      <c r="O1249" t="str">
        <f>""</f>
        <v/>
      </c>
    </row>
    <row r="1250" spans="1:15" x14ac:dyDescent="0.25">
      <c r="A1250" t="str">
        <f>$A$127</f>
        <v xml:space="preserve">                    Rieter Automotive Systems - Se</v>
      </c>
      <c r="B1250" t="str">
        <f>$B$127</f>
        <v>219215Z GR Equity</v>
      </c>
      <c r="C1250" t="str">
        <f>$C$127</f>
        <v>F0946</v>
      </c>
      <c r="D1250" t="str">
        <f>$D$127</f>
        <v>TOTAL_GHG_CO2_EMISSIONS</v>
      </c>
      <c r="E1250" t="str">
        <f>$E$127</f>
        <v>Dynamic</v>
      </c>
      <c r="F1250" t="str">
        <f ca="1">_xll.BDH($B$127,$C$127,$B$1130,$B$1131,CONCATENATE("Per=",$B$1128),"Dts=H","Dir=H",CONCATENATE("Points=",$B$1129),"Sort=R","Days=A","Fill=B",CONCATENATE("FX=", $B$1127) )</f>
        <v/>
      </c>
      <c r="K1250" t="str">
        <f>""</f>
        <v/>
      </c>
      <c r="L1250" t="str">
        <f>""</f>
        <v/>
      </c>
      <c r="M1250" t="str">
        <f>""</f>
        <v/>
      </c>
      <c r="N1250" t="str">
        <f>""</f>
        <v/>
      </c>
      <c r="O1250" t="str">
        <f>""</f>
        <v/>
      </c>
    </row>
    <row r="1251" spans="1:15" x14ac:dyDescent="0.25">
      <c r="A1251" t="str">
        <f>$A$128</f>
        <v xml:space="preserve">                    Robert Bosch GmbH</v>
      </c>
      <c r="B1251" t="str">
        <f>$B$128</f>
        <v>RBOS GR Equity</v>
      </c>
      <c r="C1251" t="str">
        <f>$C$128</f>
        <v>F0946</v>
      </c>
      <c r="D1251" t="str">
        <f>$D$128</f>
        <v>TOTAL_GHG_CO2_EMISSIONS</v>
      </c>
      <c r="E1251" t="str">
        <f>$E$128</f>
        <v>Dynamic</v>
      </c>
      <c r="F1251" t="str">
        <f ca="1">_xll.BDH($B$128,$C$128,$B$1130,$B$1131,CONCATENATE("Per=",$B$1128),"Dts=H","Dir=H",CONCATENATE("Points=",$B$1129),"Sort=R","Days=A","Fill=B",CONCATENATE("FX=", $B$1127),"cols=5;rows=1")</f>
        <v/>
      </c>
      <c r="G1251">
        <v>2.7970000000000002</v>
      </c>
      <c r="H1251">
        <v>0.93799999999999994</v>
      </c>
      <c r="I1251">
        <v>1.9430000000000001</v>
      </c>
      <c r="J1251">
        <v>3.258</v>
      </c>
      <c r="K1251" t="str">
        <f>""</f>
        <v/>
      </c>
      <c r="L1251" t="str">
        <f>""</f>
        <v/>
      </c>
      <c r="M1251" t="str">
        <f>""</f>
        <v/>
      </c>
      <c r="N1251" t="str">
        <f>""</f>
        <v/>
      </c>
      <c r="O1251" t="str">
        <f>""</f>
        <v/>
      </c>
    </row>
    <row r="1252" spans="1:15" x14ac:dyDescent="0.25">
      <c r="A1252" t="str">
        <f>$A$129</f>
        <v xml:space="preserve">                    Sanden Corp</v>
      </c>
      <c r="B1252" t="str">
        <f>$B$129</f>
        <v>6444 JP Equity</v>
      </c>
      <c r="C1252" t="str">
        <f>$C$129</f>
        <v>F0946</v>
      </c>
      <c r="D1252" t="str">
        <f>$D$129</f>
        <v>TOTAL_GHG_CO2_EMISSIONS</v>
      </c>
      <c r="E1252" t="str">
        <f>$E$129</f>
        <v>Dynamic</v>
      </c>
      <c r="F1252" t="str">
        <f ca="1">_xll.BDH($B$129,$C$129,$B$1130,$B$1131,CONCATENATE("Per=",$B$1128),"Dts=H","Dir=H",CONCATENATE("Points=",$B$1129),"Sort=R","Days=A","Fill=B",CONCATENATE("FX=", $B$1127),"cols=5;rows=1")</f>
        <v/>
      </c>
      <c r="H1252">
        <v>9.4799999999999995E-2</v>
      </c>
      <c r="I1252">
        <v>0.1157</v>
      </c>
      <c r="J1252">
        <v>0.1295</v>
      </c>
      <c r="K1252" t="str">
        <f>""</f>
        <v/>
      </c>
      <c r="L1252" t="str">
        <f>""</f>
        <v/>
      </c>
      <c r="M1252" t="str">
        <f>""</f>
        <v/>
      </c>
      <c r="N1252" t="str">
        <f>""</f>
        <v/>
      </c>
      <c r="O1252" t="str">
        <f>""</f>
        <v/>
      </c>
    </row>
    <row r="1253" spans="1:15" x14ac:dyDescent="0.25">
      <c r="A1253" t="str">
        <f>$A$130</f>
        <v xml:space="preserve">                    Shanghai Huayi Group Co Ltd</v>
      </c>
      <c r="B1253" t="str">
        <f>$B$130</f>
        <v>900909 CH Equity</v>
      </c>
      <c r="C1253" t="str">
        <f>$C$130</f>
        <v>F0946</v>
      </c>
      <c r="D1253" t="str">
        <f>$D$130</f>
        <v>TOTAL_GHG_CO2_EMISSIONS</v>
      </c>
      <c r="E1253" t="str">
        <f>$E$130</f>
        <v>Dynamic</v>
      </c>
      <c r="F1253" t="str">
        <f ca="1">_xll.BDH($B$130,$C$130,$B$1130,$B$1131,CONCATENATE("Per=",$B$1128),"Dts=H","Dir=H",CONCATENATE("Points=",$B$1129),"Sort=R","Days=A","Fill=B",CONCATENATE("FX=", $B$1127) )</f>
        <v/>
      </c>
      <c r="K1253" t="str">
        <f>""</f>
        <v/>
      </c>
      <c r="L1253" t="str">
        <f>""</f>
        <v/>
      </c>
      <c r="M1253" t="str">
        <f>""</f>
        <v/>
      </c>
      <c r="N1253" t="str">
        <f>""</f>
        <v/>
      </c>
      <c r="O1253" t="str">
        <f>""</f>
        <v/>
      </c>
    </row>
    <row r="1254" spans="1:15" x14ac:dyDescent="0.25">
      <c r="A1254" t="str">
        <f>$A$131</f>
        <v xml:space="preserve">                    Shenma Industry Co Ltd</v>
      </c>
      <c r="B1254" t="str">
        <f>$B$131</f>
        <v>600810 CH Equity</v>
      </c>
      <c r="C1254" t="str">
        <f>$C$131</f>
        <v>F0946</v>
      </c>
      <c r="D1254" t="str">
        <f>$D$131</f>
        <v>TOTAL_GHG_CO2_EMISSIONS</v>
      </c>
      <c r="E1254" t="str">
        <f>$E$131</f>
        <v>Dynamic</v>
      </c>
      <c r="F1254" t="str">
        <f ca="1">_xll.BDH($B$131,$C$131,$B$1130,$B$1131,CONCATENATE("Per=",$B$1128),"Dts=H","Dir=H",CONCATENATE("Points=",$B$1129),"Sort=R","Days=A","Fill=B",CONCATENATE("FX=", $B$1127),"cols=5;rows=1")</f>
        <v/>
      </c>
      <c r="G1254">
        <v>1.9370000000000001</v>
      </c>
      <c r="H1254">
        <v>1.9115</v>
      </c>
      <c r="J1254">
        <v>0.4269</v>
      </c>
      <c r="K1254" t="str">
        <f>""</f>
        <v/>
      </c>
      <c r="L1254" t="str">
        <f>""</f>
        <v/>
      </c>
      <c r="M1254" t="str">
        <f>""</f>
        <v/>
      </c>
      <c r="N1254" t="str">
        <f>""</f>
        <v/>
      </c>
      <c r="O1254" t="str">
        <f>""</f>
        <v/>
      </c>
    </row>
    <row r="1255" spans="1:15" x14ac:dyDescent="0.25">
      <c r="A1255" t="str">
        <f>$A$132</f>
        <v xml:space="preserve">                    Samvardhana Motherson Internat</v>
      </c>
      <c r="B1255" t="str">
        <f>$B$132</f>
        <v>MOTHERSO IN Equity</v>
      </c>
      <c r="C1255" t="str">
        <f>$C$132</f>
        <v>F0946</v>
      </c>
      <c r="D1255" t="str">
        <f>$D$132</f>
        <v>TOTAL_GHG_CO2_EMISSIONS</v>
      </c>
      <c r="E1255" t="str">
        <f>$E$132</f>
        <v>Dynamic</v>
      </c>
      <c r="F1255" t="str">
        <f ca="1">_xll.BDH($B$132,$C$132,$B$1130,$B$1131,CONCATENATE("Per=",$B$1128),"Dts=H","Dir=H",CONCATENATE("Points=",$B$1129),"Sort=R","Days=A","Fill=B",CONCATENATE("FX=", $B$1127),"cols=5;rows=1")</f>
        <v/>
      </c>
      <c r="G1255">
        <v>0.3654</v>
      </c>
      <c r="H1255">
        <v>0.33250000000000002</v>
      </c>
      <c r="K1255" t="str">
        <f>""</f>
        <v/>
      </c>
      <c r="L1255" t="str">
        <f>""</f>
        <v/>
      </c>
      <c r="M1255" t="str">
        <f>""</f>
        <v/>
      </c>
      <c r="N1255" t="str">
        <f>""</f>
        <v/>
      </c>
      <c r="O1255" t="str">
        <f>""</f>
        <v/>
      </c>
    </row>
    <row r="1256" spans="1:15" x14ac:dyDescent="0.25">
      <c r="A1256" t="str">
        <f>$A$133</f>
        <v xml:space="preserve">                    SKF AB</v>
      </c>
      <c r="B1256" t="str">
        <f>$B$133</f>
        <v>SKFB SS Equity</v>
      </c>
      <c r="C1256" t="str">
        <f>$C$133</f>
        <v>F0946</v>
      </c>
      <c r="D1256" t="str">
        <f>$D$133</f>
        <v>TOTAL_GHG_CO2_EMISSIONS</v>
      </c>
      <c r="E1256" t="str">
        <f>$E$133</f>
        <v>Dynamic</v>
      </c>
      <c r="F1256">
        <f ca="1">_xll.BDH($B$133,$C$133,$B$1130,$B$1131,CONCATENATE("Per=",$B$1128),"Dts=H","Dir=H",CONCATENATE("Points=",$B$1129),"Sort=R","Days=A","Fill=B",CONCATENATE("FX=", $B$1127),"cols=5;rows=1")</f>
        <v>0.52749999999999997</v>
      </c>
      <c r="G1256">
        <v>0.58230000000000004</v>
      </c>
      <c r="H1256">
        <v>0.51649999999999996</v>
      </c>
      <c r="I1256">
        <v>0.55969999999999998</v>
      </c>
      <c r="J1256">
        <v>0.64219999999999999</v>
      </c>
      <c r="K1256" t="str">
        <f>""</f>
        <v/>
      </c>
      <c r="L1256" t="str">
        <f>""</f>
        <v/>
      </c>
      <c r="M1256" t="str">
        <f>""</f>
        <v/>
      </c>
      <c r="N1256" t="str">
        <f>""</f>
        <v/>
      </c>
      <c r="O1256" t="str">
        <f>""</f>
        <v/>
      </c>
    </row>
    <row r="1257" spans="1:15" x14ac:dyDescent="0.25">
      <c r="A1257" t="str">
        <f>$A$134</f>
        <v xml:space="preserve">                    Stanley Electric Co Ltd</v>
      </c>
      <c r="B1257" t="str">
        <f>$B$134</f>
        <v>6923 JP Equity</v>
      </c>
      <c r="C1257" t="str">
        <f>$C$134</f>
        <v>F0946</v>
      </c>
      <c r="D1257" t="str">
        <f>$D$134</f>
        <v>TOTAL_GHG_CO2_EMISSIONS</v>
      </c>
      <c r="E1257" t="str">
        <f>$E$134</f>
        <v>Dynamic</v>
      </c>
      <c r="F1257" t="str">
        <f ca="1">_xll.BDH($B$134,$C$134,$B$1130,$B$1131,CONCATENATE("Per=",$B$1128),"Dts=H","Dir=H",CONCATENATE("Points=",$B$1129),"Sort=R","Days=A","Fill=B",CONCATENATE("FX=", $B$1127),"cols=5;rows=1")</f>
        <v/>
      </c>
      <c r="G1257">
        <v>5.3400000000000003E-2</v>
      </c>
      <c r="H1257">
        <v>0.40960000000000002</v>
      </c>
      <c r="I1257">
        <v>0.45</v>
      </c>
      <c r="J1257">
        <v>0.47039999999999998</v>
      </c>
      <c r="K1257" t="str">
        <f>""</f>
        <v/>
      </c>
      <c r="L1257" t="str">
        <f>""</f>
        <v/>
      </c>
      <c r="M1257" t="str">
        <f>""</f>
        <v/>
      </c>
      <c r="N1257" t="str">
        <f>""</f>
        <v/>
      </c>
      <c r="O1257" t="str">
        <f>""</f>
        <v/>
      </c>
    </row>
    <row r="1258" spans="1:15" x14ac:dyDescent="0.25">
      <c r="A1258" t="str">
        <f>$A$135</f>
        <v xml:space="preserve">                    Sumitomo Electric Industries L</v>
      </c>
      <c r="B1258" t="str">
        <f>$B$135</f>
        <v>5802 JP Equity</v>
      </c>
      <c r="C1258" t="str">
        <f>$C$135</f>
        <v>F0946</v>
      </c>
      <c r="D1258" t="str">
        <f>$D$135</f>
        <v>TOTAL_GHG_CO2_EMISSIONS</v>
      </c>
      <c r="E1258" t="str">
        <f>$E$135</f>
        <v>Dynamic</v>
      </c>
      <c r="F1258" t="str">
        <f ca="1">_xll.BDH($B$135,$C$135,$B$1130,$B$1131,CONCATENATE("Per=",$B$1128),"Dts=H","Dir=H",CONCATENATE("Points=",$B$1129),"Sort=R","Days=A","Fill=B",CONCATENATE("FX=", $B$1127),"cols=5;rows=1")</f>
        <v/>
      </c>
      <c r="G1258">
        <v>1.4119999999999999</v>
      </c>
      <c r="H1258">
        <v>1.298</v>
      </c>
      <c r="I1258">
        <v>1.373</v>
      </c>
      <c r="J1258">
        <v>1.5409999999999999</v>
      </c>
      <c r="K1258" t="str">
        <f>""</f>
        <v/>
      </c>
      <c r="L1258" t="str">
        <f>""</f>
        <v/>
      </c>
      <c r="M1258" t="str">
        <f>""</f>
        <v/>
      </c>
      <c r="N1258" t="str">
        <f>""</f>
        <v/>
      </c>
      <c r="O1258" t="str">
        <f>""</f>
        <v/>
      </c>
    </row>
    <row r="1259" spans="1:15" x14ac:dyDescent="0.25">
      <c r="A1259" t="str">
        <f>$A$136</f>
        <v xml:space="preserve">                    Sumitomo Rubber Industries Ltd</v>
      </c>
      <c r="B1259" t="str">
        <f>$B$136</f>
        <v>5110 JP Equity</v>
      </c>
      <c r="C1259" t="str">
        <f>$C$136</f>
        <v>F0946</v>
      </c>
      <c r="D1259" t="str">
        <f>$D$136</f>
        <v>TOTAL_GHG_CO2_EMISSIONS</v>
      </c>
      <c r="E1259" t="str">
        <f>$E$136</f>
        <v>Dynamic</v>
      </c>
      <c r="F1259" t="str">
        <f ca="1">_xll.BDH($B$136,$C$136,$B$1130,$B$1131,CONCATENATE("Per=",$B$1128),"Dts=H","Dir=H",CONCATENATE("Points=",$B$1129),"Sort=R","Days=A","Fill=B",CONCATENATE("FX=", $B$1127),"cols=5;rows=1")</f>
        <v/>
      </c>
      <c r="G1259">
        <v>1.145</v>
      </c>
      <c r="H1259">
        <v>1.018</v>
      </c>
      <c r="I1259">
        <v>1.095</v>
      </c>
      <c r="J1259">
        <v>1.073</v>
      </c>
      <c r="K1259" t="str">
        <f>""</f>
        <v/>
      </c>
      <c r="L1259" t="str">
        <f>""</f>
        <v/>
      </c>
      <c r="M1259" t="str">
        <f>""</f>
        <v/>
      </c>
      <c r="N1259" t="str">
        <f>""</f>
        <v/>
      </c>
      <c r="O1259" t="str">
        <f>""</f>
        <v/>
      </c>
    </row>
    <row r="1260" spans="1:15" x14ac:dyDescent="0.25">
      <c r="A1260" t="str">
        <f>$A$137</f>
        <v xml:space="preserve">                    Nemak SAB de CV</v>
      </c>
      <c r="B1260" t="str">
        <f>$B$137</f>
        <v>NEMAKA MM Equity</v>
      </c>
      <c r="C1260" t="str">
        <f>$C$137</f>
        <v>F0946</v>
      </c>
      <c r="D1260" t="str">
        <f>$D$137</f>
        <v>TOTAL_GHG_CO2_EMISSIONS</v>
      </c>
      <c r="E1260" t="str">
        <f>$E$137</f>
        <v>Dynamic</v>
      </c>
      <c r="F1260">
        <f ca="1">_xll.BDH($B$137,$C$137,$B$1130,$B$1131,CONCATENATE("Per=",$B$1128),"Dts=H","Dir=H",CONCATENATE("Points=",$B$1129),"Sort=R","Days=A","Fill=B",CONCATENATE("FX=", $B$1127),"cols=5;rows=1")</f>
        <v>1.1242000000000001</v>
      </c>
      <c r="G1260">
        <v>1.2169000000000001</v>
      </c>
      <c r="H1260">
        <v>1.1617</v>
      </c>
      <c r="I1260">
        <v>1.36</v>
      </c>
      <c r="J1260">
        <v>1.52</v>
      </c>
      <c r="K1260" t="str">
        <f>""</f>
        <v/>
      </c>
      <c r="L1260" t="str">
        <f>""</f>
        <v/>
      </c>
      <c r="M1260" t="str">
        <f>""</f>
        <v/>
      </c>
      <c r="N1260" t="str">
        <f>""</f>
        <v/>
      </c>
      <c r="O1260" t="str">
        <f>""</f>
        <v/>
      </c>
    </row>
    <row r="1261" spans="1:15" x14ac:dyDescent="0.25">
      <c r="A1261" t="str">
        <f>$A$138</f>
        <v xml:space="preserve">                    Toyo Tire Corp</v>
      </c>
      <c r="B1261" t="str">
        <f>$B$138</f>
        <v>5105 JP Equity</v>
      </c>
      <c r="C1261" t="str">
        <f>$C$138</f>
        <v>F0946</v>
      </c>
      <c r="D1261" t="str">
        <f>$D$138</f>
        <v>TOTAL_GHG_CO2_EMISSIONS</v>
      </c>
      <c r="E1261" t="str">
        <f>$E$138</f>
        <v>Dynamic</v>
      </c>
      <c r="F1261" t="str">
        <f ca="1">_xll.BDH($B$138,$C$138,$B$1130,$B$1131,CONCATENATE("Per=",$B$1128),"Dts=H","Dir=H",CONCATENATE("Points=",$B$1129),"Sort=R","Days=A","Fill=B",CONCATENATE("FX=", $B$1127),"cols=5;rows=1")</f>
        <v/>
      </c>
      <c r="G1261">
        <v>0.55259999999999998</v>
      </c>
      <c r="H1261">
        <v>0.53549999999999998</v>
      </c>
      <c r="I1261">
        <v>0.59089999999999998</v>
      </c>
      <c r="J1261">
        <v>0.62629999999999997</v>
      </c>
      <c r="K1261" t="str">
        <f>""</f>
        <v/>
      </c>
      <c r="L1261" t="str">
        <f>""</f>
        <v/>
      </c>
      <c r="M1261" t="str">
        <f>""</f>
        <v/>
      </c>
      <c r="N1261" t="str">
        <f>""</f>
        <v/>
      </c>
      <c r="O1261" t="str">
        <f>""</f>
        <v/>
      </c>
    </row>
    <row r="1262" spans="1:15" x14ac:dyDescent="0.25">
      <c r="A1262" t="str">
        <f>$A$139</f>
        <v xml:space="preserve">                    TS Tech Co Ltd</v>
      </c>
      <c r="B1262" t="str">
        <f>$B$139</f>
        <v>7313 JP Equity</v>
      </c>
      <c r="C1262" t="str">
        <f>$C$139</f>
        <v>F0946</v>
      </c>
      <c r="D1262" t="str">
        <f>$D$139</f>
        <v>TOTAL_GHG_CO2_EMISSIONS</v>
      </c>
      <c r="E1262" t="str">
        <f>$E$139</f>
        <v>Dynamic</v>
      </c>
      <c r="F1262" t="str">
        <f ca="1">_xll.BDH($B$139,$C$139,$B$1130,$B$1131,CONCATENATE("Per=",$B$1128),"Dts=H","Dir=H",CONCATENATE("Points=",$B$1129),"Sort=R","Days=A","Fill=B",CONCATENATE("FX=", $B$1127),"cols=5;rows=1")</f>
        <v/>
      </c>
      <c r="G1262">
        <v>6.4799999999999996E-2</v>
      </c>
      <c r="H1262">
        <v>6.6500000000000004E-2</v>
      </c>
      <c r="I1262">
        <v>8.5000000000000006E-2</v>
      </c>
      <c r="J1262">
        <v>9.3399999999999997E-2</v>
      </c>
      <c r="K1262" t="str">
        <f>""</f>
        <v/>
      </c>
      <c r="L1262" t="str">
        <f>""</f>
        <v/>
      </c>
      <c r="M1262" t="str">
        <f>""</f>
        <v/>
      </c>
      <c r="N1262" t="str">
        <f>""</f>
        <v/>
      </c>
      <c r="O1262" t="str">
        <f>""</f>
        <v/>
      </c>
    </row>
    <row r="1263" spans="1:15" x14ac:dyDescent="0.25">
      <c r="A1263" t="str">
        <f>$A$140</f>
        <v xml:space="preserve">                    Goodyear Tire &amp; Rubber Co/The</v>
      </c>
      <c r="B1263" t="str">
        <f>$B$140</f>
        <v>GT US Equity</v>
      </c>
      <c r="C1263" t="str">
        <f>$C$140</f>
        <v>F0946</v>
      </c>
      <c r="D1263" t="str">
        <f>$D$140</f>
        <v>TOTAL_GHG_CO2_EMISSIONS</v>
      </c>
      <c r="E1263" t="str">
        <f>$E$140</f>
        <v>Dynamic</v>
      </c>
      <c r="F1263" t="str">
        <f ca="1">_xll.BDH($B$140,$C$140,$B$1130,$B$1131,CONCATENATE("Per=",$B$1128),"Dts=H","Dir=H",CONCATENATE("Points=",$B$1129),"Sort=R","Days=A","Fill=B",CONCATENATE("FX=", $B$1127),"cols=5;rows=1")</f>
        <v/>
      </c>
      <c r="G1263">
        <v>2.7347000000000001</v>
      </c>
      <c r="H1263">
        <v>2.2440000000000002</v>
      </c>
      <c r="I1263">
        <v>2.617</v>
      </c>
      <c r="J1263">
        <v>2.7423000000000002</v>
      </c>
      <c r="K1263" t="str">
        <f>""</f>
        <v/>
      </c>
      <c r="L1263" t="str">
        <f>""</f>
        <v/>
      </c>
      <c r="M1263" t="str">
        <f>""</f>
        <v/>
      </c>
      <c r="N1263" t="str">
        <f>""</f>
        <v/>
      </c>
      <c r="O1263" t="str">
        <f>""</f>
        <v/>
      </c>
    </row>
    <row r="1264" spans="1:15" x14ac:dyDescent="0.25">
      <c r="A1264" t="str">
        <f>$A$141</f>
        <v xml:space="preserve">                    Tokai Rika Co Ltd</v>
      </c>
      <c r="B1264" t="str">
        <f>$B$141</f>
        <v>6995 JP Equity</v>
      </c>
      <c r="C1264" t="str">
        <f>$C$141</f>
        <v>F0946</v>
      </c>
      <c r="D1264" t="str">
        <f>$D$141</f>
        <v>TOTAL_GHG_CO2_EMISSIONS</v>
      </c>
      <c r="E1264" t="str">
        <f>$E$141</f>
        <v>Dynamic</v>
      </c>
      <c r="F1264" t="str">
        <f ca="1">_xll.BDH($B$141,$C$141,$B$1130,$B$1131,CONCATENATE("Per=",$B$1128),"Dts=H","Dir=H",CONCATENATE("Points=",$B$1129),"Sort=R","Days=A","Fill=B",CONCATENATE("FX=", $B$1127),"cols=5;rows=1")</f>
        <v/>
      </c>
      <c r="G1264">
        <v>0.25219999999999998</v>
      </c>
      <c r="H1264">
        <v>0.2132</v>
      </c>
      <c r="I1264">
        <v>0.23860000000000001</v>
      </c>
      <c r="J1264">
        <v>0.2117</v>
      </c>
      <c r="K1264" t="str">
        <f>""</f>
        <v/>
      </c>
      <c r="L1264" t="str">
        <f>""</f>
        <v/>
      </c>
      <c r="M1264" t="str">
        <f>""</f>
        <v/>
      </c>
      <c r="N1264" t="str">
        <f>""</f>
        <v/>
      </c>
      <c r="O1264" t="str">
        <f>""</f>
        <v/>
      </c>
    </row>
    <row r="1265" spans="1:15" x14ac:dyDescent="0.25">
      <c r="A1265" t="str">
        <f>$A$142</f>
        <v xml:space="preserve">                    Toyoda Gosei Co Ltd</v>
      </c>
      <c r="B1265" t="str">
        <f>$B$142</f>
        <v>7282 JP Equity</v>
      </c>
      <c r="C1265" t="str">
        <f>$C$142</f>
        <v>F0946</v>
      </c>
      <c r="D1265" t="str">
        <f>$D$142</f>
        <v>TOTAL_GHG_CO2_EMISSIONS</v>
      </c>
      <c r="E1265" t="str">
        <f>$E$142</f>
        <v>Dynamic</v>
      </c>
      <c r="F1265" t="str">
        <f ca="1">_xll.BDH($B$142,$C$142,$B$1130,$B$1131,CONCATENATE("Per=",$B$1128),"Dts=H","Dir=H",CONCATENATE("Points=",$B$1129),"Sort=R","Days=A","Fill=B",CONCATENATE("FX=", $B$1127),"cols=5;rows=1")</f>
        <v/>
      </c>
      <c r="G1265">
        <v>0.51490000000000002</v>
      </c>
      <c r="H1265">
        <v>7.0199999999999999E-2</v>
      </c>
      <c r="I1265">
        <v>0.76300000000000001</v>
      </c>
      <c r="J1265">
        <v>0.81699999999999995</v>
      </c>
      <c r="K1265" t="str">
        <f>""</f>
        <v/>
      </c>
      <c r="L1265" t="str">
        <f>""</f>
        <v/>
      </c>
      <c r="M1265" t="str">
        <f>""</f>
        <v/>
      </c>
      <c r="N1265" t="str">
        <f>""</f>
        <v/>
      </c>
      <c r="O1265" t="str">
        <f>""</f>
        <v/>
      </c>
    </row>
    <row r="1266" spans="1:15" x14ac:dyDescent="0.25">
      <c r="A1266" t="str">
        <f>$A$143</f>
        <v xml:space="preserve">                    Toyota Boshoku Corp</v>
      </c>
      <c r="B1266" t="str">
        <f>$B$143</f>
        <v>3116 JP Equity</v>
      </c>
      <c r="C1266" t="str">
        <f>$C$143</f>
        <v>F0946</v>
      </c>
      <c r="D1266" t="str">
        <f>$D$143</f>
        <v>TOTAL_GHG_CO2_EMISSIONS</v>
      </c>
      <c r="E1266" t="str">
        <f>$E$143</f>
        <v>Dynamic</v>
      </c>
      <c r="F1266" t="str">
        <f ca="1">_xll.BDH($B$143,$C$143,$B$1130,$B$1131,CONCATENATE("Per=",$B$1128),"Dts=H","Dir=H",CONCATENATE("Points=",$B$1129),"Sort=R","Days=A","Fill=B",CONCATENATE("FX=", $B$1127),"cols=5;rows=1")</f>
        <v/>
      </c>
      <c r="G1266">
        <v>0.3125</v>
      </c>
      <c r="H1266">
        <v>0.28849999999999998</v>
      </c>
      <c r="I1266">
        <v>0.2989</v>
      </c>
      <c r="J1266">
        <v>0.29970000000000002</v>
      </c>
      <c r="K1266" t="str">
        <f>""</f>
        <v/>
      </c>
      <c r="L1266" t="str">
        <f>""</f>
        <v/>
      </c>
      <c r="M1266" t="str">
        <f>""</f>
        <v/>
      </c>
      <c r="N1266" t="str">
        <f>""</f>
        <v/>
      </c>
      <c r="O1266" t="str">
        <f>""</f>
        <v/>
      </c>
    </row>
    <row r="1267" spans="1:15" x14ac:dyDescent="0.25">
      <c r="A1267" t="str">
        <f>$A$144</f>
        <v xml:space="preserve">                    Visteon Corp</v>
      </c>
      <c r="B1267" t="str">
        <f>$B$144</f>
        <v>VC US Equity</v>
      </c>
      <c r="C1267" t="str">
        <f>$C$144</f>
        <v>F0946</v>
      </c>
      <c r="D1267" t="str">
        <f>$D$144</f>
        <v>TOTAL_GHG_CO2_EMISSIONS</v>
      </c>
      <c r="E1267" t="str">
        <f>$E$144</f>
        <v>Dynamic</v>
      </c>
      <c r="F1267" t="str">
        <f ca="1">_xll.BDH($B$144,$C$144,$B$1130,$B$1131,CONCATENATE("Per=",$B$1128),"Dts=H","Dir=H",CONCATENATE("Points=",$B$1129),"Sort=R","Days=A","Fill=B",CONCATENATE("FX=", $B$1127) )</f>
        <v/>
      </c>
      <c r="K1267" t="str">
        <f>""</f>
        <v/>
      </c>
      <c r="L1267" t="str">
        <f>""</f>
        <v/>
      </c>
      <c r="M1267" t="str">
        <f>""</f>
        <v/>
      </c>
      <c r="N1267" t="str">
        <f>""</f>
        <v/>
      </c>
      <c r="O1267" t="str">
        <f>""</f>
        <v/>
      </c>
    </row>
    <row r="1268" spans="1:15" x14ac:dyDescent="0.25">
      <c r="A1268" t="str">
        <f>$A$145</f>
        <v xml:space="preserve">                    Valeo</v>
      </c>
      <c r="B1268" t="str">
        <f>$B$145</f>
        <v>FR FP Equity</v>
      </c>
      <c r="C1268" t="str">
        <f>$C$145</f>
        <v>F0946</v>
      </c>
      <c r="D1268" t="str">
        <f>$D$145</f>
        <v>TOTAL_GHG_CO2_EMISSIONS</v>
      </c>
      <c r="E1268" t="str">
        <f>$E$145</f>
        <v>Dynamic</v>
      </c>
      <c r="F1268">
        <f ca="1">_xll.BDH($B$145,$C$145,$B$1130,$B$1131,CONCATENATE("Per=",$B$1128),"Dts=H","Dir=H",CONCATENATE("Points=",$B$1129),"Sort=R","Days=A","Fill=B",CONCATENATE("FX=", $B$1127),"cols=5;rows=1")</f>
        <v>0.70799999999999996</v>
      </c>
      <c r="G1268">
        <v>1.0213000000000001</v>
      </c>
      <c r="H1268">
        <v>1.018</v>
      </c>
      <c r="I1268">
        <v>1.1414</v>
      </c>
      <c r="J1268">
        <v>1.0458000000000001</v>
      </c>
      <c r="K1268" t="str">
        <f>""</f>
        <v/>
      </c>
      <c r="L1268" t="str">
        <f>""</f>
        <v/>
      </c>
      <c r="M1268" t="str">
        <f>""</f>
        <v/>
      </c>
      <c r="N1268" t="str">
        <f>""</f>
        <v/>
      </c>
      <c r="O1268" t="str">
        <f>""</f>
        <v/>
      </c>
    </row>
    <row r="1269" spans="1:15" x14ac:dyDescent="0.25">
      <c r="A1269" t="str">
        <f>$A$146</f>
        <v xml:space="preserve">                    Yazaki Corp</v>
      </c>
      <c r="B1269" t="str">
        <f>$B$146</f>
        <v>YAZZ JP Equity</v>
      </c>
      <c r="C1269" t="str">
        <f>$C$146</f>
        <v>F0946</v>
      </c>
      <c r="D1269" t="str">
        <f>$D$146</f>
        <v>TOTAL_GHG_CO2_EMISSIONS</v>
      </c>
      <c r="E1269" t="str">
        <f>$E$146</f>
        <v>Dynamic</v>
      </c>
      <c r="F1269" t="str">
        <f ca="1">_xll.BDH($B$146,$C$146,$B$1130,$B$1131,CONCATENATE("Per=",$B$1128),"Dts=H","Dir=H",CONCATENATE("Points=",$B$1129),"Sort=R","Days=A","Fill=B",CONCATENATE("FX=", $B$1127) )</f>
        <v/>
      </c>
      <c r="K1269" t="str">
        <f>""</f>
        <v/>
      </c>
      <c r="L1269" t="str">
        <f>""</f>
        <v/>
      </c>
      <c r="M1269" t="str">
        <f>""</f>
        <v/>
      </c>
      <c r="N1269" t="str">
        <f>""</f>
        <v/>
      </c>
      <c r="O1269" t="str">
        <f>""</f>
        <v/>
      </c>
    </row>
    <row r="1270" spans="1:15" x14ac:dyDescent="0.25">
      <c r="A1270" t="str">
        <f>$A$147</f>
        <v xml:space="preserve">                    Yokohama Rubber Co Ltd/The</v>
      </c>
      <c r="B1270" t="str">
        <f>$B$147</f>
        <v>5101 JP Equity</v>
      </c>
      <c r="C1270" t="str">
        <f>$C$147</f>
        <v>F0946</v>
      </c>
      <c r="D1270" t="str">
        <f>$D$147</f>
        <v>TOTAL_GHG_CO2_EMISSIONS</v>
      </c>
      <c r="E1270" t="str">
        <f>$E$147</f>
        <v>Dynamic</v>
      </c>
      <c r="F1270" t="str">
        <f ca="1">_xll.BDH($B$147,$C$147,$B$1130,$B$1131,CONCATENATE("Per=",$B$1128),"Dts=H","Dir=H",CONCATENATE("Points=",$B$1129),"Sort=R","Days=A","Fill=B",CONCATENATE("FX=", $B$1127),"cols=5;rows=1")</f>
        <v/>
      </c>
      <c r="G1270">
        <v>1.1242000000000001</v>
      </c>
      <c r="H1270">
        <v>0.98599999999999999</v>
      </c>
      <c r="I1270">
        <v>1.052</v>
      </c>
      <c r="J1270">
        <v>0.72</v>
      </c>
      <c r="K1270" t="str">
        <f>""</f>
        <v/>
      </c>
      <c r="L1270" t="str">
        <f>""</f>
        <v/>
      </c>
      <c r="M1270" t="str">
        <f>""</f>
        <v/>
      </c>
      <c r="N1270" t="str">
        <f>""</f>
        <v/>
      </c>
      <c r="O1270" t="str">
        <f>""</f>
        <v/>
      </c>
    </row>
    <row r="1271" spans="1:15" x14ac:dyDescent="0.25">
      <c r="A1271" t="str">
        <f>$A$148</f>
        <v xml:space="preserve">                    ZF Friedrichshafen AG</v>
      </c>
      <c r="B1271" t="str">
        <f>$B$148</f>
        <v>1003Z GR Equity</v>
      </c>
      <c r="C1271" t="str">
        <f>$C$148</f>
        <v>F0946</v>
      </c>
      <c r="D1271" t="str">
        <f>$D$148</f>
        <v>TOTAL_GHG_CO2_EMISSIONS</v>
      </c>
      <c r="E1271" t="str">
        <f>$E$148</f>
        <v>Dynamic</v>
      </c>
      <c r="F1271" t="str">
        <f ca="1">_xll.BDH($B$148,$C$148,$B$1130,$B$1131,CONCATENATE("Per=",$B$1128),"Dts=H","Dir=H",CONCATENATE("Points=",$B$1129),"Sort=R","Days=A","Fill=B",CONCATENATE("FX=", $B$1127) )</f>
        <v/>
      </c>
      <c r="K1271" t="str">
        <f>""</f>
        <v/>
      </c>
      <c r="L1271" t="str">
        <f>""</f>
        <v/>
      </c>
      <c r="M1271" t="str">
        <f>""</f>
        <v/>
      </c>
      <c r="N1271" t="str">
        <f>""</f>
        <v/>
      </c>
      <c r="O1271" t="str">
        <f>""</f>
        <v/>
      </c>
    </row>
    <row r="1272" spans="1:15" x14ac:dyDescent="0.25">
      <c r="A1272" t="str">
        <f>$A$150</f>
        <v xml:space="preserve">                Accor SA</v>
      </c>
      <c r="B1272" t="str">
        <f>$B$150</f>
        <v>AC FP Equity</v>
      </c>
      <c r="C1272" t="str">
        <f>$C$150</f>
        <v>F0946</v>
      </c>
      <c r="D1272" t="str">
        <f>$D$150</f>
        <v>TOTAL_GHG_CO2_EMISSIONS</v>
      </c>
      <c r="E1272" t="str">
        <f>$E$150</f>
        <v>Dynamic</v>
      </c>
      <c r="F1272">
        <f ca="1">_xll.BDH($B$150,$C$150,$B$1130,$B$1131,CONCATENATE("Per=",$B$1128),"Dts=H","Dir=H",CONCATENATE("Points=",$B$1129),"Sort=R","Days=A","Fill=B",CONCATENATE("FX=", $B$1127),"cols=5;rows=1")</f>
        <v>2.9279999999999999</v>
      </c>
      <c r="G1272">
        <v>2.7833000000000001</v>
      </c>
      <c r="H1272">
        <v>1.2709999999999999</v>
      </c>
      <c r="I1272">
        <v>1.95</v>
      </c>
      <c r="J1272">
        <v>2.11</v>
      </c>
      <c r="K1272" t="str">
        <f>""</f>
        <v/>
      </c>
      <c r="L1272" t="str">
        <f>""</f>
        <v/>
      </c>
      <c r="M1272" t="str">
        <f>""</f>
        <v/>
      </c>
      <c r="N1272" t="str">
        <f>""</f>
        <v/>
      </c>
      <c r="O1272" t="str">
        <f>""</f>
        <v/>
      </c>
    </row>
    <row r="1273" spans="1:15" x14ac:dyDescent="0.25">
      <c r="A1273" t="str">
        <f>$A$151</f>
        <v xml:space="preserve">                Choice Hotels International In</v>
      </c>
      <c r="B1273" t="str">
        <f>$B$151</f>
        <v>CHH US Equity</v>
      </c>
      <c r="C1273" t="str">
        <f>$C$151</f>
        <v>F0946</v>
      </c>
      <c r="D1273" t="str">
        <f>$D$151</f>
        <v>TOTAL_GHG_CO2_EMISSIONS</v>
      </c>
      <c r="E1273" t="str">
        <f>$E$151</f>
        <v>Dynamic</v>
      </c>
      <c r="F1273" t="str">
        <f ca="1">_xll.BDH($B$151,$C$151,$B$1130,$B$1131,CONCATENATE("Per=",$B$1128),"Dts=H","Dir=H",CONCATENATE("Points=",$B$1129),"Sort=R","Days=A","Fill=B",CONCATENATE("FX=", $B$1127) )</f>
        <v/>
      </c>
      <c r="K1273" t="str">
        <f>""</f>
        <v/>
      </c>
      <c r="L1273" t="str">
        <f>""</f>
        <v/>
      </c>
      <c r="M1273" t="str">
        <f>""</f>
        <v/>
      </c>
      <c r="N1273" t="str">
        <f>""</f>
        <v/>
      </c>
      <c r="O1273" t="str">
        <f>""</f>
        <v/>
      </c>
    </row>
    <row r="1274" spans="1:15" x14ac:dyDescent="0.25">
      <c r="A1274" t="str">
        <f>$A$152</f>
        <v xml:space="preserve">                Great Eagle Holdings Ltd</v>
      </c>
      <c r="B1274" t="str">
        <f>$B$152</f>
        <v>41 HK Equity</v>
      </c>
      <c r="C1274" t="str">
        <f>$C$152</f>
        <v>F0946</v>
      </c>
      <c r="D1274" t="str">
        <f>$D$152</f>
        <v>TOTAL_GHG_CO2_EMISSIONS</v>
      </c>
      <c r="E1274" t="str">
        <f>$E$152</f>
        <v>Dynamic</v>
      </c>
      <c r="F1274">
        <f ca="1">_xll.BDH($B$152,$C$152,$B$1130,$B$1131,CONCATENATE("Per=",$B$1128),"Dts=H","Dir=H",CONCATENATE("Points=",$B$1129),"Sort=R","Days=A","Fill=B",CONCATENATE("FX=", $B$1127),"cols=5;rows=1")</f>
        <v>7.7799999999999994E-2</v>
      </c>
      <c r="J1274">
        <v>0.12089999999999999</v>
      </c>
      <c r="K1274" t="str">
        <f>""</f>
        <v/>
      </c>
      <c r="L1274" t="str">
        <f>""</f>
        <v/>
      </c>
      <c r="M1274" t="str">
        <f>""</f>
        <v/>
      </c>
      <c r="N1274" t="str">
        <f>""</f>
        <v/>
      </c>
      <c r="O1274" t="str">
        <f>""</f>
        <v/>
      </c>
    </row>
    <row r="1275" spans="1:15" x14ac:dyDescent="0.25">
      <c r="A1275" t="str">
        <f>$A$153</f>
        <v xml:space="preserve">                H World Group Ltd</v>
      </c>
      <c r="B1275" t="str">
        <f>$B$153</f>
        <v>HTHT US Equity</v>
      </c>
      <c r="C1275" t="str">
        <f>$C$153</f>
        <v>F0946</v>
      </c>
      <c r="D1275" t="str">
        <f>$D$153</f>
        <v>TOTAL_GHG_CO2_EMISSIONS</v>
      </c>
      <c r="E1275" t="str">
        <f>$E$153</f>
        <v>Dynamic</v>
      </c>
      <c r="F1275">
        <f ca="1">_xll.BDH($B$153,$C$153,$B$1130,$B$1131,CONCATENATE("Per=",$B$1128),"Dts=H","Dir=H",CONCATENATE("Points=",$B$1129),"Sort=R","Days=A","Fill=B",CONCATENATE("FX=", $B$1127),"cols=5;rows=1")</f>
        <v>0.2868</v>
      </c>
      <c r="G1275">
        <v>0.29530000000000001</v>
      </c>
      <c r="H1275">
        <v>0.25669999999999998</v>
      </c>
      <c r="K1275" t="str">
        <f>""</f>
        <v/>
      </c>
      <c r="L1275" t="str">
        <f>""</f>
        <v/>
      </c>
      <c r="M1275" t="str">
        <f>""</f>
        <v/>
      </c>
      <c r="N1275" t="str">
        <f>""</f>
        <v/>
      </c>
      <c r="O1275" t="str">
        <f>""</f>
        <v/>
      </c>
    </row>
    <row r="1276" spans="1:15" x14ac:dyDescent="0.25">
      <c r="A1276" t="str">
        <f>$A$154</f>
        <v xml:space="preserve">                Hilton Worldwide Holdings Inc</v>
      </c>
      <c r="B1276" t="str">
        <f>$B$154</f>
        <v>HLT US Equity</v>
      </c>
      <c r="C1276" t="str">
        <f>$C$154</f>
        <v>F0946</v>
      </c>
      <c r="D1276" t="str">
        <f>$D$154</f>
        <v>TOTAL_GHG_CO2_EMISSIONS</v>
      </c>
      <c r="E1276" t="str">
        <f>$E$154</f>
        <v>Dynamic</v>
      </c>
      <c r="F1276">
        <f ca="1">_xll.BDH($B$154,$C$154,$B$1130,$B$1131,CONCATENATE("Per=",$B$1128),"Dts=H","Dir=H",CONCATENATE("Points=",$B$1129),"Sort=R","Days=A","Fill=B",CONCATENATE("FX=", $B$1127),"cols=5;rows=1")</f>
        <v>2.3689</v>
      </c>
      <c r="G1276">
        <v>2.1932999999999998</v>
      </c>
      <c r="H1276">
        <v>1.7493000000000001</v>
      </c>
      <c r="I1276">
        <v>2.4253999999999998</v>
      </c>
      <c r="J1276">
        <v>2.4070999999999998</v>
      </c>
      <c r="K1276" t="str">
        <f>""</f>
        <v/>
      </c>
      <c r="L1276" t="str">
        <f>""</f>
        <v/>
      </c>
      <c r="M1276" t="str">
        <f>""</f>
        <v/>
      </c>
      <c r="N1276" t="str">
        <f>""</f>
        <v/>
      </c>
      <c r="O1276" t="str">
        <f>""</f>
        <v/>
      </c>
    </row>
    <row r="1277" spans="1:15" x14ac:dyDescent="0.25">
      <c r="A1277" t="str">
        <f>$A$155</f>
        <v xml:space="preserve">                Hyatt Hotels Corp</v>
      </c>
      <c r="B1277" t="str">
        <f>$B$155</f>
        <v>H US Equity</v>
      </c>
      <c r="C1277" t="str">
        <f>$C$155</f>
        <v>F0946</v>
      </c>
      <c r="D1277" t="str">
        <f>$D$155</f>
        <v>TOTAL_GHG_CO2_EMISSIONS</v>
      </c>
      <c r="E1277" t="str">
        <f>$E$155</f>
        <v>Dynamic</v>
      </c>
      <c r="F1277" t="str">
        <f ca="1">_xll.BDH($B$155,$C$155,$B$1130,$B$1131,CONCATENATE("Per=",$B$1128),"Dts=H","Dir=H",CONCATENATE("Points=",$B$1129),"Sort=R","Days=A","Fill=B",CONCATENATE("FX=", $B$1127),"cols=5;rows=1")</f>
        <v/>
      </c>
      <c r="G1277">
        <v>1.5699000000000001</v>
      </c>
      <c r="H1277">
        <v>1.2919</v>
      </c>
      <c r="I1277">
        <v>1.702</v>
      </c>
      <c r="J1277">
        <v>1.5931999999999999</v>
      </c>
      <c r="K1277" t="str">
        <f>""</f>
        <v/>
      </c>
      <c r="L1277" t="str">
        <f>""</f>
        <v/>
      </c>
      <c r="M1277" t="str">
        <f>""</f>
        <v/>
      </c>
      <c r="N1277" t="str">
        <f>""</f>
        <v/>
      </c>
      <c r="O1277" t="str">
        <f>""</f>
        <v/>
      </c>
    </row>
    <row r="1278" spans="1:15" x14ac:dyDescent="0.25">
      <c r="A1278" t="str">
        <f>$A$156</f>
        <v xml:space="preserve">                InterContinental Hotels Group</v>
      </c>
      <c r="B1278" t="str">
        <f>$B$156</f>
        <v>IHG LN Equity</v>
      </c>
      <c r="C1278" t="str">
        <f>$C$156</f>
        <v>F0946</v>
      </c>
      <c r="D1278" t="str">
        <f>$D$156</f>
        <v>TOTAL_GHG_CO2_EMISSIONS</v>
      </c>
      <c r="E1278" t="str">
        <f>$E$156</f>
        <v>Dynamic</v>
      </c>
      <c r="F1278">
        <f ca="1">_xll.BDH($B$156,$C$156,$B$1130,$B$1131,CONCATENATE("Per=",$B$1128),"Dts=H","Dir=H",CONCATENATE("Points=",$B$1129),"Sort=R","Days=A","Fill=B",CONCATENATE("FX=", $B$1127),"cols=5;rows=1")</f>
        <v>2.4828000000000001</v>
      </c>
      <c r="G1278">
        <v>2.2307000000000001</v>
      </c>
      <c r="H1278">
        <v>1.8718999999999999</v>
      </c>
      <c r="I1278">
        <v>2.5371000000000001</v>
      </c>
      <c r="J1278">
        <v>2.4281000000000001</v>
      </c>
      <c r="K1278" t="str">
        <f>""</f>
        <v/>
      </c>
      <c r="L1278" t="str">
        <f>""</f>
        <v/>
      </c>
      <c r="M1278" t="str">
        <f>""</f>
        <v/>
      </c>
      <c r="N1278" t="str">
        <f>""</f>
        <v/>
      </c>
      <c r="O1278" t="str">
        <f>""</f>
        <v/>
      </c>
    </row>
    <row r="1279" spans="1:15" x14ac:dyDescent="0.25">
      <c r="A1279" t="str">
        <f>$A$157</f>
        <v xml:space="preserve">                Melia Hotels International SA</v>
      </c>
      <c r="B1279" t="str">
        <f>$B$157</f>
        <v>MEL SM Equity</v>
      </c>
      <c r="C1279" t="str">
        <f>$C$157</f>
        <v>F0946</v>
      </c>
      <c r="D1279" t="str">
        <f>$D$157</f>
        <v>TOTAL_GHG_CO2_EMISSIONS</v>
      </c>
      <c r="E1279" t="str">
        <f>$E$157</f>
        <v>Dynamic</v>
      </c>
      <c r="F1279" t="str">
        <f ca="1">_xll.BDH($B$157,$C$157,$B$1130,$B$1131,CONCATENATE("Per=",$B$1128),"Dts=H","Dir=H",CONCATENATE("Points=",$B$1129),"Sort=R","Days=A","Fill=B",CONCATENATE("FX=", $B$1127),"cols=5;rows=1")</f>
        <v/>
      </c>
      <c r="G1279">
        <v>0.22850000000000001</v>
      </c>
      <c r="H1279">
        <v>0.20269999999999999</v>
      </c>
      <c r="I1279">
        <v>0.1706</v>
      </c>
      <c r="J1279">
        <v>0.20499999999999999</v>
      </c>
      <c r="K1279" t="str">
        <f>""</f>
        <v/>
      </c>
      <c r="L1279" t="str">
        <f>""</f>
        <v/>
      </c>
      <c r="M1279" t="str">
        <f>""</f>
        <v/>
      </c>
      <c r="N1279" t="str">
        <f>""</f>
        <v/>
      </c>
      <c r="O1279" t="str">
        <f>""</f>
        <v/>
      </c>
    </row>
    <row r="1280" spans="1:15" x14ac:dyDescent="0.25">
      <c r="A1280" t="str">
        <f>$A$158</f>
        <v xml:space="preserve">                Marriott International Inc/MD</v>
      </c>
      <c r="B1280" t="str">
        <f>$B$158</f>
        <v>MAR US Equity</v>
      </c>
      <c r="C1280" t="str">
        <f>$C$158</f>
        <v>F0946</v>
      </c>
      <c r="D1280" t="str">
        <f>$D$158</f>
        <v>TOTAL_GHG_CO2_EMISSIONS</v>
      </c>
      <c r="E1280" t="str">
        <f>$E$158</f>
        <v>Dynamic</v>
      </c>
      <c r="F1280" t="str">
        <f ca="1">_xll.BDH($B$158,$C$158,$B$1130,$B$1131,CONCATENATE("Per=",$B$1128),"Dts=H","Dir=H",CONCATENATE("Points=",$B$1129),"Sort=R","Days=A","Fill=B",CONCATENATE("FX=", $B$1127),"cols=5;rows=1")</f>
        <v/>
      </c>
      <c r="G1280">
        <v>5.8129999999999997</v>
      </c>
      <c r="H1280">
        <v>5.1254999999999997</v>
      </c>
      <c r="I1280">
        <v>6.8063000000000002</v>
      </c>
      <c r="J1280">
        <v>6.8362999999999996</v>
      </c>
      <c r="K1280" t="str">
        <f>""</f>
        <v/>
      </c>
      <c r="L1280" t="str">
        <f>""</f>
        <v/>
      </c>
      <c r="M1280" t="str">
        <f>""</f>
        <v/>
      </c>
      <c r="N1280" t="str">
        <f>""</f>
        <v/>
      </c>
      <c r="O1280" t="str">
        <f>""</f>
        <v/>
      </c>
    </row>
    <row r="1281" spans="1:15" x14ac:dyDescent="0.25">
      <c r="A1281" t="str">
        <f>$A$159</f>
        <v xml:space="preserve">                Shanghai Jinjiang Internationa</v>
      </c>
      <c r="B1281" t="str">
        <f>$B$159</f>
        <v>600754 CH Equity</v>
      </c>
      <c r="C1281" t="str">
        <f>$C$159</f>
        <v>F0946</v>
      </c>
      <c r="D1281" t="str">
        <f>$D$159</f>
        <v>TOTAL_GHG_CO2_EMISSIONS</v>
      </c>
      <c r="E1281" t="str">
        <f>$E$159</f>
        <v>Dynamic</v>
      </c>
      <c r="F1281" t="str">
        <f ca="1">_xll.BDH($B$159,$C$159,$B$1130,$B$1131,CONCATENATE("Per=",$B$1128),"Dts=H","Dir=H",CONCATENATE("Points=",$B$1129),"Sort=R","Days=A","Fill=B",CONCATENATE("FX=", $B$1127) )</f>
        <v/>
      </c>
      <c r="K1281" t="str">
        <f>""</f>
        <v/>
      </c>
      <c r="L1281" t="str">
        <f>""</f>
        <v/>
      </c>
      <c r="M1281" t="str">
        <f>""</f>
        <v/>
      </c>
      <c r="N1281" t="str">
        <f>""</f>
        <v/>
      </c>
      <c r="O1281" t="str">
        <f>""</f>
        <v/>
      </c>
    </row>
    <row r="1282" spans="1:15" x14ac:dyDescent="0.25">
      <c r="A1282" t="str">
        <f>$A$160</f>
        <v xml:space="preserve">                Shangri-La Asia Ltd</v>
      </c>
      <c r="B1282" t="str">
        <f>$B$160</f>
        <v>69 HK Equity</v>
      </c>
      <c r="C1282" t="str">
        <f>$C$160</f>
        <v>F0946</v>
      </c>
      <c r="D1282" t="str">
        <f>$D$160</f>
        <v>TOTAL_GHG_CO2_EMISSIONS</v>
      </c>
      <c r="E1282" t="str">
        <f>$E$160</f>
        <v>Dynamic</v>
      </c>
      <c r="F1282">
        <f ca="1">_xll.BDH($B$160,$C$160,$B$1130,$B$1131,CONCATENATE("Per=",$B$1128),"Dts=H","Dir=H",CONCATENATE("Points=",$B$1129),"Sort=R","Days=A","Fill=B",CONCATENATE("FX=", $B$1127),"cols=5;rows=1")</f>
        <v>0.749</v>
      </c>
      <c r="G1282">
        <v>0.69620000000000004</v>
      </c>
      <c r="H1282">
        <v>0.74809999999999999</v>
      </c>
      <c r="I1282">
        <v>1.0481</v>
      </c>
      <c r="J1282">
        <v>1.0962000000000001</v>
      </c>
      <c r="K1282" t="str">
        <f>""</f>
        <v/>
      </c>
      <c r="L1282" t="str">
        <f>""</f>
        <v/>
      </c>
      <c r="M1282" t="str">
        <f>""</f>
        <v/>
      </c>
      <c r="N1282" t="str">
        <f>""</f>
        <v/>
      </c>
      <c r="O1282" t="str">
        <f>""</f>
        <v/>
      </c>
    </row>
    <row r="1283" spans="1:15" x14ac:dyDescent="0.25">
      <c r="A1283" t="str">
        <f>$A$161</f>
        <v xml:space="preserve">                Wyndham Hotels &amp; Resorts Inc</v>
      </c>
      <c r="B1283" t="str">
        <f>$B$161</f>
        <v>WH US Equity</v>
      </c>
      <c r="C1283" t="str">
        <f>$C$161</f>
        <v>F0946</v>
      </c>
      <c r="D1283" t="str">
        <f>$D$161</f>
        <v>TOTAL_GHG_CO2_EMISSIONS</v>
      </c>
      <c r="E1283" t="str">
        <f>$E$161</f>
        <v>Dynamic</v>
      </c>
      <c r="F1283" t="str">
        <f ca="1">_xll.BDH($B$161,$C$161,$B$1130,$B$1131,CONCATENATE("Per=",$B$1128),"Dts=H","Dir=H",CONCATENATE("Points=",$B$1129),"Sort=R","Days=A","Fill=B",CONCATENATE("FX=", $B$1127),"cols=5;rows=1")</f>
        <v/>
      </c>
      <c r="G1283">
        <v>0.22900000000000001</v>
      </c>
      <c r="H1283">
        <v>0.23810000000000001</v>
      </c>
      <c r="I1283">
        <v>0.33040000000000003</v>
      </c>
      <c r="J1283">
        <v>0.29339999999999999</v>
      </c>
      <c r="K1283" t="str">
        <f>""</f>
        <v/>
      </c>
      <c r="L1283" t="str">
        <f>""</f>
        <v/>
      </c>
      <c r="M1283" t="str">
        <f>""</f>
        <v/>
      </c>
      <c r="N1283" t="str">
        <f>""</f>
        <v/>
      </c>
      <c r="O1283" t="str">
        <f>""</f>
        <v/>
      </c>
    </row>
    <row r="1284" spans="1:15" x14ac:dyDescent="0.25">
      <c r="A1284" t="str">
        <f>$A$165</f>
        <v xml:space="preserve">                    Ambev SA</v>
      </c>
      <c r="B1284" t="str">
        <f>$B$165</f>
        <v>ABEV3 BZ Equity</v>
      </c>
      <c r="C1284" t="str">
        <f>$C$165</f>
        <v>F0946</v>
      </c>
      <c r="D1284" t="str">
        <f>$D$165</f>
        <v>TOTAL_GHG_CO2_EMISSIONS</v>
      </c>
      <c r="E1284" t="str">
        <f>$E$165</f>
        <v>Dynamic</v>
      </c>
      <c r="F1284">
        <f ca="1">_xll.BDH($B$165,$C$165,$B$1130,$B$1131,CONCATENATE("Per=",$B$1128),"Dts=H","Dir=H",CONCATENATE("Points=",$B$1129),"Sort=R","Days=A","Fill=B",CONCATENATE("FX=", $B$1127),"cols=5;rows=1")</f>
        <v>0.26640000000000003</v>
      </c>
      <c r="G1284">
        <v>0.54079999999999995</v>
      </c>
      <c r="H1284">
        <v>0.50760000000000005</v>
      </c>
      <c r="I1284">
        <v>0.51739999999999997</v>
      </c>
      <c r="J1284">
        <v>0.41120000000000001</v>
      </c>
      <c r="K1284" t="str">
        <f>""</f>
        <v/>
      </c>
      <c r="L1284" t="str">
        <f>""</f>
        <v/>
      </c>
      <c r="M1284" t="str">
        <f>""</f>
        <v/>
      </c>
      <c r="N1284" t="str">
        <f>""</f>
        <v/>
      </c>
      <c r="O1284" t="str">
        <f>""</f>
        <v/>
      </c>
    </row>
    <row r="1285" spans="1:15" x14ac:dyDescent="0.25">
      <c r="A1285" t="str">
        <f>$A$166</f>
        <v xml:space="preserve">                    Anadolu Efes Biracilik Ve Malt</v>
      </c>
      <c r="B1285" t="str">
        <f>$B$166</f>
        <v>AEFES TI Equity</v>
      </c>
      <c r="C1285" t="str">
        <f>$C$166</f>
        <v>F0946</v>
      </c>
      <c r="D1285" t="str">
        <f>$D$166</f>
        <v>TOTAL_GHG_CO2_EMISSIONS</v>
      </c>
      <c r="E1285" t="str">
        <f>$E$166</f>
        <v>Dynamic</v>
      </c>
      <c r="F1285" t="str">
        <f ca="1">_xll.BDH($B$166,$C$166,$B$1130,$B$1131,CONCATENATE("Per=",$B$1128),"Dts=H","Dir=H",CONCATENATE("Points=",$B$1129),"Sort=R","Days=A","Fill=B",CONCATENATE("FX=", $B$1127),"cols=5;rows=1")</f>
        <v/>
      </c>
      <c r="G1285">
        <v>0.40029999999999999</v>
      </c>
      <c r="H1285">
        <v>0.33789999999999998</v>
      </c>
      <c r="I1285">
        <v>0.35610000000000003</v>
      </c>
      <c r="J1285">
        <v>0.3654</v>
      </c>
      <c r="K1285" t="str">
        <f>""</f>
        <v/>
      </c>
      <c r="L1285" t="str">
        <f>""</f>
        <v/>
      </c>
      <c r="M1285" t="str">
        <f>""</f>
        <v/>
      </c>
      <c r="N1285" t="str">
        <f>""</f>
        <v/>
      </c>
      <c r="O1285" t="str">
        <f>""</f>
        <v/>
      </c>
    </row>
    <row r="1286" spans="1:15" x14ac:dyDescent="0.25">
      <c r="A1286" t="str">
        <f>$A$167</f>
        <v xml:space="preserve">                    Andrew Peller Ltd</v>
      </c>
      <c r="B1286" t="str">
        <f>$B$167</f>
        <v>ADW/A CN Equity</v>
      </c>
      <c r="C1286" t="str">
        <f>$C$167</f>
        <v>F0946</v>
      </c>
      <c r="D1286" t="str">
        <f>$D$167</f>
        <v>TOTAL_GHG_CO2_EMISSIONS</v>
      </c>
      <c r="E1286" t="str">
        <f>$E$167</f>
        <v>Dynamic</v>
      </c>
      <c r="F1286" t="str">
        <f ca="1">_xll.BDH($B$167,$C$167,$B$1130,$B$1131,CONCATENATE("Per=",$B$1128),"Dts=H","Dir=H",CONCATENATE("Points=",$B$1129),"Sort=R","Days=A","Fill=B",CONCATENATE("FX=", $B$1127) )</f>
        <v/>
      </c>
      <c r="K1286" t="str">
        <f>""</f>
        <v/>
      </c>
      <c r="L1286" t="str">
        <f>""</f>
        <v/>
      </c>
      <c r="M1286" t="str">
        <f>""</f>
        <v/>
      </c>
      <c r="N1286" t="str">
        <f>""</f>
        <v/>
      </c>
      <c r="O1286" t="str">
        <f>""</f>
        <v/>
      </c>
    </row>
    <row r="1287" spans="1:15" x14ac:dyDescent="0.25">
      <c r="A1287" t="str">
        <f>$A$168</f>
        <v xml:space="preserve">                    Anheuser-Busch InBev SA/NV</v>
      </c>
      <c r="B1287" t="str">
        <f>$B$168</f>
        <v>ABI BB Equity</v>
      </c>
      <c r="C1287" t="str">
        <f>$C$168</f>
        <v>F0946</v>
      </c>
      <c r="D1287" t="str">
        <f>$D$168</f>
        <v>TOTAL_GHG_CO2_EMISSIONS</v>
      </c>
      <c r="E1287" t="str">
        <f>$E$168</f>
        <v>Dynamic</v>
      </c>
      <c r="F1287">
        <f ca="1">_xll.BDH($B$168,$C$168,$B$1130,$B$1131,CONCATENATE("Per=",$B$1128),"Dts=H","Dir=H",CONCATENATE("Points=",$B$1129),"Sort=R","Days=A","Fill=B",CONCATENATE("FX=", $B$1127),"cols=5;rows=1")</f>
        <v>3.68</v>
      </c>
      <c r="G1287">
        <v>5.1978999999999997</v>
      </c>
      <c r="H1287">
        <v>4.71</v>
      </c>
      <c r="I1287">
        <v>5.36</v>
      </c>
      <c r="J1287">
        <v>6.03</v>
      </c>
      <c r="K1287" t="str">
        <f>""</f>
        <v/>
      </c>
      <c r="L1287" t="str">
        <f>""</f>
        <v/>
      </c>
      <c r="M1287" t="str">
        <f>""</f>
        <v/>
      </c>
      <c r="N1287" t="str">
        <f>""</f>
        <v/>
      </c>
      <c r="O1287" t="str">
        <f>""</f>
        <v/>
      </c>
    </row>
    <row r="1288" spans="1:15" x14ac:dyDescent="0.25">
      <c r="A1288" t="str">
        <f>$A$169</f>
        <v xml:space="preserve">                    Arca Continental SAB de CV</v>
      </c>
      <c r="B1288" t="str">
        <f>$B$169</f>
        <v>AC* MM Equity</v>
      </c>
      <c r="C1288" t="str">
        <f>$C$169</f>
        <v>F0946</v>
      </c>
      <c r="D1288" t="str">
        <f>$D$169</f>
        <v>TOTAL_GHG_CO2_EMISSIONS</v>
      </c>
      <c r="E1288" t="str">
        <f>$E$169</f>
        <v>Dynamic</v>
      </c>
      <c r="F1288">
        <f ca="1">_xll.BDH($B$169,$C$169,$B$1130,$B$1131,CONCATENATE("Per=",$B$1128),"Dts=H","Dir=H",CONCATENATE("Points=",$B$1129),"Sort=R","Days=A","Fill=B",CONCATENATE("FX=", $B$1127),"cols=5;rows=1")</f>
        <v>0.43940000000000001</v>
      </c>
      <c r="G1288">
        <v>0.33300000000000002</v>
      </c>
      <c r="H1288">
        <v>0.95299999999999996</v>
      </c>
      <c r="I1288">
        <v>0.49320000000000003</v>
      </c>
      <c r="J1288">
        <v>0.44550000000000001</v>
      </c>
      <c r="K1288" t="str">
        <f>""</f>
        <v/>
      </c>
      <c r="L1288" t="str">
        <f>""</f>
        <v/>
      </c>
      <c r="M1288" t="str">
        <f>""</f>
        <v/>
      </c>
      <c r="N1288" t="str">
        <f>""</f>
        <v/>
      </c>
      <c r="O1288" t="str">
        <f>""</f>
        <v/>
      </c>
    </row>
    <row r="1289" spans="1:15" x14ac:dyDescent="0.25">
      <c r="A1289" t="str">
        <f>$A$170</f>
        <v xml:space="preserve">                    Asahi Group Holdings Ltd</v>
      </c>
      <c r="B1289" t="str">
        <f>$B$170</f>
        <v>2502 JP Equity</v>
      </c>
      <c r="C1289" t="str">
        <f>$C$170</f>
        <v>F0946</v>
      </c>
      <c r="D1289" t="str">
        <f>$D$170</f>
        <v>TOTAL_GHG_CO2_EMISSIONS</v>
      </c>
      <c r="E1289" t="str">
        <f>$E$170</f>
        <v>Dynamic</v>
      </c>
      <c r="F1289" t="str">
        <f ca="1">_xll.BDH($B$170,$C$170,$B$1130,$B$1131,CONCATENATE("Per=",$B$1128),"Dts=H","Dir=H",CONCATENATE("Points=",$B$1129),"Sort=R","Days=A","Fill=B",CONCATENATE("FX=", $B$1127),"cols=5;rows=1")</f>
        <v/>
      </c>
      <c r="G1289">
        <v>0.80079999999999996</v>
      </c>
      <c r="H1289">
        <v>0.83</v>
      </c>
      <c r="I1289">
        <v>0.90900000000000003</v>
      </c>
      <c r="J1289">
        <v>0.88200000000000001</v>
      </c>
      <c r="K1289" t="str">
        <f>""</f>
        <v/>
      </c>
      <c r="L1289" t="str">
        <f>""</f>
        <v/>
      </c>
      <c r="M1289" t="str">
        <f>""</f>
        <v/>
      </c>
      <c r="N1289" t="str">
        <f>""</f>
        <v/>
      </c>
      <c r="O1289" t="str">
        <f>""</f>
        <v/>
      </c>
    </row>
    <row r="1290" spans="1:15" x14ac:dyDescent="0.25">
      <c r="A1290" t="str">
        <f>$A$171</f>
        <v xml:space="preserve">                    Beijing Yanjing Brewery Co Ltd</v>
      </c>
      <c r="B1290" t="str">
        <f>$B$171</f>
        <v>000729 CH Equity</v>
      </c>
      <c r="C1290" t="str">
        <f>$C$171</f>
        <v>F0946</v>
      </c>
      <c r="D1290" t="str">
        <f>$D$171</f>
        <v>TOTAL_GHG_CO2_EMISSIONS</v>
      </c>
      <c r="E1290" t="str">
        <f>$E$171</f>
        <v>Dynamic</v>
      </c>
      <c r="F1290">
        <f ca="1">_xll.BDH($B$171,$C$171,$B$1130,$B$1131,CONCATENATE("Per=",$B$1128),"Dts=H","Dir=H",CONCATENATE("Points=",$B$1129),"Sort=R","Days=A","Fill=B",CONCATENATE("FX=", $B$1127),"cols=5;rows=1")</f>
        <v>0.75309999999999999</v>
      </c>
      <c r="G1290">
        <v>0.78369999999999995</v>
      </c>
      <c r="K1290" t="str">
        <f>""</f>
        <v/>
      </c>
      <c r="L1290" t="str">
        <f>""</f>
        <v/>
      </c>
      <c r="M1290" t="str">
        <f>""</f>
        <v/>
      </c>
      <c r="N1290" t="str">
        <f>""</f>
        <v/>
      </c>
      <c r="O1290" t="str">
        <f>""</f>
        <v/>
      </c>
    </row>
    <row r="1291" spans="1:15" x14ac:dyDescent="0.25">
      <c r="A1291" t="str">
        <f>$A$172</f>
        <v xml:space="preserve">                    Boston Beer Co Inc/The</v>
      </c>
      <c r="B1291" t="str">
        <f>$B$172</f>
        <v>SAM US Equity</v>
      </c>
      <c r="C1291" t="str">
        <f>$C$172</f>
        <v>F0946</v>
      </c>
      <c r="D1291" t="str">
        <f>$D$172</f>
        <v>TOTAL_GHG_CO2_EMISSIONS</v>
      </c>
      <c r="E1291" t="str">
        <f>$E$172</f>
        <v>Dynamic</v>
      </c>
      <c r="F1291" t="str">
        <f ca="1">_xll.BDH($B$172,$C$172,$B$1130,$B$1131,CONCATENATE("Per=",$B$1128),"Dts=H","Dir=H",CONCATENATE("Points=",$B$1129),"Sort=R","Days=A","Fill=B",CONCATENATE("FX=", $B$1127) )</f>
        <v/>
      </c>
      <c r="K1291" t="str">
        <f>""</f>
        <v/>
      </c>
      <c r="L1291" t="str">
        <f>""</f>
        <v/>
      </c>
      <c r="M1291" t="str">
        <f>""</f>
        <v/>
      </c>
      <c r="N1291" t="str">
        <f>""</f>
        <v/>
      </c>
      <c r="O1291" t="str">
        <f>""</f>
        <v/>
      </c>
    </row>
    <row r="1292" spans="1:15" x14ac:dyDescent="0.25">
      <c r="A1292" t="str">
        <f>$A$173</f>
        <v xml:space="preserve">                    Britvic PLC</v>
      </c>
      <c r="B1292" t="str">
        <f>$B$173</f>
        <v>BVIC LN Equity</v>
      </c>
      <c r="C1292" t="str">
        <f>$C$173</f>
        <v>F0946</v>
      </c>
      <c r="D1292" t="str">
        <f>$D$173</f>
        <v>TOTAL_GHG_CO2_EMISSIONS</v>
      </c>
      <c r="E1292" t="str">
        <f>$E$173</f>
        <v>Dynamic</v>
      </c>
      <c r="F1292">
        <f ca="1">_xll.BDH($B$173,$C$173,$B$1130,$B$1131,CONCATENATE("Per=",$B$1128),"Dts=H","Dir=H",CONCATENATE("Points=",$B$1129),"Sort=R","Days=A","Fill=B",CONCATENATE("FX=", $B$1127),"cols=5;rows=1")</f>
        <v>4.3999999999999997E-2</v>
      </c>
      <c r="G1292">
        <v>4.7199999999999999E-2</v>
      </c>
      <c r="H1292">
        <v>5.4800000000000001E-2</v>
      </c>
      <c r="I1292">
        <v>6.2799999999999995E-2</v>
      </c>
      <c r="J1292">
        <v>6.1100000000000002E-2</v>
      </c>
      <c r="K1292" t="str">
        <f>""</f>
        <v/>
      </c>
      <c r="L1292" t="str">
        <f>""</f>
        <v/>
      </c>
      <c r="M1292" t="str">
        <f>""</f>
        <v/>
      </c>
      <c r="N1292" t="str">
        <f>""</f>
        <v/>
      </c>
      <c r="O1292" t="str">
        <f>""</f>
        <v/>
      </c>
    </row>
    <row r="1293" spans="1:15" x14ac:dyDescent="0.25">
      <c r="A1293" t="str">
        <f>$A$174</f>
        <v xml:space="preserve">                    Becle SAB de CV</v>
      </c>
      <c r="B1293" t="str">
        <f>$B$174</f>
        <v>CUERVO* MM Equity</v>
      </c>
      <c r="C1293" t="str">
        <f>$C$174</f>
        <v>F0946</v>
      </c>
      <c r="D1293" t="str">
        <f>$D$174</f>
        <v>TOTAL_GHG_CO2_EMISSIONS</v>
      </c>
      <c r="E1293" t="str">
        <f>$E$174</f>
        <v>Dynamic</v>
      </c>
      <c r="F1293" t="str">
        <f ca="1">_xll.BDH($B$174,$C$174,$B$1130,$B$1131,CONCATENATE("Per=",$B$1128),"Dts=H","Dir=H",CONCATENATE("Points=",$B$1129),"Sort=R","Days=A","Fill=B",CONCATENATE("FX=", $B$1127) )</f>
        <v/>
      </c>
      <c r="K1293" t="str">
        <f>""</f>
        <v/>
      </c>
      <c r="L1293" t="str">
        <f>""</f>
        <v/>
      </c>
      <c r="M1293" t="str">
        <f>""</f>
        <v/>
      </c>
      <c r="N1293" t="str">
        <f>""</f>
        <v/>
      </c>
      <c r="O1293" t="str">
        <f>""</f>
        <v/>
      </c>
    </row>
    <row r="1294" spans="1:15" x14ac:dyDescent="0.25">
      <c r="A1294" t="str">
        <f>$A$175</f>
        <v xml:space="preserve">                    Brown-Forman Corp</v>
      </c>
      <c r="B1294" t="str">
        <f>$B$175</f>
        <v>BF/B US Equity</v>
      </c>
      <c r="C1294" t="str">
        <f>$C$175</f>
        <v>F0946</v>
      </c>
      <c r="D1294" t="str">
        <f>$D$175</f>
        <v>TOTAL_GHG_CO2_EMISSIONS</v>
      </c>
      <c r="E1294" t="str">
        <f>$E$175</f>
        <v>Dynamic</v>
      </c>
      <c r="F1294" t="str">
        <f ca="1">_xll.BDH($B$175,$C$175,$B$1130,$B$1131,CONCATENATE("Per=",$B$1128),"Dts=H","Dir=H",CONCATENATE("Points=",$B$1129),"Sort=R","Days=A","Fill=B",CONCATENATE("FX=", $B$1127),"cols=5;rows=1")</f>
        <v/>
      </c>
      <c r="G1294">
        <v>0.1118</v>
      </c>
      <c r="H1294">
        <v>0.1565</v>
      </c>
      <c r="I1294">
        <v>0.18099999999999999</v>
      </c>
      <c r="J1294">
        <v>0.1847</v>
      </c>
      <c r="K1294" t="str">
        <f>""</f>
        <v/>
      </c>
      <c r="L1294" t="str">
        <f>""</f>
        <v/>
      </c>
      <c r="M1294" t="str">
        <f>""</f>
        <v/>
      </c>
      <c r="N1294" t="str">
        <f>""</f>
        <v/>
      </c>
      <c r="O1294" t="str">
        <f>""</f>
        <v/>
      </c>
    </row>
    <row r="1295" spans="1:15" x14ac:dyDescent="0.25">
      <c r="A1295" t="str">
        <f>$A$176</f>
        <v xml:space="preserve">                    Celsius Holdings Inc</v>
      </c>
      <c r="B1295" t="str">
        <f>$B$176</f>
        <v>CELH US Equity</v>
      </c>
      <c r="C1295" t="str">
        <f>$C$176</f>
        <v>F0946</v>
      </c>
      <c r="D1295" t="str">
        <f>$D$176</f>
        <v>TOTAL_GHG_CO2_EMISSIONS</v>
      </c>
      <c r="E1295" t="str">
        <f>$E$176</f>
        <v>Dynamic</v>
      </c>
      <c r="F1295" t="str">
        <f ca="1">_xll.BDH($B$176,$C$176,$B$1130,$B$1131,CONCATENATE("Per=",$B$1128),"Dts=H","Dir=H",CONCATENATE("Points=",$B$1129),"Sort=R","Days=A","Fill=B",CONCATENATE("FX=", $B$1127) )</f>
        <v/>
      </c>
      <c r="K1295" t="str">
        <f>""</f>
        <v/>
      </c>
      <c r="L1295" t="str">
        <f>""</f>
        <v/>
      </c>
      <c r="M1295" t="str">
        <f>""</f>
        <v/>
      </c>
      <c r="N1295" t="str">
        <f>""</f>
        <v/>
      </c>
      <c r="O1295" t="str">
        <f>""</f>
        <v/>
      </c>
    </row>
    <row r="1296" spans="1:15" x14ac:dyDescent="0.25">
      <c r="A1296" t="str">
        <f>$A$177</f>
        <v xml:space="preserve">                    China Foods Ltd</v>
      </c>
      <c r="B1296" t="str">
        <f>$B$177</f>
        <v>506 HK Equity</v>
      </c>
      <c r="C1296" t="str">
        <f>$C$177</f>
        <v>F0946</v>
      </c>
      <c r="D1296" t="str">
        <f>$D$177</f>
        <v>TOTAL_GHG_CO2_EMISSIONS</v>
      </c>
      <c r="E1296" t="str">
        <f>$E$177</f>
        <v>Dynamic</v>
      </c>
      <c r="F1296">
        <f ca="1">_xll.BDH($B$177,$C$177,$B$1130,$B$1131,CONCATENATE("Per=",$B$1128),"Dts=H","Dir=H",CONCATENATE("Points=",$B$1129),"Sort=R","Days=A","Fill=B",CONCATENATE("FX=", $B$1127),"cols=5;rows=1")</f>
        <v>0.25940000000000002</v>
      </c>
      <c r="G1296">
        <v>0.27639999999999998</v>
      </c>
      <c r="H1296">
        <v>0.29399999999999998</v>
      </c>
      <c r="I1296">
        <v>2.4E-2</v>
      </c>
      <c r="J1296">
        <v>2.3E-2</v>
      </c>
      <c r="K1296" t="str">
        <f>""</f>
        <v/>
      </c>
      <c r="L1296" t="str">
        <f>""</f>
        <v/>
      </c>
      <c r="M1296" t="str">
        <f>""</f>
        <v/>
      </c>
      <c r="N1296" t="str">
        <f>""</f>
        <v/>
      </c>
      <c r="O1296" t="str">
        <f>""</f>
        <v/>
      </c>
    </row>
    <row r="1297" spans="1:15" x14ac:dyDescent="0.25">
      <c r="A1297" t="str">
        <f>$A$178</f>
        <v xml:space="preserve">                    Cia Cervecerias Unidas SA</v>
      </c>
      <c r="B1297" t="str">
        <f>$B$178</f>
        <v>CCU CI Equity</v>
      </c>
      <c r="C1297" t="str">
        <f>$C$178</f>
        <v>F0946</v>
      </c>
      <c r="D1297" t="str">
        <f>$D$178</f>
        <v>TOTAL_GHG_CO2_EMISSIONS</v>
      </c>
      <c r="E1297" t="str">
        <f>$E$178</f>
        <v>Dynamic</v>
      </c>
      <c r="F1297" t="str">
        <f ca="1">_xll.BDH($B$178,$C$178,$B$1130,$B$1131,CONCATENATE("Per=",$B$1128),"Dts=H","Dir=H",CONCATENATE("Points=",$B$1129),"Sort=R","Days=A","Fill=B",CONCATENATE("FX=", $B$1127),"cols=5;rows=1")</f>
        <v/>
      </c>
      <c r="G1297">
        <v>0.1903</v>
      </c>
      <c r="H1297">
        <v>0.16109999999999999</v>
      </c>
      <c r="I1297">
        <v>0.1603</v>
      </c>
      <c r="J1297">
        <v>0.17100000000000001</v>
      </c>
      <c r="K1297" t="str">
        <f>""</f>
        <v/>
      </c>
      <c r="L1297" t="str">
        <f>""</f>
        <v/>
      </c>
      <c r="M1297" t="str">
        <f>""</f>
        <v/>
      </c>
      <c r="N1297" t="str">
        <f>""</f>
        <v/>
      </c>
      <c r="O1297" t="str">
        <f>""</f>
        <v/>
      </c>
    </row>
    <row r="1298" spans="1:15" x14ac:dyDescent="0.25">
      <c r="A1298" t="str">
        <f>$A$179</f>
        <v xml:space="preserve">                    Coca-Cola Bottlers Japan Holdi</v>
      </c>
      <c r="B1298" t="str">
        <f>$B$179</f>
        <v>2579 JP Equity</v>
      </c>
      <c r="C1298" t="str">
        <f>$C$179</f>
        <v>F0946</v>
      </c>
      <c r="D1298" t="str">
        <f>$D$179</f>
        <v>TOTAL_GHG_CO2_EMISSIONS</v>
      </c>
      <c r="E1298" t="str">
        <f>$E$179</f>
        <v>Dynamic</v>
      </c>
      <c r="F1298" t="str">
        <f ca="1">_xll.BDH($B$179,$C$179,$B$1130,$B$1131,CONCATENATE("Per=",$B$1128),"Dts=H","Dir=H",CONCATENATE("Points=",$B$1129),"Sort=R","Days=A","Fill=B",CONCATENATE("FX=", $B$1127),"cols=5;rows=1")</f>
        <v/>
      </c>
      <c r="G1298">
        <v>0.35570000000000002</v>
      </c>
      <c r="H1298">
        <v>0.81699999999999995</v>
      </c>
      <c r="I1298">
        <v>0.79500000000000004</v>
      </c>
      <c r="J1298">
        <v>0.41589999999999999</v>
      </c>
      <c r="K1298" t="str">
        <f>""</f>
        <v/>
      </c>
      <c r="L1298" t="str">
        <f>""</f>
        <v/>
      </c>
      <c r="M1298" t="str">
        <f>""</f>
        <v/>
      </c>
      <c r="N1298" t="str">
        <f>""</f>
        <v/>
      </c>
      <c r="O1298" t="str">
        <f>""</f>
        <v/>
      </c>
    </row>
    <row r="1299" spans="1:15" x14ac:dyDescent="0.25">
      <c r="A1299" t="str">
        <f>$A$180</f>
        <v xml:space="preserve">                    Coca-Cola Co/The</v>
      </c>
      <c r="B1299" t="str">
        <f>$B$180</f>
        <v>KO US Equity</v>
      </c>
      <c r="C1299" t="str">
        <f>$C$180</f>
        <v>F0946</v>
      </c>
      <c r="D1299" t="str">
        <f>$D$180</f>
        <v>TOTAL_GHG_CO2_EMISSIONS</v>
      </c>
      <c r="E1299" t="str">
        <f>$E$180</f>
        <v>Dynamic</v>
      </c>
      <c r="F1299" t="str">
        <f ca="1">_xll.BDH($B$180,$C$180,$B$1130,$B$1131,CONCATENATE("Per=",$B$1128),"Dts=H","Dir=H",CONCATENATE("Points=",$B$1129),"Sort=R","Days=A","Fill=B",CONCATENATE("FX=", $B$1127),"cols=5;rows=1")</f>
        <v/>
      </c>
      <c r="G1299">
        <v>1.4253</v>
      </c>
      <c r="H1299">
        <v>1.5962000000000001</v>
      </c>
      <c r="I1299">
        <v>1.5559000000000001</v>
      </c>
      <c r="J1299">
        <v>1.5081</v>
      </c>
      <c r="K1299" t="str">
        <f>""</f>
        <v/>
      </c>
      <c r="L1299" t="str">
        <f>""</f>
        <v/>
      </c>
      <c r="M1299" t="str">
        <f>""</f>
        <v/>
      </c>
      <c r="N1299" t="str">
        <f>""</f>
        <v/>
      </c>
      <c r="O1299" t="str">
        <f>""</f>
        <v/>
      </c>
    </row>
    <row r="1300" spans="1:15" x14ac:dyDescent="0.25">
      <c r="A1300" t="str">
        <f>$A$181</f>
        <v xml:space="preserve">                    Coca-Cola Consolidated Inc</v>
      </c>
      <c r="B1300" t="str">
        <f>$B$181</f>
        <v>COKE US Equity</v>
      </c>
      <c r="C1300" t="str">
        <f>$C$181</f>
        <v>F0946</v>
      </c>
      <c r="D1300" t="str">
        <f>$D$181</f>
        <v>TOTAL_GHG_CO2_EMISSIONS</v>
      </c>
      <c r="E1300" t="str">
        <f>$E$181</f>
        <v>Dynamic</v>
      </c>
      <c r="F1300" t="str">
        <f ca="1">_xll.BDH($B$181,$C$181,$B$1130,$B$1131,CONCATENATE("Per=",$B$1128),"Dts=H","Dir=H",CONCATENATE("Points=",$B$1129),"Sort=R","Days=A","Fill=B",CONCATENATE("FX=", $B$1127) )</f>
        <v/>
      </c>
      <c r="K1300" t="str">
        <f>""</f>
        <v/>
      </c>
      <c r="L1300" t="str">
        <f>""</f>
        <v/>
      </c>
      <c r="M1300" t="str">
        <f>""</f>
        <v/>
      </c>
      <c r="N1300" t="str">
        <f>""</f>
        <v/>
      </c>
      <c r="O1300" t="str">
        <f>""</f>
        <v/>
      </c>
    </row>
    <row r="1301" spans="1:15" x14ac:dyDescent="0.25">
      <c r="A1301" t="str">
        <f>$A$182</f>
        <v xml:space="preserve">                    Coca-Cola Icecek AS</v>
      </c>
      <c r="B1301" t="str">
        <f>$B$182</f>
        <v>CCOLA TI Equity</v>
      </c>
      <c r="C1301" t="str">
        <f>$C$182</f>
        <v>F0946</v>
      </c>
      <c r="D1301" t="str">
        <f>$D$182</f>
        <v>TOTAL_GHG_CO2_EMISSIONS</v>
      </c>
      <c r="E1301" t="str">
        <f>$E$182</f>
        <v>Dynamic</v>
      </c>
      <c r="F1301" t="str">
        <f ca="1">_xll.BDH($B$182,$C$182,$B$1130,$B$1131,CONCATENATE("Per=",$B$1128),"Dts=H","Dir=H",CONCATENATE("Points=",$B$1129),"Sort=R","Days=A","Fill=B",CONCATENATE("FX=", $B$1127),"cols=5;rows=1")</f>
        <v/>
      </c>
      <c r="G1301">
        <v>0.34379999999999999</v>
      </c>
      <c r="H1301">
        <v>0.25969999999999999</v>
      </c>
      <c r="I1301">
        <v>0.255</v>
      </c>
      <c r="J1301">
        <v>0.23599999999999999</v>
      </c>
      <c r="K1301" t="str">
        <f>""</f>
        <v/>
      </c>
      <c r="L1301" t="str">
        <f>""</f>
        <v/>
      </c>
      <c r="M1301" t="str">
        <f>""</f>
        <v/>
      </c>
      <c r="N1301" t="str">
        <f>""</f>
        <v/>
      </c>
      <c r="O1301" t="str">
        <f>""</f>
        <v/>
      </c>
    </row>
    <row r="1302" spans="1:15" x14ac:dyDescent="0.25">
      <c r="A1302" t="str">
        <f>$A$183</f>
        <v xml:space="preserve">                    Constellation Brands Inc</v>
      </c>
      <c r="B1302" t="str">
        <f>$B$183</f>
        <v>STZ US Equity</v>
      </c>
      <c r="C1302" t="str">
        <f>$C$183</f>
        <v>F0946</v>
      </c>
      <c r="D1302" t="str">
        <f>$D$183</f>
        <v>TOTAL_GHG_CO2_EMISSIONS</v>
      </c>
      <c r="E1302" t="str">
        <f>$E$183</f>
        <v>Dynamic</v>
      </c>
      <c r="F1302" t="str">
        <f ca="1">_xll.BDH($B$183,$C$183,$B$1130,$B$1131,CONCATENATE("Per=",$B$1128),"Dts=H","Dir=H",CONCATENATE("Points=",$B$1129),"Sort=R","Days=A","Fill=B",CONCATENATE("FX=", $B$1127),"cols=5;rows=1")</f>
        <v/>
      </c>
      <c r="H1302">
        <v>0.34749999999999998</v>
      </c>
      <c r="I1302">
        <v>0.37490000000000001</v>
      </c>
      <c r="J1302">
        <v>0.34789999999999999</v>
      </c>
      <c r="K1302" t="str">
        <f>""</f>
        <v/>
      </c>
      <c r="L1302" t="str">
        <f>""</f>
        <v/>
      </c>
      <c r="M1302" t="str">
        <f>""</f>
        <v/>
      </c>
      <c r="N1302" t="str">
        <f>""</f>
        <v/>
      </c>
      <c r="O1302" t="str">
        <f>""</f>
        <v/>
      </c>
    </row>
    <row r="1303" spans="1:15" x14ac:dyDescent="0.25">
      <c r="A1303" t="str">
        <f>$A$184</f>
        <v xml:space="preserve">                    Carlsberg AS</v>
      </c>
      <c r="B1303" t="str">
        <f>$B$184</f>
        <v>CARLB DC Equity</v>
      </c>
      <c r="C1303" t="str">
        <f>$C$184</f>
        <v>F0946</v>
      </c>
      <c r="D1303" t="str">
        <f>$D$184</f>
        <v>TOTAL_GHG_CO2_EMISSIONS</v>
      </c>
      <c r="E1303" t="str">
        <f>$E$184</f>
        <v>Dynamic</v>
      </c>
      <c r="F1303" t="str">
        <f ca="1">_xll.BDH($B$184,$C$184,$B$1130,$B$1131,CONCATENATE("Per=",$B$1128),"Dts=H","Dir=H",CONCATENATE("Points=",$B$1129),"Sort=R","Days=A","Fill=B",CONCATENATE("FX=", $B$1127),"cols=5;rows=1")</f>
        <v/>
      </c>
      <c r="H1303">
        <v>0.72699999999999998</v>
      </c>
      <c r="I1303">
        <v>0.76600000000000001</v>
      </c>
      <c r="J1303">
        <v>0.80100000000000005</v>
      </c>
      <c r="K1303" t="str">
        <f>""</f>
        <v/>
      </c>
      <c r="L1303" t="str">
        <f>""</f>
        <v/>
      </c>
      <c r="M1303" t="str">
        <f>""</f>
        <v/>
      </c>
      <c r="N1303" t="str">
        <f>""</f>
        <v/>
      </c>
      <c r="O1303" t="str">
        <f>""</f>
        <v/>
      </c>
    </row>
    <row r="1304" spans="1:15" x14ac:dyDescent="0.25">
      <c r="A1304" t="str">
        <f>$A$185</f>
        <v xml:space="preserve">                    Coca-Cola Europacific Partners</v>
      </c>
      <c r="B1304" t="str">
        <f>$B$185</f>
        <v>CCEP US Equity</v>
      </c>
      <c r="C1304" t="str">
        <f>$C$185</f>
        <v>F0946</v>
      </c>
      <c r="D1304" t="str">
        <f>$D$185</f>
        <v>TOTAL_GHG_CO2_EMISSIONS</v>
      </c>
      <c r="E1304" t="str">
        <f>$E$185</f>
        <v>Dynamic</v>
      </c>
      <c r="F1304">
        <f ca="1">_xll.BDH($B$185,$C$185,$B$1130,$B$1131,CONCATENATE("Per=",$B$1128),"Dts=H","Dir=H",CONCATENATE("Points=",$B$1129),"Sort=R","Days=A","Fill=B",CONCATENATE("FX=", $B$1127),"cols=5;rows=1")</f>
        <v>0.59950000000000003</v>
      </c>
      <c r="G1304">
        <v>0.51200000000000001</v>
      </c>
      <c r="H1304">
        <v>0.34089999999999998</v>
      </c>
      <c r="I1304">
        <v>0.40799999999999997</v>
      </c>
      <c r="J1304">
        <v>0.40600000000000003</v>
      </c>
      <c r="K1304" t="str">
        <f>""</f>
        <v/>
      </c>
      <c r="L1304" t="str">
        <f>""</f>
        <v/>
      </c>
      <c r="M1304" t="str">
        <f>""</f>
        <v/>
      </c>
      <c r="N1304" t="str">
        <f>""</f>
        <v/>
      </c>
      <c r="O1304" t="str">
        <f>""</f>
        <v/>
      </c>
    </row>
    <row r="1305" spans="1:15" x14ac:dyDescent="0.25">
      <c r="A1305" t="str">
        <f>$A$186</f>
        <v xml:space="preserve">                    Coca-Cola Femsa SAB de CV</v>
      </c>
      <c r="B1305" t="str">
        <f>$B$186</f>
        <v>KOFUBL MM Equity</v>
      </c>
      <c r="C1305" t="str">
        <f>$C$186</f>
        <v>F0946</v>
      </c>
      <c r="D1305" t="str">
        <f>$D$186</f>
        <v>TOTAL_GHG_CO2_EMISSIONS</v>
      </c>
      <c r="E1305" t="str">
        <f>$E$186</f>
        <v>Dynamic</v>
      </c>
      <c r="F1305" t="str">
        <f ca="1">_xll.BDH($B$186,$C$186,$B$1130,$B$1131,CONCATENATE("Per=",$B$1128),"Dts=H","Dir=H",CONCATENATE("Points=",$B$1129),"Sort=R","Days=A","Fill=B",CONCATENATE("FX=", $B$1127),"cols=5;rows=1")</f>
        <v/>
      </c>
      <c r="G1305">
        <v>0.12790000000000001</v>
      </c>
      <c r="H1305">
        <v>0.24210000000000001</v>
      </c>
      <c r="I1305">
        <v>0.25530000000000003</v>
      </c>
      <c r="J1305">
        <v>0.23250000000000001</v>
      </c>
      <c r="K1305" t="str">
        <f>""</f>
        <v/>
      </c>
      <c r="L1305" t="str">
        <f>""</f>
        <v/>
      </c>
      <c r="M1305" t="str">
        <f>""</f>
        <v/>
      </c>
      <c r="N1305" t="str">
        <f>""</f>
        <v/>
      </c>
      <c r="O1305" t="str">
        <f>""</f>
        <v/>
      </c>
    </row>
    <row r="1306" spans="1:15" x14ac:dyDescent="0.25">
      <c r="A1306" t="str">
        <f>$A$187</f>
        <v xml:space="preserve">                    Coca-Cola HBC AG</v>
      </c>
      <c r="B1306" t="str">
        <f>$B$187</f>
        <v>CCH LN Equity</v>
      </c>
      <c r="C1306" t="str">
        <f>$C$187</f>
        <v>F0946</v>
      </c>
      <c r="D1306" t="str">
        <f>$D$187</f>
        <v>TOTAL_GHG_CO2_EMISSIONS</v>
      </c>
      <c r="E1306" t="str">
        <f>$E$187</f>
        <v>Dynamic</v>
      </c>
      <c r="F1306" t="str">
        <f ca="1">_xll.BDH($B$187,$C$187,$B$1130,$B$1131,CONCATENATE("Per=",$B$1128),"Dts=H","Dir=H",CONCATENATE("Points=",$B$1129),"Sort=R","Days=A","Fill=B",CONCATENATE("FX=", $B$1127),"cols=5;rows=1")</f>
        <v/>
      </c>
      <c r="G1306">
        <v>0.62190000000000001</v>
      </c>
      <c r="H1306">
        <v>0.54790000000000005</v>
      </c>
      <c r="I1306">
        <v>0.58009999999999995</v>
      </c>
      <c r="J1306">
        <v>0.626</v>
      </c>
      <c r="K1306" t="str">
        <f>""</f>
        <v/>
      </c>
      <c r="L1306" t="str">
        <f>""</f>
        <v/>
      </c>
      <c r="M1306" t="str">
        <f>""</f>
        <v/>
      </c>
      <c r="N1306" t="str">
        <f>""</f>
        <v/>
      </c>
      <c r="O1306" t="str">
        <f>""</f>
        <v/>
      </c>
    </row>
    <row r="1307" spans="1:15" x14ac:dyDescent="0.25">
      <c r="A1307" t="str">
        <f>$A$188</f>
        <v xml:space="preserve">                    Crimson Wine Group Ltd</v>
      </c>
      <c r="B1307" t="str">
        <f>$B$188</f>
        <v>CWGL US Equity</v>
      </c>
      <c r="C1307" t="str">
        <f>$C$188</f>
        <v>F0946</v>
      </c>
      <c r="D1307" t="str">
        <f>$D$188</f>
        <v>TOTAL_GHG_CO2_EMISSIONS</v>
      </c>
      <c r="E1307" t="str">
        <f>$E$188</f>
        <v>Dynamic</v>
      </c>
      <c r="F1307" t="str">
        <f ca="1">_xll.BDH($B$188,$C$188,$B$1130,$B$1131,CONCATENATE("Per=",$B$1128),"Dts=H","Dir=H",CONCATENATE("Points=",$B$1129),"Sort=R","Days=A","Fill=B",CONCATENATE("FX=", $B$1127) )</f>
        <v/>
      </c>
      <c r="K1307" t="str">
        <f>""</f>
        <v/>
      </c>
      <c r="L1307" t="str">
        <f>""</f>
        <v/>
      </c>
      <c r="M1307" t="str">
        <f>""</f>
        <v/>
      </c>
      <c r="N1307" t="str">
        <f>""</f>
        <v/>
      </c>
      <c r="O1307" t="str">
        <f>""</f>
        <v/>
      </c>
    </row>
    <row r="1308" spans="1:15" x14ac:dyDescent="0.25">
      <c r="A1308" t="str">
        <f>$A$189</f>
        <v xml:space="preserve">                    Davide Campari-Milano NV</v>
      </c>
      <c r="B1308" t="str">
        <f>$B$189</f>
        <v>CPR IM Equity</v>
      </c>
      <c r="C1308" t="str">
        <f>$C$189</f>
        <v>F0946</v>
      </c>
      <c r="D1308" t="str">
        <f>$D$189</f>
        <v>TOTAL_GHG_CO2_EMISSIONS</v>
      </c>
      <c r="E1308" t="str">
        <f>$E$189</f>
        <v>Dynamic</v>
      </c>
      <c r="F1308">
        <f ca="1">_xll.BDH($B$189,$C$189,$B$1130,$B$1131,CONCATENATE("Per=",$B$1128),"Dts=H","Dir=H",CONCATENATE("Points=",$B$1129),"Sort=R","Days=A","Fill=B",CONCATENATE("FX=", $B$1127),"cols=5;rows=1")</f>
        <v>8.9800000000000005E-2</v>
      </c>
      <c r="G1308">
        <v>9.35E-2</v>
      </c>
      <c r="H1308">
        <v>8.5300000000000001E-2</v>
      </c>
      <c r="I1308">
        <v>9.6699999999999994E-2</v>
      </c>
      <c r="J1308">
        <v>0.1012</v>
      </c>
      <c r="K1308" t="str">
        <f>""</f>
        <v/>
      </c>
      <c r="L1308" t="str">
        <f>""</f>
        <v/>
      </c>
      <c r="M1308" t="str">
        <f>""</f>
        <v/>
      </c>
      <c r="N1308" t="str">
        <f>""</f>
        <v/>
      </c>
      <c r="O1308" t="str">
        <f>""</f>
        <v/>
      </c>
    </row>
    <row r="1309" spans="1:15" x14ac:dyDescent="0.25">
      <c r="A1309" t="str">
        <f>$A$190</f>
        <v xml:space="preserve">                    Diageo PLC</v>
      </c>
      <c r="B1309" t="str">
        <f>$B$190</f>
        <v>DGE LN Equity</v>
      </c>
      <c r="C1309" t="str">
        <f>$C$190</f>
        <v>F0946</v>
      </c>
      <c r="D1309" t="str">
        <f>$D$190</f>
        <v>TOTAL_GHG_CO2_EMISSIONS</v>
      </c>
      <c r="E1309" t="str">
        <f>$E$190</f>
        <v>Dynamic</v>
      </c>
      <c r="F1309" t="str">
        <f ca="1">_xll.BDH($B$190,$C$190,$B$1130,$B$1131,CONCATENATE("Per=",$B$1128),"Dts=H","Dir=H",CONCATENATE("Points=",$B$1129),"Sort=R","Days=A","Fill=B",CONCATENATE("FX=", $B$1127),"cols=5;rows=1")</f>
        <v/>
      </c>
      <c r="G1309">
        <v>0.71230000000000004</v>
      </c>
      <c r="H1309">
        <v>0.58750000000000002</v>
      </c>
      <c r="I1309">
        <v>0.71099999999999997</v>
      </c>
      <c r="J1309">
        <v>0.67669999999999997</v>
      </c>
      <c r="K1309" t="str">
        <f>""</f>
        <v/>
      </c>
      <c r="L1309" t="str">
        <f>""</f>
        <v/>
      </c>
      <c r="M1309" t="str">
        <f>""</f>
        <v/>
      </c>
      <c r="N1309" t="str">
        <f>""</f>
        <v/>
      </c>
      <c r="O1309" t="str">
        <f>""</f>
        <v/>
      </c>
    </row>
    <row r="1310" spans="1:15" x14ac:dyDescent="0.25">
      <c r="A1310" t="str">
        <f>$A$191</f>
        <v xml:space="preserve">                    Duckhorn Portfolio Inc/The</v>
      </c>
      <c r="B1310" t="str">
        <f>$B$191</f>
        <v>NAPA US Equity</v>
      </c>
      <c r="C1310" t="str">
        <f>$C$191</f>
        <v>F0946</v>
      </c>
      <c r="D1310" t="str">
        <f>$D$191</f>
        <v>TOTAL_GHG_CO2_EMISSIONS</v>
      </c>
      <c r="E1310" t="str">
        <f>$E$191</f>
        <v>Dynamic</v>
      </c>
      <c r="F1310" t="str">
        <f ca="1">_xll.BDH($B$191,$C$191,$B$1130,$B$1131,CONCATENATE("Per=",$B$1128),"Dts=H","Dir=H",CONCATENATE("Points=",$B$1129),"Sort=R","Days=A","Fill=B",CONCATENATE("FX=", $B$1127) )</f>
        <v/>
      </c>
      <c r="K1310" t="str">
        <f>""</f>
        <v/>
      </c>
      <c r="L1310" t="str">
        <f>""</f>
        <v/>
      </c>
      <c r="M1310" t="str">
        <f>""</f>
        <v/>
      </c>
      <c r="N1310" t="str">
        <f>""</f>
        <v/>
      </c>
      <c r="O1310" t="str">
        <f>""</f>
        <v/>
      </c>
    </row>
    <row r="1311" spans="1:15" x14ac:dyDescent="0.25">
      <c r="A1311" t="str">
        <f>$A$192</f>
        <v xml:space="preserve">                    DyDo Group Holdings Inc</v>
      </c>
      <c r="B1311" t="str">
        <f>$B$192</f>
        <v>2590 JP Equity</v>
      </c>
      <c r="C1311" t="str">
        <f>$C$192</f>
        <v>F0946</v>
      </c>
      <c r="D1311" t="str">
        <f>$D$192</f>
        <v>TOTAL_GHG_CO2_EMISSIONS</v>
      </c>
      <c r="E1311" t="str">
        <f>$E$192</f>
        <v>Dynamic</v>
      </c>
      <c r="F1311" t="str">
        <f ca="1">_xll.BDH($B$192,$C$192,$B$1130,$B$1131,CONCATENATE("Per=",$B$1128),"Dts=H","Dir=H",CONCATENATE("Points=",$B$1129),"Sort=R","Days=A","Fill=B",CONCATENATE("FX=", $B$1127),"cols=5;rows=1")</f>
        <v/>
      </c>
      <c r="G1311">
        <v>2.5100000000000001E-2</v>
      </c>
      <c r="K1311" t="str">
        <f>""</f>
        <v/>
      </c>
      <c r="L1311" t="str">
        <f>""</f>
        <v/>
      </c>
      <c r="M1311" t="str">
        <f>""</f>
        <v/>
      </c>
      <c r="N1311" t="str">
        <f>""</f>
        <v/>
      </c>
      <c r="O1311" t="str">
        <f>""</f>
        <v/>
      </c>
    </row>
    <row r="1312" spans="1:15" x14ac:dyDescent="0.25">
      <c r="A1312" t="str">
        <f>$A$193</f>
        <v xml:space="preserve">                    East African Breweries PLC</v>
      </c>
      <c r="B1312" t="str">
        <f>$B$193</f>
        <v>EABL KN Equity</v>
      </c>
      <c r="C1312" t="str">
        <f>$C$193</f>
        <v>F0946</v>
      </c>
      <c r="D1312" t="str">
        <f>$D$193</f>
        <v>TOTAL_GHG_CO2_EMISSIONS</v>
      </c>
      <c r="E1312" t="str">
        <f>$E$193</f>
        <v>Dynamic</v>
      </c>
      <c r="F1312" t="str">
        <f ca="1">_xll.BDH($B$193,$C$193,$B$1130,$B$1131,CONCATENATE("Per=",$B$1128),"Dts=H","Dir=H",CONCATENATE("Points=",$B$1129),"Sort=R","Days=A","Fill=B",CONCATENATE("FX=", $B$1127),"cols=5;rows=1")</f>
        <v/>
      </c>
      <c r="G1312">
        <v>6.3399999999999998E-2</v>
      </c>
      <c r="K1312" t="str">
        <f>""</f>
        <v/>
      </c>
      <c r="L1312" t="str">
        <f>""</f>
        <v/>
      </c>
      <c r="M1312" t="str">
        <f>""</f>
        <v/>
      </c>
      <c r="N1312" t="str">
        <f>""</f>
        <v/>
      </c>
      <c r="O1312" t="str">
        <f>""</f>
        <v/>
      </c>
    </row>
    <row r="1313" spans="1:15" x14ac:dyDescent="0.25">
      <c r="A1313" t="str">
        <f>$A$194</f>
        <v xml:space="preserve">                    Embotelladora Andina SA</v>
      </c>
      <c r="B1313" t="str">
        <f>$B$194</f>
        <v>ANDINAA CI Equity</v>
      </c>
      <c r="C1313" t="str">
        <f>$C$194</f>
        <v>F0946</v>
      </c>
      <c r="D1313" t="str">
        <f>$D$194</f>
        <v>TOTAL_GHG_CO2_EMISSIONS</v>
      </c>
      <c r="E1313" t="str">
        <f>$E$194</f>
        <v>Dynamic</v>
      </c>
      <c r="F1313">
        <f ca="1">_xll.BDH($B$194,$C$194,$B$1130,$B$1131,CONCATENATE("Per=",$B$1128),"Dts=H","Dir=H",CONCATENATE("Points=",$B$1129),"Sort=R","Days=A","Fill=B",CONCATENATE("FX=", $B$1127),"cols=5;rows=1")</f>
        <v>0.1052</v>
      </c>
      <c r="G1313">
        <v>0.1096</v>
      </c>
      <c r="H1313">
        <v>0.3039</v>
      </c>
      <c r="I1313">
        <v>0.1014</v>
      </c>
      <c r="J1313">
        <v>0.1113</v>
      </c>
      <c r="K1313" t="str">
        <f>""</f>
        <v/>
      </c>
      <c r="L1313" t="str">
        <f>""</f>
        <v/>
      </c>
      <c r="M1313" t="str">
        <f>""</f>
        <v/>
      </c>
      <c r="N1313" t="str">
        <f>""</f>
        <v/>
      </c>
      <c r="O1313" t="str">
        <f>""</f>
        <v/>
      </c>
    </row>
    <row r="1314" spans="1:15" x14ac:dyDescent="0.25">
      <c r="A1314" t="str">
        <f>$A$195</f>
        <v xml:space="preserve">                    Florida Ice &amp; Farm Co SA</v>
      </c>
      <c r="B1314" t="str">
        <f>$B$195</f>
        <v>FIFCOCA CR Equity</v>
      </c>
      <c r="C1314" t="str">
        <f>$C$195</f>
        <v>F0946</v>
      </c>
      <c r="D1314" t="str">
        <f>$D$195</f>
        <v>TOTAL_GHG_CO2_EMISSIONS</v>
      </c>
      <c r="E1314" t="str">
        <f>$E$195</f>
        <v>Dynamic</v>
      </c>
      <c r="F1314" t="str">
        <f ca="1">_xll.BDH($B$195,$C$195,$B$1130,$B$1131,CONCATENATE("Per=",$B$1128),"Dts=H","Dir=H",CONCATENATE("Points=",$B$1129),"Sort=R","Days=A","Fill=B",CONCATENATE("FX=", $B$1127) )</f>
        <v/>
      </c>
      <c r="K1314" t="str">
        <f>""</f>
        <v/>
      </c>
      <c r="L1314" t="str">
        <f>""</f>
        <v/>
      </c>
      <c r="M1314" t="str">
        <f>""</f>
        <v/>
      </c>
      <c r="N1314" t="str">
        <f>""</f>
        <v/>
      </c>
      <c r="O1314" t="str">
        <f>""</f>
        <v/>
      </c>
    </row>
    <row r="1315" spans="1:15" x14ac:dyDescent="0.25">
      <c r="A1315" t="str">
        <f>$A$196</f>
        <v xml:space="preserve">                    Fomento Economico Mexicano SAB</v>
      </c>
      <c r="B1315" t="str">
        <f>$B$196</f>
        <v>FEMSAUBD MM Equity</v>
      </c>
      <c r="C1315" t="str">
        <f>$C$196</f>
        <v>F0946</v>
      </c>
      <c r="D1315" t="str">
        <f>$D$196</f>
        <v>TOTAL_GHG_CO2_EMISSIONS</v>
      </c>
      <c r="E1315" t="str">
        <f>$E$196</f>
        <v>Dynamic</v>
      </c>
      <c r="F1315">
        <f ca="1">_xll.BDH($B$196,$C$196,$B$1130,$B$1131,CONCATENATE("Per=",$B$1128),"Dts=H","Dir=H",CONCATENATE("Points=",$B$1129),"Sort=R","Days=A","Fill=B",CONCATENATE("FX=", $B$1127),"cols=5;rows=1")</f>
        <v>1.7326999999999999</v>
      </c>
      <c r="G1315">
        <v>1.1780999999999999</v>
      </c>
      <c r="H1315">
        <v>0.94850000000000001</v>
      </c>
      <c r="I1315">
        <v>0.90110000000000001</v>
      </c>
      <c r="J1315">
        <v>1.0042</v>
      </c>
      <c r="K1315" t="str">
        <f>""</f>
        <v/>
      </c>
      <c r="L1315" t="str">
        <f>""</f>
        <v/>
      </c>
      <c r="M1315" t="str">
        <f>""</f>
        <v/>
      </c>
      <c r="N1315" t="str">
        <f>""</f>
        <v/>
      </c>
      <c r="O1315" t="str">
        <f>""</f>
        <v/>
      </c>
    </row>
    <row r="1316" spans="1:15" x14ac:dyDescent="0.25">
      <c r="A1316" t="str">
        <f>$A$197</f>
        <v xml:space="preserve">                    Farmer Bros Co</v>
      </c>
      <c r="B1316" t="str">
        <f>$B$197</f>
        <v>FARM US Equity</v>
      </c>
      <c r="C1316" t="str">
        <f>$C$197</f>
        <v>F0946</v>
      </c>
      <c r="D1316" t="str">
        <f>$D$197</f>
        <v>TOTAL_GHG_CO2_EMISSIONS</v>
      </c>
      <c r="E1316" t="str">
        <f>$E$197</f>
        <v>Dynamic</v>
      </c>
      <c r="F1316" t="str">
        <f ca="1">_xll.BDH($B$197,$C$197,$B$1130,$B$1131,CONCATENATE("Per=",$B$1128),"Dts=H","Dir=H",CONCATENATE("Points=",$B$1129),"Sort=R","Days=A","Fill=B",CONCATENATE("FX=", $B$1127),"cols=5;rows=1")</f>
        <v/>
      </c>
      <c r="H1316">
        <v>2.9499999999999998E-2</v>
      </c>
      <c r="I1316">
        <v>2.4500000000000001E-2</v>
      </c>
      <c r="J1316">
        <v>2.87E-2</v>
      </c>
      <c r="K1316" t="str">
        <f>""</f>
        <v/>
      </c>
      <c r="L1316" t="str">
        <f>""</f>
        <v/>
      </c>
      <c r="M1316" t="str">
        <f>""</f>
        <v/>
      </c>
      <c r="N1316" t="str">
        <f>""</f>
        <v/>
      </c>
      <c r="O1316" t="str">
        <f>""</f>
        <v/>
      </c>
    </row>
    <row r="1317" spans="1:15" x14ac:dyDescent="0.25">
      <c r="A1317" t="str">
        <f>$A$198</f>
        <v xml:space="preserve">                    Fevertree Drinks PLC</v>
      </c>
      <c r="B1317" t="str">
        <f>$B$198</f>
        <v>FEVR LN Equity</v>
      </c>
      <c r="C1317" t="str">
        <f>$C$198</f>
        <v>F0946</v>
      </c>
      <c r="D1317" t="str">
        <f>$D$198</f>
        <v>TOTAL_GHG_CO2_EMISSIONS</v>
      </c>
      <c r="E1317" t="str">
        <f>$E$198</f>
        <v>Dynamic</v>
      </c>
      <c r="F1317">
        <f ca="1">_xll.BDH($B$198,$C$198,$B$1130,$B$1131,CONCATENATE("Per=",$B$1128),"Dts=H","Dir=H",CONCATENATE("Points=",$B$1129),"Sort=R","Days=A","Fill=B",CONCATENATE("FX=", $B$1127),"cols=5;rows=1")</f>
        <v>1E-4</v>
      </c>
      <c r="K1317" t="str">
        <f>""</f>
        <v/>
      </c>
      <c r="L1317" t="str">
        <f>""</f>
        <v/>
      </c>
      <c r="M1317" t="str">
        <f>""</f>
        <v/>
      </c>
      <c r="N1317" t="str">
        <f>""</f>
        <v/>
      </c>
      <c r="O1317" t="str">
        <f>""</f>
        <v/>
      </c>
    </row>
    <row r="1318" spans="1:15" x14ac:dyDescent="0.25">
      <c r="A1318" t="str">
        <f>$A$199</f>
        <v xml:space="preserve">                    Guangzhou Zhujiang Brewery Co</v>
      </c>
      <c r="B1318" t="str">
        <f>$B$199</f>
        <v>002461 CH Equity</v>
      </c>
      <c r="C1318" t="str">
        <f>$C$199</f>
        <v>F0946</v>
      </c>
      <c r="D1318" t="str">
        <f>$D$199</f>
        <v>TOTAL_GHG_CO2_EMISSIONS</v>
      </c>
      <c r="E1318" t="str">
        <f>$E$199</f>
        <v>Dynamic</v>
      </c>
      <c r="F1318" t="str">
        <f ca="1">_xll.BDH($B$199,$C$199,$B$1130,$B$1131,CONCATENATE("Per=",$B$1128),"Dts=H","Dir=H",CONCATENATE("Points=",$B$1129),"Sort=R","Days=A","Fill=B",CONCATENATE("FX=", $B$1127) )</f>
        <v/>
      </c>
      <c r="K1318" t="str">
        <f>""</f>
        <v/>
      </c>
      <c r="L1318" t="str">
        <f>""</f>
        <v/>
      </c>
      <c r="M1318" t="str">
        <f>""</f>
        <v/>
      </c>
      <c r="N1318" t="str">
        <f>""</f>
        <v/>
      </c>
      <c r="O1318" t="str">
        <f>""</f>
        <v/>
      </c>
    </row>
    <row r="1319" spans="1:15" x14ac:dyDescent="0.25">
      <c r="A1319" t="str">
        <f>$A$200</f>
        <v xml:space="preserve">                    Heineken Holding NV</v>
      </c>
      <c r="B1319" t="str">
        <f>$B$200</f>
        <v>HEIO NA Equity</v>
      </c>
      <c r="C1319" t="str">
        <f>$C$200</f>
        <v>F0946</v>
      </c>
      <c r="D1319" t="str">
        <f>$D$200</f>
        <v>TOTAL_GHG_CO2_EMISSIONS</v>
      </c>
      <c r="E1319" t="str">
        <f>$E$200</f>
        <v>Dynamic</v>
      </c>
      <c r="F1319" t="str">
        <f ca="1">_xll.BDH($B$200,$C$200,$B$1130,$B$1131,CONCATENATE("Per=",$B$1128),"Dts=H","Dir=H",CONCATENATE("Points=",$B$1129),"Sort=R","Days=A","Fill=B",CONCATENATE("FX=", $B$1127) )</f>
        <v/>
      </c>
      <c r="K1319" t="str">
        <f>""</f>
        <v/>
      </c>
      <c r="L1319" t="str">
        <f>""</f>
        <v/>
      </c>
      <c r="M1319" t="str">
        <f>""</f>
        <v/>
      </c>
      <c r="N1319" t="str">
        <f>""</f>
        <v/>
      </c>
      <c r="O1319" t="str">
        <f>""</f>
        <v/>
      </c>
    </row>
    <row r="1320" spans="1:15" x14ac:dyDescent="0.25">
      <c r="A1320" t="str">
        <f>$A$201</f>
        <v xml:space="preserve">                    Hite Jinro Co Ltd</v>
      </c>
      <c r="B1320" t="str">
        <f>$B$201</f>
        <v>000080 KS Equity</v>
      </c>
      <c r="C1320" t="str">
        <f>$C$201</f>
        <v>F0946</v>
      </c>
      <c r="D1320" t="str">
        <f>$D$201</f>
        <v>TOTAL_GHG_CO2_EMISSIONS</v>
      </c>
      <c r="E1320" t="str">
        <f>$E$201</f>
        <v>Dynamic</v>
      </c>
      <c r="F1320" t="str">
        <f ca="1">_xll.BDH($B$201,$C$201,$B$1130,$B$1131,CONCATENATE("Per=",$B$1128),"Dts=H","Dir=H",CONCATENATE("Points=",$B$1129),"Sort=R","Days=A","Fill=B",CONCATENATE("FX=", $B$1127),"cols=5;rows=1")</f>
        <v/>
      </c>
      <c r="G1320">
        <v>0.13120000000000001</v>
      </c>
      <c r="H1320">
        <v>0.14369999999999999</v>
      </c>
      <c r="I1320">
        <v>0.14979999999999999</v>
      </c>
      <c r="J1320">
        <v>0.15659999999999999</v>
      </c>
      <c r="K1320" t="str">
        <f>""</f>
        <v/>
      </c>
      <c r="L1320" t="str">
        <f>""</f>
        <v/>
      </c>
      <c r="M1320" t="str">
        <f>""</f>
        <v/>
      </c>
      <c r="N1320" t="str">
        <f>""</f>
        <v/>
      </c>
      <c r="O1320" t="str">
        <f>""</f>
        <v/>
      </c>
    </row>
    <row r="1321" spans="1:15" x14ac:dyDescent="0.25">
      <c r="A1321" t="str">
        <f>$A$202</f>
        <v xml:space="preserve">                    Heineken NV</v>
      </c>
      <c r="B1321" t="str">
        <f>$B$202</f>
        <v>HEIA NA Equity</v>
      </c>
      <c r="C1321" t="str">
        <f>$C$202</f>
        <v>F0946</v>
      </c>
      <c r="D1321" t="str">
        <f>$D$202</f>
        <v>TOTAL_GHG_CO2_EMISSIONS</v>
      </c>
      <c r="E1321" t="str">
        <f>$E$202</f>
        <v>Dynamic</v>
      </c>
      <c r="F1321">
        <f ca="1">_xll.BDH($B$202,$C$202,$B$1130,$B$1131,CONCATENATE("Per=",$B$1128),"Dts=H","Dir=H",CONCATENATE("Points=",$B$1129),"Sort=R","Days=A","Fill=B",CONCATENATE("FX=", $B$1127),"cols=5;rows=1")</f>
        <v>1.478</v>
      </c>
      <c r="G1321">
        <v>1.7418</v>
      </c>
      <c r="H1321">
        <v>1.7255</v>
      </c>
      <c r="I1321">
        <v>1.7783</v>
      </c>
      <c r="J1321">
        <v>1.7421</v>
      </c>
      <c r="K1321" t="str">
        <f>""</f>
        <v/>
      </c>
      <c r="L1321" t="str">
        <f>""</f>
        <v/>
      </c>
      <c r="M1321" t="str">
        <f>""</f>
        <v/>
      </c>
      <c r="N1321" t="str">
        <f>""</f>
        <v/>
      </c>
      <c r="O1321" t="str">
        <f>""</f>
        <v/>
      </c>
    </row>
    <row r="1322" spans="1:15" x14ac:dyDescent="0.25">
      <c r="A1322" t="str">
        <f>$A$203</f>
        <v xml:space="preserve">                    Ito En Ltd</v>
      </c>
      <c r="B1322" t="str">
        <f>$B$203</f>
        <v>2593 JP Equity</v>
      </c>
      <c r="C1322" t="str">
        <f>$C$203</f>
        <v>F0946</v>
      </c>
      <c r="D1322" t="str">
        <f>$D$203</f>
        <v>TOTAL_GHG_CO2_EMISSIONS</v>
      </c>
      <c r="E1322" t="str">
        <f>$E$203</f>
        <v>Dynamic</v>
      </c>
      <c r="F1322" t="str">
        <f ca="1">_xll.BDH($B$203,$C$203,$B$1130,$B$1131,CONCATENATE("Per=",$B$1128),"Dts=H","Dir=H",CONCATENATE("Points=",$B$1129),"Sort=R","Days=A","Fill=B",CONCATENATE("FX=", $B$1127),"cols=5;rows=1")</f>
        <v/>
      </c>
      <c r="G1322">
        <v>3.39E-2</v>
      </c>
      <c r="H1322">
        <v>3.49E-2</v>
      </c>
      <c r="I1322">
        <v>3.5499999999999997E-2</v>
      </c>
      <c r="J1322">
        <v>3.85E-2</v>
      </c>
      <c r="K1322" t="str">
        <f>""</f>
        <v/>
      </c>
      <c r="L1322" t="str">
        <f>""</f>
        <v/>
      </c>
      <c r="M1322" t="str">
        <f>""</f>
        <v/>
      </c>
      <c r="N1322" t="str">
        <f>""</f>
        <v/>
      </c>
      <c r="O1322" t="str">
        <f>""</f>
        <v/>
      </c>
    </row>
    <row r="1323" spans="1:15" x14ac:dyDescent="0.25">
      <c r="A1323" t="str">
        <f>$A$204</f>
        <v xml:space="preserve">                    JDE Peet's NV</v>
      </c>
      <c r="B1323" t="str">
        <f>$B$204</f>
        <v>JDEP NA Equity</v>
      </c>
      <c r="C1323" t="str">
        <f>$C$204</f>
        <v>F0946</v>
      </c>
      <c r="D1323" t="str">
        <f>$D$204</f>
        <v>TOTAL_GHG_CO2_EMISSIONS</v>
      </c>
      <c r="E1323" t="str">
        <f>$E$204</f>
        <v>Dynamic</v>
      </c>
      <c r="F1323" t="str">
        <f ca="1">_xll.BDH($B$204,$C$204,$B$1130,$B$1131,CONCATENATE("Per=",$B$1128),"Dts=H","Dir=H",CONCATENATE("Points=",$B$1129),"Sort=R","Days=A","Fill=B",CONCATENATE("FX=", $B$1127),"cols=5;rows=1")</f>
        <v/>
      </c>
      <c r="G1323">
        <v>0.54830000000000001</v>
      </c>
      <c r="H1323">
        <v>0.56030000000000002</v>
      </c>
      <c r="K1323" t="str">
        <f>""</f>
        <v/>
      </c>
      <c r="L1323" t="str">
        <f>""</f>
        <v/>
      </c>
      <c r="M1323" t="str">
        <f>""</f>
        <v/>
      </c>
      <c r="N1323" t="str">
        <f>""</f>
        <v/>
      </c>
      <c r="O1323" t="str">
        <f>""</f>
        <v/>
      </c>
    </row>
    <row r="1324" spans="1:15" x14ac:dyDescent="0.25">
      <c r="A1324" t="str">
        <f>$A$205</f>
        <v xml:space="preserve">                    Jiangsu Yanghe Brewery Joint-S</v>
      </c>
      <c r="B1324" t="str">
        <f>$B$205</f>
        <v>002304 CH Equity</v>
      </c>
      <c r="C1324" t="str">
        <f>$C$205</f>
        <v>F0946</v>
      </c>
      <c r="D1324" t="str">
        <f>$D$205</f>
        <v>TOTAL_GHG_CO2_EMISSIONS</v>
      </c>
      <c r="E1324" t="str">
        <f>$E$205</f>
        <v>Dynamic</v>
      </c>
      <c r="F1324" t="str">
        <f ca="1">_xll.BDH($B$205,$C$205,$B$1130,$B$1131,CONCATENATE("Per=",$B$1128),"Dts=H","Dir=H",CONCATENATE("Points=",$B$1129),"Sort=R","Days=A","Fill=B",CONCATENATE("FX=", $B$1127),"cols=5;rows=1")</f>
        <v/>
      </c>
      <c r="G1324">
        <v>0.38250000000000001</v>
      </c>
      <c r="H1324">
        <v>0.35799999999999998</v>
      </c>
      <c r="I1324">
        <v>0.49009999999999998</v>
      </c>
      <c r="K1324" t="str">
        <f>""</f>
        <v/>
      </c>
      <c r="L1324" t="str">
        <f>""</f>
        <v/>
      </c>
      <c r="M1324" t="str">
        <f>""</f>
        <v/>
      </c>
      <c r="N1324" t="str">
        <f>""</f>
        <v/>
      </c>
      <c r="O1324" t="str">
        <f>""</f>
        <v/>
      </c>
    </row>
    <row r="1325" spans="1:15" x14ac:dyDescent="0.25">
      <c r="A1325" t="str">
        <f>$A$206</f>
        <v xml:space="preserve">                    Keurig Dr Pepper Inc</v>
      </c>
      <c r="B1325" t="str">
        <f>$B$206</f>
        <v>KDP US Equity</v>
      </c>
      <c r="C1325" t="str">
        <f>$C$206</f>
        <v>F0946</v>
      </c>
      <c r="D1325" t="str">
        <f>$D$206</f>
        <v>TOTAL_GHG_CO2_EMISSIONS</v>
      </c>
      <c r="E1325" t="str">
        <f>$E$206</f>
        <v>Dynamic</v>
      </c>
      <c r="F1325">
        <f ca="1">_xll.BDH($B$206,$C$206,$B$1130,$B$1131,CONCATENATE("Per=",$B$1128),"Dts=H","Dir=H",CONCATENATE("Points=",$B$1129),"Sort=R","Days=A","Fill=B",CONCATENATE("FX=", $B$1127),"cols=5;rows=1")</f>
        <v>0.46660000000000001</v>
      </c>
      <c r="G1325">
        <v>0.46189999999999998</v>
      </c>
      <c r="H1325">
        <v>0.45479999999999998</v>
      </c>
      <c r="I1325">
        <v>0.43149999999999999</v>
      </c>
      <c r="J1325">
        <v>0.44009999999999999</v>
      </c>
      <c r="K1325" t="str">
        <f>""</f>
        <v/>
      </c>
      <c r="L1325" t="str">
        <f>""</f>
        <v/>
      </c>
      <c r="M1325" t="str">
        <f>""</f>
        <v/>
      </c>
      <c r="N1325" t="str">
        <f>""</f>
        <v/>
      </c>
      <c r="O1325" t="str">
        <f>""</f>
        <v/>
      </c>
    </row>
    <row r="1326" spans="1:15" x14ac:dyDescent="0.25">
      <c r="A1326" t="str">
        <f>$A$207</f>
        <v xml:space="preserve">                    Kirin Holdings Co Ltd</v>
      </c>
      <c r="B1326" t="str">
        <f>$B$207</f>
        <v>2503 JP Equity</v>
      </c>
      <c r="C1326" t="str">
        <f>$C$207</f>
        <v>F0946</v>
      </c>
      <c r="D1326" t="str">
        <f>$D$207</f>
        <v>TOTAL_GHG_CO2_EMISSIONS</v>
      </c>
      <c r="E1326" t="str">
        <f>$E$207</f>
        <v>Dynamic</v>
      </c>
      <c r="F1326" t="str">
        <f ca="1">_xll.BDH($B$207,$C$207,$B$1130,$B$1131,CONCATENATE("Per=",$B$1128),"Dts=H","Dir=H",CONCATENATE("Points=",$B$1129),"Sort=R","Days=A","Fill=B",CONCATENATE("FX=", $B$1127),"cols=5;rows=1")</f>
        <v/>
      </c>
      <c r="G1326">
        <v>0.72199999999999998</v>
      </c>
      <c r="H1326">
        <v>0.875</v>
      </c>
      <c r="I1326">
        <v>0.94899999999999995</v>
      </c>
      <c r="J1326">
        <v>0.98599999999999999</v>
      </c>
      <c r="K1326" t="str">
        <f>""</f>
        <v/>
      </c>
      <c r="L1326" t="str">
        <f>""</f>
        <v/>
      </c>
      <c r="M1326" t="str">
        <f>""</f>
        <v/>
      </c>
      <c r="N1326" t="str">
        <f>""</f>
        <v/>
      </c>
      <c r="O1326" t="str">
        <f>""</f>
        <v/>
      </c>
    </row>
    <row r="1327" spans="1:15" x14ac:dyDescent="0.25">
      <c r="A1327" t="str">
        <f>$A$208</f>
        <v xml:space="preserve">                    Kweichow Moutai Co Ltd</v>
      </c>
      <c r="B1327" t="str">
        <f>$B$208</f>
        <v>600519 CH Equity</v>
      </c>
      <c r="C1327" t="str">
        <f>$C$208</f>
        <v>F0946</v>
      </c>
      <c r="D1327" t="str">
        <f>$D$208</f>
        <v>TOTAL_GHG_CO2_EMISSIONS</v>
      </c>
      <c r="E1327" t="str">
        <f>$E$208</f>
        <v>Dynamic</v>
      </c>
      <c r="F1327" t="str">
        <f ca="1">_xll.BDH($B$208,$C$208,$B$1130,$B$1131,CONCATENATE("Per=",$B$1128),"Dts=H","Dir=H",CONCATENATE("Points=",$B$1129),"Sort=R","Days=A","Fill=B",CONCATENATE("FX=", $B$1127) )</f>
        <v/>
      </c>
      <c r="K1327" t="str">
        <f>""</f>
        <v/>
      </c>
      <c r="L1327" t="str">
        <f>""</f>
        <v/>
      </c>
      <c r="M1327" t="str">
        <f>""</f>
        <v/>
      </c>
      <c r="N1327" t="str">
        <f>""</f>
        <v/>
      </c>
      <c r="O1327" t="str">
        <f>""</f>
        <v/>
      </c>
    </row>
    <row r="1328" spans="1:15" x14ac:dyDescent="0.25">
      <c r="A1328" t="str">
        <f>$A$209</f>
        <v xml:space="preserve">                    Lotte Chilsung Beverage Co Ltd</v>
      </c>
      <c r="B1328" t="str">
        <f>$B$209</f>
        <v>005300 KS Equity</v>
      </c>
      <c r="C1328" t="str">
        <f>$C$209</f>
        <v>F0946</v>
      </c>
      <c r="D1328" t="str">
        <f>$D$209</f>
        <v>TOTAL_GHG_CO2_EMISSIONS</v>
      </c>
      <c r="E1328" t="str">
        <f>$E$209</f>
        <v>Dynamic</v>
      </c>
      <c r="F1328" t="str">
        <f ca="1">_xll.BDH($B$209,$C$209,$B$1130,$B$1131,CONCATENATE("Per=",$B$1128),"Dts=H","Dir=H",CONCATENATE("Points=",$B$1129),"Sort=R","Days=A","Fill=B",CONCATENATE("FX=", $B$1127),"cols=5;rows=1")</f>
        <v/>
      </c>
      <c r="G1328">
        <v>0.1628</v>
      </c>
      <c r="H1328">
        <v>0.14979999999999999</v>
      </c>
      <c r="I1328">
        <v>0.15210000000000001</v>
      </c>
      <c r="J1328">
        <v>0.1565</v>
      </c>
      <c r="K1328" t="str">
        <f>""</f>
        <v/>
      </c>
      <c r="L1328" t="str">
        <f>""</f>
        <v/>
      </c>
      <c r="M1328" t="str">
        <f>""</f>
        <v/>
      </c>
      <c r="N1328" t="str">
        <f>""</f>
        <v/>
      </c>
      <c r="O1328" t="str">
        <f>""</f>
        <v/>
      </c>
    </row>
    <row r="1329" spans="1:15" x14ac:dyDescent="0.25">
      <c r="A1329" t="str">
        <f>$A$210</f>
        <v xml:space="preserve">                    Lassonde Industries Inc</v>
      </c>
      <c r="B1329" t="str">
        <f>$B$210</f>
        <v>LAS/A CN Equity</v>
      </c>
      <c r="C1329" t="str">
        <f>$C$210</f>
        <v>F0946</v>
      </c>
      <c r="D1329" t="str">
        <f>$D$210</f>
        <v>TOTAL_GHG_CO2_EMISSIONS</v>
      </c>
      <c r="E1329" t="str">
        <f>$E$210</f>
        <v>Dynamic</v>
      </c>
      <c r="F1329" t="str">
        <f ca="1">_xll.BDH($B$210,$C$210,$B$1130,$B$1131,CONCATENATE("Per=",$B$1128),"Dts=H","Dir=H",CONCATENATE("Points=",$B$1129),"Sort=R","Days=A","Fill=B",CONCATENATE("FX=", $B$1127) )</f>
        <v/>
      </c>
      <c r="K1329" t="str">
        <f>""</f>
        <v/>
      </c>
      <c r="L1329" t="str">
        <f>""</f>
        <v/>
      </c>
      <c r="M1329" t="str">
        <f>""</f>
        <v/>
      </c>
      <c r="N1329" t="str">
        <f>""</f>
        <v/>
      </c>
      <c r="O1329" t="str">
        <f>""</f>
        <v/>
      </c>
    </row>
    <row r="1330" spans="1:15" x14ac:dyDescent="0.25">
      <c r="A1330" t="str">
        <f>$A$211</f>
        <v xml:space="preserve">                    Luzhou Laojiao Co Ltd</v>
      </c>
      <c r="B1330" t="str">
        <f>$B$211</f>
        <v>000568 CH Equity</v>
      </c>
      <c r="C1330" t="str">
        <f>$C$211</f>
        <v>F0946</v>
      </c>
      <c r="D1330" t="str">
        <f>$D$211</f>
        <v>TOTAL_GHG_CO2_EMISSIONS</v>
      </c>
      <c r="E1330" t="str">
        <f>$E$211</f>
        <v>Dynamic</v>
      </c>
      <c r="F1330" t="str">
        <f ca="1">_xll.BDH($B$211,$C$211,$B$1130,$B$1131,CONCATENATE("Per=",$B$1128),"Dts=H","Dir=H",CONCATENATE("Points=",$B$1129),"Sort=R","Days=A","Fill=B",CONCATENATE("FX=", $B$1127) )</f>
        <v/>
      </c>
      <c r="K1330" t="str">
        <f>""</f>
        <v/>
      </c>
      <c r="L1330" t="str">
        <f>""</f>
        <v/>
      </c>
      <c r="M1330" t="str">
        <f>""</f>
        <v/>
      </c>
      <c r="N1330" t="str">
        <f>""</f>
        <v/>
      </c>
      <c r="O1330" t="str">
        <f>""</f>
        <v/>
      </c>
    </row>
    <row r="1331" spans="1:15" x14ac:dyDescent="0.25">
      <c r="A1331" t="str">
        <f>$A$212</f>
        <v xml:space="preserve">                    Marie Brizard Wine &amp; Spirits S</v>
      </c>
      <c r="B1331" t="str">
        <f>$B$212</f>
        <v>MBWS FP Equity</v>
      </c>
      <c r="C1331" t="str">
        <f>$C$212</f>
        <v>F0946</v>
      </c>
      <c r="D1331" t="str">
        <f>$D$212</f>
        <v>TOTAL_GHG_CO2_EMISSIONS</v>
      </c>
      <c r="E1331" t="str">
        <f>$E$212</f>
        <v>Dynamic</v>
      </c>
      <c r="F1331">
        <f ca="1">_xll.BDH($B$212,$C$212,$B$1130,$B$1131,CONCATENATE("Per=",$B$1128),"Dts=H","Dir=H",CONCATENATE("Points=",$B$1129),"Sort=R","Days=A","Fill=B",CONCATENATE("FX=", $B$1127),"cols=5;rows=1")</f>
        <v>4.1000000000000003E-3</v>
      </c>
      <c r="G1331">
        <v>5.4000000000000003E-3</v>
      </c>
      <c r="H1331">
        <v>4.4000000000000003E-3</v>
      </c>
      <c r="I1331">
        <v>0.02</v>
      </c>
      <c r="J1331">
        <v>1.7600000000000001E-2</v>
      </c>
      <c r="K1331" t="str">
        <f>""</f>
        <v/>
      </c>
      <c r="L1331" t="str">
        <f>""</f>
        <v/>
      </c>
      <c r="M1331" t="str">
        <f>""</f>
        <v/>
      </c>
      <c r="N1331" t="str">
        <f>""</f>
        <v/>
      </c>
      <c r="O1331" t="str">
        <f>""</f>
        <v/>
      </c>
    </row>
    <row r="1332" spans="1:15" x14ac:dyDescent="0.25">
      <c r="A1332" t="str">
        <f>$A$213</f>
        <v xml:space="preserve">                    Molson Coors Beverage Co</v>
      </c>
      <c r="B1332" t="str">
        <f>$B$213</f>
        <v>TAP US Equity</v>
      </c>
      <c r="C1332" t="str">
        <f>$C$213</f>
        <v>F0946</v>
      </c>
      <c r="D1332" t="str">
        <f>$D$213</f>
        <v>TOTAL_GHG_CO2_EMISSIONS</v>
      </c>
      <c r="E1332" t="str">
        <f>$E$213</f>
        <v>Dynamic</v>
      </c>
      <c r="F1332" t="str">
        <f ca="1">_xll.BDH($B$213,$C$213,$B$1130,$B$1131,CONCATENATE("Per=",$B$1128),"Dts=H","Dir=H",CONCATENATE("Points=",$B$1129),"Sort=R","Days=A","Fill=B",CONCATENATE("FX=", $B$1127),"cols=5;rows=1")</f>
        <v/>
      </c>
      <c r="G1332">
        <v>0.94840000000000002</v>
      </c>
      <c r="H1332">
        <v>1.0024999999999999</v>
      </c>
      <c r="I1332">
        <v>1.0405</v>
      </c>
      <c r="J1332">
        <v>1.1035999999999999</v>
      </c>
      <c r="K1332" t="str">
        <f>""</f>
        <v/>
      </c>
      <c r="L1332" t="str">
        <f>""</f>
        <v/>
      </c>
      <c r="M1332" t="str">
        <f>""</f>
        <v/>
      </c>
      <c r="N1332" t="str">
        <f>""</f>
        <v/>
      </c>
      <c r="O1332" t="str">
        <f>""</f>
        <v/>
      </c>
    </row>
    <row r="1333" spans="1:15" x14ac:dyDescent="0.25">
      <c r="A1333" t="str">
        <f>$A$214</f>
        <v xml:space="preserve">                    Monster Beverage Corp</v>
      </c>
      <c r="B1333" t="str">
        <f>$B$214</f>
        <v>MNST US Equity</v>
      </c>
      <c r="C1333" t="str">
        <f>$C$214</f>
        <v>F0946</v>
      </c>
      <c r="D1333" t="str">
        <f>$D$214</f>
        <v>TOTAL_GHG_CO2_EMISSIONS</v>
      </c>
      <c r="E1333" t="str">
        <f>$E$214</f>
        <v>Dynamic</v>
      </c>
      <c r="F1333" t="str">
        <f ca="1">_xll.BDH($B$214,$C$214,$B$1130,$B$1131,CONCATENATE("Per=",$B$1128),"Dts=H","Dir=H",CONCATENATE("Points=",$B$1129),"Sort=R","Days=A","Fill=B",CONCATENATE("FX=", $B$1127),"cols=5;rows=1")</f>
        <v/>
      </c>
      <c r="G1333">
        <v>9.2999999999999992E-3</v>
      </c>
      <c r="H1333">
        <v>8.6E-3</v>
      </c>
      <c r="K1333" t="str">
        <f>""</f>
        <v/>
      </c>
      <c r="L1333" t="str">
        <f>""</f>
        <v/>
      </c>
      <c r="M1333" t="str">
        <f>""</f>
        <v/>
      </c>
      <c r="N1333" t="str">
        <f>""</f>
        <v/>
      </c>
      <c r="O1333" t="str">
        <f>""</f>
        <v/>
      </c>
    </row>
    <row r="1334" spans="1:15" x14ac:dyDescent="0.25">
      <c r="A1334" t="str">
        <f>$A$215</f>
        <v xml:space="preserve">                    Nigerian Breweries PLC</v>
      </c>
      <c r="B1334" t="str">
        <f>$B$215</f>
        <v>NB NL Equity</v>
      </c>
      <c r="C1334" t="str">
        <f>$C$215</f>
        <v>F0946</v>
      </c>
      <c r="D1334" t="str">
        <f>$D$215</f>
        <v>TOTAL_GHG_CO2_EMISSIONS</v>
      </c>
      <c r="E1334" t="str">
        <f>$E$215</f>
        <v>Dynamic</v>
      </c>
      <c r="F1334" t="str">
        <f ca="1">_xll.BDH($B$215,$C$215,$B$1130,$B$1131,CONCATENATE("Per=",$B$1128),"Dts=H","Dir=H",CONCATENATE("Points=",$B$1129),"Sort=R","Days=A","Fill=B",CONCATENATE("FX=", $B$1127) )</f>
        <v/>
      </c>
      <c r="K1334" t="str">
        <f>""</f>
        <v/>
      </c>
      <c r="L1334" t="str">
        <f>""</f>
        <v/>
      </c>
      <c r="M1334" t="str">
        <f>""</f>
        <v/>
      </c>
      <c r="N1334" t="str">
        <f>""</f>
        <v/>
      </c>
      <c r="O1334" t="str">
        <f>""</f>
        <v/>
      </c>
    </row>
    <row r="1335" spans="1:15" x14ac:dyDescent="0.25">
      <c r="A1335" t="str">
        <f>$A$216</f>
        <v xml:space="preserve">                    National Beverage Corp</v>
      </c>
      <c r="B1335" t="str">
        <f>$B$216</f>
        <v>FIZZ US Equity</v>
      </c>
      <c r="C1335" t="str">
        <f>$C$216</f>
        <v>F0946</v>
      </c>
      <c r="D1335" t="str">
        <f>$D$216</f>
        <v>TOTAL_GHG_CO2_EMISSIONS</v>
      </c>
      <c r="E1335" t="str">
        <f>$E$216</f>
        <v>Dynamic</v>
      </c>
      <c r="F1335" t="str">
        <f ca="1">_xll.BDH($B$216,$C$216,$B$1130,$B$1131,CONCATENATE("Per=",$B$1128),"Dts=H","Dir=H",CONCATENATE("Points=",$B$1129),"Sort=R","Days=A","Fill=B",CONCATENATE("FX=", $B$1127) )</f>
        <v/>
      </c>
      <c r="K1335" t="str">
        <f>""</f>
        <v/>
      </c>
      <c r="L1335" t="str">
        <f>""</f>
        <v/>
      </c>
      <c r="M1335" t="str">
        <f>""</f>
        <v/>
      </c>
      <c r="N1335" t="str">
        <f>""</f>
        <v/>
      </c>
      <c r="O1335" t="str">
        <f>""</f>
        <v/>
      </c>
    </row>
    <row r="1336" spans="1:15" x14ac:dyDescent="0.25">
      <c r="A1336" t="str">
        <f>$A$217</f>
        <v xml:space="preserve">                    Organizacion Cultiba SAB de CV</v>
      </c>
      <c r="B1336" t="str">
        <f>$B$217</f>
        <v>CULTIBAB MM Equity</v>
      </c>
      <c r="C1336" t="str">
        <f>$C$217</f>
        <v>F0946</v>
      </c>
      <c r="D1336" t="str">
        <f>$D$217</f>
        <v>TOTAL_GHG_CO2_EMISSIONS</v>
      </c>
      <c r="E1336" t="str">
        <f>$E$217</f>
        <v>Dynamic</v>
      </c>
      <c r="F1336" t="str">
        <f ca="1">_xll.BDH($B$217,$C$217,$B$1130,$B$1131,CONCATENATE("Per=",$B$1128),"Dts=H","Dir=H",CONCATENATE("Points=",$B$1129),"Sort=R","Days=A","Fill=B",CONCATENATE("FX=", $B$1127) )</f>
        <v/>
      </c>
      <c r="K1336" t="str">
        <f>""</f>
        <v/>
      </c>
      <c r="L1336" t="str">
        <f>""</f>
        <v/>
      </c>
      <c r="M1336" t="str">
        <f>""</f>
        <v/>
      </c>
      <c r="N1336" t="str">
        <f>""</f>
        <v/>
      </c>
      <c r="O1336" t="str">
        <f>""</f>
        <v/>
      </c>
    </row>
    <row r="1337" spans="1:15" x14ac:dyDescent="0.25">
      <c r="A1337" t="str">
        <f>$A$218</f>
        <v xml:space="preserve">                    PepsiCo Inc</v>
      </c>
      <c r="B1337" t="str">
        <f>$B$218</f>
        <v>PEP US Equity</v>
      </c>
      <c r="C1337" t="str">
        <f>$C$218</f>
        <v>F0946</v>
      </c>
      <c r="D1337" t="str">
        <f>$D$218</f>
        <v>TOTAL_GHG_CO2_EMISSIONS</v>
      </c>
      <c r="E1337" t="str">
        <f>$E$218</f>
        <v>Dynamic</v>
      </c>
      <c r="F1337" t="str">
        <f ca="1">_xll.BDH($B$218,$C$218,$B$1130,$B$1131,CONCATENATE("Per=",$B$1128),"Dts=H","Dir=H",CONCATENATE("Points=",$B$1129),"Sort=R","Days=A","Fill=B",CONCATENATE("FX=", $B$1127),"cols=5;rows=1")</f>
        <v/>
      </c>
      <c r="G1337">
        <v>5.4077999999999999</v>
      </c>
      <c r="H1337">
        <v>5.2723000000000004</v>
      </c>
      <c r="I1337">
        <v>5.1089000000000002</v>
      </c>
      <c r="J1337">
        <v>5.2072000000000003</v>
      </c>
      <c r="K1337" t="str">
        <f>""</f>
        <v/>
      </c>
      <c r="L1337" t="str">
        <f>""</f>
        <v/>
      </c>
      <c r="M1337" t="str">
        <f>""</f>
        <v/>
      </c>
      <c r="N1337" t="str">
        <f>""</f>
        <v/>
      </c>
      <c r="O1337" t="str">
        <f>""</f>
        <v/>
      </c>
    </row>
    <row r="1338" spans="1:15" x14ac:dyDescent="0.25">
      <c r="A1338" t="str">
        <f>$A$219</f>
        <v xml:space="preserve">                    Pernod Ricard SA</v>
      </c>
      <c r="B1338" t="str">
        <f>$B$219</f>
        <v>RI FP Equity</v>
      </c>
      <c r="C1338" t="str">
        <f>$C$219</f>
        <v>F0946</v>
      </c>
      <c r="D1338" t="str">
        <f>$D$219</f>
        <v>TOTAL_GHG_CO2_EMISSIONS</v>
      </c>
      <c r="E1338" t="str">
        <f>$E$219</f>
        <v>Dynamic</v>
      </c>
      <c r="F1338" t="str">
        <f ca="1">_xll.BDH($B$219,$C$219,$B$1130,$B$1131,CONCATENATE("Per=",$B$1128),"Dts=H","Dir=H",CONCATENATE("Points=",$B$1129),"Sort=R","Days=A","Fill=B",CONCATENATE("FX=", $B$1127),"cols=5;rows=1")</f>
        <v/>
      </c>
      <c r="G1338">
        <v>0.34210000000000002</v>
      </c>
      <c r="H1338">
        <v>0.29499999999999998</v>
      </c>
      <c r="I1338">
        <v>0.28499999999999998</v>
      </c>
      <c r="J1338">
        <v>0.29749999999999999</v>
      </c>
      <c r="K1338" t="str">
        <f>""</f>
        <v/>
      </c>
      <c r="L1338" t="str">
        <f>""</f>
        <v/>
      </c>
      <c r="M1338" t="str">
        <f>""</f>
        <v/>
      </c>
      <c r="N1338" t="str">
        <f>""</f>
        <v/>
      </c>
      <c r="O1338" t="str">
        <f>""</f>
        <v/>
      </c>
    </row>
    <row r="1339" spans="1:15" x14ac:dyDescent="0.25">
      <c r="A1339" t="str">
        <f>$A$220</f>
        <v xml:space="preserve">                    Primo Water Corp</v>
      </c>
      <c r="B1339" t="str">
        <f>$B$220</f>
        <v>PRMW US Equity</v>
      </c>
      <c r="C1339" t="str">
        <f>$C$220</f>
        <v>F0946</v>
      </c>
      <c r="D1339" t="str">
        <f>$D$220</f>
        <v>TOTAL_GHG_CO2_EMISSIONS</v>
      </c>
      <c r="E1339" t="str">
        <f>$E$220</f>
        <v>Dynamic</v>
      </c>
      <c r="F1339" t="str">
        <f ca="1">_xll.BDH($B$220,$C$220,$B$1130,$B$1131,CONCATENATE("Per=",$B$1128),"Dts=H","Dir=H",CONCATENATE("Points=",$B$1129),"Sort=R","Days=A","Fill=B",CONCATENATE("FX=", $B$1127) )</f>
        <v/>
      </c>
      <c r="K1339" t="str">
        <f>""</f>
        <v/>
      </c>
      <c r="L1339" t="str">
        <f>""</f>
        <v/>
      </c>
      <c r="M1339" t="str">
        <f>""</f>
        <v/>
      </c>
      <c r="N1339" t="str">
        <f>""</f>
        <v/>
      </c>
      <c r="O1339" t="str">
        <f>""</f>
        <v/>
      </c>
    </row>
    <row r="1340" spans="1:15" x14ac:dyDescent="0.25">
      <c r="A1340" t="str">
        <f>$A$221</f>
        <v xml:space="preserve">                    Royal Unibrew A/S</v>
      </c>
      <c r="B1340" t="str">
        <f>$B$221</f>
        <v>RBREW DC Equity</v>
      </c>
      <c r="C1340" t="str">
        <f>$C$221</f>
        <v>F0946</v>
      </c>
      <c r="D1340" t="str">
        <f>$D$221</f>
        <v>TOTAL_GHG_CO2_EMISSIONS</v>
      </c>
      <c r="E1340" t="str">
        <f>$E$221</f>
        <v>Dynamic</v>
      </c>
      <c r="F1340" t="str">
        <f ca="1">_xll.BDH($B$221,$C$221,$B$1130,$B$1131,CONCATENATE("Per=",$B$1128),"Dts=H","Dir=H",CONCATENATE("Points=",$B$1129),"Sort=R","Days=A","Fill=B",CONCATENATE("FX=", $B$1127),"cols=5;rows=1")</f>
        <v/>
      </c>
      <c r="G1340">
        <v>3.5799999999999998E-2</v>
      </c>
      <c r="K1340" t="str">
        <f>""</f>
        <v/>
      </c>
      <c r="L1340" t="str">
        <f>""</f>
        <v/>
      </c>
      <c r="M1340" t="str">
        <f>""</f>
        <v/>
      </c>
      <c r="N1340" t="str">
        <f>""</f>
        <v/>
      </c>
      <c r="O1340" t="str">
        <f>""</f>
        <v/>
      </c>
    </row>
    <row r="1341" spans="1:15" x14ac:dyDescent="0.25">
      <c r="A1341" t="str">
        <f>$A$222</f>
        <v xml:space="preserve">                    Remy Cointreau SA</v>
      </c>
      <c r="B1341" t="str">
        <f>$B$222</f>
        <v>RCO FP Equity</v>
      </c>
      <c r="C1341" t="str">
        <f>$C$222</f>
        <v>F0946</v>
      </c>
      <c r="D1341" t="str">
        <f>$D$222</f>
        <v>TOTAL_GHG_CO2_EMISSIONS</v>
      </c>
      <c r="E1341" t="str">
        <f>$E$222</f>
        <v>Dynamic</v>
      </c>
      <c r="F1341" t="str">
        <f ca="1">_xll.BDH($B$222,$C$222,$B$1130,$B$1131,CONCATENATE("Per=",$B$1128),"Dts=H","Dir=H",CONCATENATE("Points=",$B$1129),"Sort=R","Days=A","Fill=B",CONCATENATE("FX=", $B$1127),"cols=5;rows=1")</f>
        <v/>
      </c>
      <c r="G1341">
        <v>7.1000000000000004E-3</v>
      </c>
      <c r="H1341">
        <v>7.9000000000000008E-3</v>
      </c>
      <c r="I1341">
        <v>8.3000000000000001E-3</v>
      </c>
      <c r="J1341">
        <v>1.1299999999999999E-2</v>
      </c>
      <c r="K1341" t="str">
        <f>""</f>
        <v/>
      </c>
      <c r="L1341" t="str">
        <f>""</f>
        <v/>
      </c>
      <c r="M1341" t="str">
        <f>""</f>
        <v/>
      </c>
      <c r="N1341" t="str">
        <f>""</f>
        <v/>
      </c>
      <c r="O1341" t="str">
        <f>""</f>
        <v/>
      </c>
    </row>
    <row r="1342" spans="1:15" x14ac:dyDescent="0.25">
      <c r="A1342" t="str">
        <f>$A$223</f>
        <v xml:space="preserve">                    Sapporo Holdings Ltd</v>
      </c>
      <c r="B1342" t="str">
        <f>$B$223</f>
        <v>2501 JP Equity</v>
      </c>
      <c r="C1342" t="str">
        <f>$C$223</f>
        <v>F0946</v>
      </c>
      <c r="D1342" t="str">
        <f>$D$223</f>
        <v>TOTAL_GHG_CO2_EMISSIONS</v>
      </c>
      <c r="E1342" t="str">
        <f>$E$223</f>
        <v>Dynamic</v>
      </c>
      <c r="F1342" t="str">
        <f ca="1">_xll.BDH($B$223,$C$223,$B$1130,$B$1131,CONCATENATE("Per=",$B$1128),"Dts=H","Dir=H",CONCATENATE("Points=",$B$1129),"Sort=R","Days=A","Fill=B",CONCATENATE("FX=", $B$1127),"cols=5;rows=1")</f>
        <v/>
      </c>
      <c r="G1342">
        <v>0.18410000000000001</v>
      </c>
      <c r="H1342">
        <v>0.18049999999999999</v>
      </c>
      <c r="I1342">
        <v>0.2069</v>
      </c>
      <c r="J1342">
        <v>0.25540000000000002</v>
      </c>
      <c r="K1342" t="str">
        <f>""</f>
        <v/>
      </c>
      <c r="L1342" t="str">
        <f>""</f>
        <v/>
      </c>
      <c r="M1342" t="str">
        <f>""</f>
        <v/>
      </c>
      <c r="N1342" t="str">
        <f>""</f>
        <v/>
      </c>
      <c r="O1342" t="str">
        <f>""</f>
        <v/>
      </c>
    </row>
    <row r="1343" spans="1:15" x14ac:dyDescent="0.25">
      <c r="A1343" t="str">
        <f>$A$224</f>
        <v xml:space="preserve">                    Suntory Beverage &amp; Food Ltd</v>
      </c>
      <c r="B1343" t="str">
        <f>$B$224</f>
        <v>2587 JP Equity</v>
      </c>
      <c r="C1343" t="str">
        <f>$C$224</f>
        <v>F0946</v>
      </c>
      <c r="D1343" t="str">
        <f>$D$224</f>
        <v>TOTAL_GHG_CO2_EMISSIONS</v>
      </c>
      <c r="E1343" t="str">
        <f>$E$224</f>
        <v>Dynamic</v>
      </c>
      <c r="F1343" t="str">
        <f ca="1">_xll.BDH($B$224,$C$224,$B$1130,$B$1131,CONCATENATE("Per=",$B$1128),"Dts=H","Dir=H",CONCATENATE("Points=",$B$1129),"Sort=R","Days=A","Fill=B",CONCATENATE("FX=", $B$1127),"cols=5;rows=1")</f>
        <v/>
      </c>
      <c r="G1343">
        <v>0.51500000000000001</v>
      </c>
      <c r="H1343">
        <v>0.48599999999999999</v>
      </c>
      <c r="I1343">
        <v>0.501</v>
      </c>
      <c r="J1343">
        <v>0.46200000000000002</v>
      </c>
      <c r="K1343" t="str">
        <f>""</f>
        <v/>
      </c>
      <c r="L1343" t="str">
        <f>""</f>
        <v/>
      </c>
      <c r="M1343" t="str">
        <f>""</f>
        <v/>
      </c>
      <c r="N1343" t="str">
        <f>""</f>
        <v/>
      </c>
      <c r="O1343" t="str">
        <f>""</f>
        <v/>
      </c>
    </row>
    <row r="1344" spans="1:15" x14ac:dyDescent="0.25">
      <c r="A1344" t="str">
        <f>$A$225</f>
        <v xml:space="preserve">                    Takara Holdings Inc</v>
      </c>
      <c r="B1344" t="str">
        <f>$B$225</f>
        <v>2531 JP Equity</v>
      </c>
      <c r="C1344" t="str">
        <f>$C$225</f>
        <v>F0946</v>
      </c>
      <c r="D1344" t="str">
        <f>$D$225</f>
        <v>TOTAL_GHG_CO2_EMISSIONS</v>
      </c>
      <c r="E1344" t="str">
        <f>$E$225</f>
        <v>Dynamic</v>
      </c>
      <c r="F1344" t="str">
        <f ca="1">_xll.BDH($B$225,$C$225,$B$1130,$B$1131,CONCATENATE("Per=",$B$1128),"Dts=H","Dir=H",CONCATENATE("Points=",$B$1129),"Sort=R","Days=A","Fill=B",CONCATENATE("FX=", $B$1127),"cols=5;rows=1")</f>
        <v/>
      </c>
      <c r="G1344">
        <v>0.1128</v>
      </c>
      <c r="H1344">
        <v>0.1128</v>
      </c>
      <c r="I1344">
        <v>0.11020000000000001</v>
      </c>
      <c r="J1344">
        <v>0.1133</v>
      </c>
      <c r="K1344" t="str">
        <f>""</f>
        <v/>
      </c>
      <c r="L1344" t="str">
        <f>""</f>
        <v/>
      </c>
      <c r="M1344" t="str">
        <f>""</f>
        <v/>
      </c>
      <c r="N1344" t="str">
        <f>""</f>
        <v/>
      </c>
      <c r="O1344" t="str">
        <f>""</f>
        <v/>
      </c>
    </row>
    <row r="1345" spans="1:15" x14ac:dyDescent="0.25">
      <c r="A1345" t="str">
        <f>$A$226</f>
        <v xml:space="preserve">                    Tata Consumer Products Ltd</v>
      </c>
      <c r="B1345" t="str">
        <f>$B$226</f>
        <v>TATACONS IN Equity</v>
      </c>
      <c r="C1345" t="str">
        <f>$C$226</f>
        <v>F0946</v>
      </c>
      <c r="D1345" t="str">
        <f>$D$226</f>
        <v>TOTAL_GHG_CO2_EMISSIONS</v>
      </c>
      <c r="E1345" t="str">
        <f>$E$226</f>
        <v>Dynamic</v>
      </c>
      <c r="F1345">
        <f ca="1">_xll.BDH($B$226,$C$226,$B$1130,$B$1131,CONCATENATE("Per=",$B$1128),"Dts=H","Dir=H",CONCATENATE("Points=",$B$1129),"Sort=R","Days=A","Fill=B",CONCATENATE("FX=", $B$1127),"cols=5;rows=1")</f>
        <v>2.6700000000000002E-2</v>
      </c>
      <c r="G1345">
        <v>3.15E-2</v>
      </c>
      <c r="H1345">
        <v>3.2300000000000002E-2</v>
      </c>
      <c r="I1345">
        <v>2.8799999999999999E-2</v>
      </c>
      <c r="J1345">
        <v>2.69E-2</v>
      </c>
      <c r="K1345" t="str">
        <f>""</f>
        <v/>
      </c>
      <c r="L1345" t="str">
        <f>""</f>
        <v/>
      </c>
      <c r="M1345" t="str">
        <f>""</f>
        <v/>
      </c>
      <c r="N1345" t="str">
        <f>""</f>
        <v/>
      </c>
      <c r="O1345" t="str">
        <f>""</f>
        <v/>
      </c>
    </row>
    <row r="1346" spans="1:15" x14ac:dyDescent="0.25">
      <c r="A1346" t="str">
        <f>$A$227</f>
        <v xml:space="preserve">                    Thai Beverage PCL</v>
      </c>
      <c r="B1346" t="str">
        <f>$B$227</f>
        <v>THBEV SP Equity</v>
      </c>
      <c r="C1346" t="str">
        <f>$C$227</f>
        <v>F0946</v>
      </c>
      <c r="D1346" t="str">
        <f>$D$227</f>
        <v>TOTAL_GHG_CO2_EMISSIONS</v>
      </c>
      <c r="E1346" t="str">
        <f>$E$227</f>
        <v>Dynamic</v>
      </c>
      <c r="F1346">
        <f ca="1">_xll.BDH($B$227,$C$227,$B$1130,$B$1131,CONCATENATE("Per=",$B$1128),"Dts=H","Dir=H",CONCATENATE("Points=",$B$1129),"Sort=R","Days=A","Fill=B",CONCATENATE("FX=", $B$1127),"cols=5;rows=1")</f>
        <v>0.93469999999999998</v>
      </c>
      <c r="G1346">
        <v>1.0086999999999999</v>
      </c>
      <c r="H1346">
        <v>1.0629</v>
      </c>
      <c r="I1346">
        <v>1.1143000000000001</v>
      </c>
      <c r="J1346">
        <v>0.76</v>
      </c>
      <c r="K1346" t="str">
        <f>""</f>
        <v/>
      </c>
      <c r="L1346" t="str">
        <f>""</f>
        <v/>
      </c>
      <c r="M1346" t="str">
        <f>""</f>
        <v/>
      </c>
      <c r="N1346" t="str">
        <f>""</f>
        <v/>
      </c>
      <c r="O1346" t="str">
        <f>""</f>
        <v/>
      </c>
    </row>
    <row r="1347" spans="1:15" x14ac:dyDescent="0.25">
      <c r="A1347" t="str">
        <f>$A$228</f>
        <v xml:space="preserve">                    Tsingtao Brewery Co Ltd</v>
      </c>
      <c r="B1347" t="str">
        <f>$B$228</f>
        <v>600600 CH Equity</v>
      </c>
      <c r="C1347" t="str">
        <f>$C$228</f>
        <v>F0946</v>
      </c>
      <c r="D1347" t="str">
        <f>$D$228</f>
        <v>TOTAL_GHG_CO2_EMISSIONS</v>
      </c>
      <c r="E1347" t="str">
        <f>$E$228</f>
        <v>Dynamic</v>
      </c>
      <c r="F1347">
        <f ca="1">_xll.BDH($B$228,$C$228,$B$1130,$B$1131,CONCATENATE("Per=",$B$1128),"Dts=H","Dir=H",CONCATENATE("Points=",$B$1129),"Sort=R","Days=A","Fill=B",CONCATENATE("FX=", $B$1127),"cols=5;rows=1")</f>
        <v>0.74409999999999998</v>
      </c>
      <c r="G1347">
        <v>0.77859999999999996</v>
      </c>
      <c r="H1347">
        <v>0.85140000000000005</v>
      </c>
      <c r="I1347">
        <v>0.92779999999999996</v>
      </c>
      <c r="K1347" t="str">
        <f>""</f>
        <v/>
      </c>
      <c r="L1347" t="str">
        <f>""</f>
        <v/>
      </c>
      <c r="M1347" t="str">
        <f>""</f>
        <v/>
      </c>
      <c r="N1347" t="str">
        <f>""</f>
        <v/>
      </c>
      <c r="O1347" t="str">
        <f>""</f>
        <v/>
      </c>
    </row>
    <row r="1348" spans="1:15" x14ac:dyDescent="0.25">
      <c r="A1348" t="str">
        <f>$A$229</f>
        <v xml:space="preserve">                    Tingyi Cayman Islands Holding</v>
      </c>
      <c r="B1348" t="str">
        <f>$B$229</f>
        <v>322 HK Equity</v>
      </c>
      <c r="C1348" t="str">
        <f>$C$229</f>
        <v>F0946</v>
      </c>
      <c r="D1348" t="str">
        <f>$D$229</f>
        <v>TOTAL_GHG_CO2_EMISSIONS</v>
      </c>
      <c r="E1348" t="str">
        <f>$E$229</f>
        <v>Dynamic</v>
      </c>
      <c r="F1348" t="str">
        <f ca="1">_xll.BDH($B$229,$C$229,$B$1130,$B$1131,CONCATENATE("Per=",$B$1128),"Dts=H","Dir=H",CONCATENATE("Points=",$B$1129),"Sort=R","Days=A","Fill=B",CONCATENATE("FX=", $B$1127),"cols=5;rows=1")</f>
        <v/>
      </c>
      <c r="G1348">
        <v>2.2823000000000002</v>
      </c>
      <c r="H1348">
        <v>1.022</v>
      </c>
      <c r="I1348">
        <v>0.995</v>
      </c>
      <c r="J1348">
        <v>1.071</v>
      </c>
      <c r="K1348" t="str">
        <f>""</f>
        <v/>
      </c>
      <c r="L1348" t="str">
        <f>""</f>
        <v/>
      </c>
      <c r="M1348" t="str">
        <f>""</f>
        <v/>
      </c>
      <c r="N1348" t="str">
        <f>""</f>
        <v/>
      </c>
      <c r="O1348" t="str">
        <f>""</f>
        <v/>
      </c>
    </row>
    <row r="1349" spans="1:15" x14ac:dyDescent="0.25">
      <c r="A1349" t="str">
        <f>$A$230</f>
        <v xml:space="preserve">                    Treasury Wine Estates Ltd</v>
      </c>
      <c r="B1349" t="str">
        <f>$B$230</f>
        <v>TWE AU Equity</v>
      </c>
      <c r="C1349" t="str">
        <f>$C$230</f>
        <v>F0946</v>
      </c>
      <c r="D1349" t="str">
        <f>$D$230</f>
        <v>TOTAL_GHG_CO2_EMISSIONS</v>
      </c>
      <c r="E1349" t="str">
        <f>$E$230</f>
        <v>Dynamic</v>
      </c>
      <c r="F1349" t="str">
        <f ca="1">_xll.BDH($B$230,$C$230,$B$1130,$B$1131,CONCATENATE("Per=",$B$1128),"Dts=H","Dir=H",CONCATENATE("Points=",$B$1129),"Sort=R","Days=A","Fill=B",CONCATENATE("FX=", $B$1127),"cols=5;rows=1")</f>
        <v/>
      </c>
      <c r="G1349">
        <v>4.07E-2</v>
      </c>
      <c r="H1349">
        <v>4.7300000000000002E-2</v>
      </c>
      <c r="I1349">
        <v>4.5699999999999998E-2</v>
      </c>
      <c r="J1349">
        <v>4.7600000000000003E-2</v>
      </c>
      <c r="K1349" t="str">
        <f>""</f>
        <v/>
      </c>
      <c r="L1349" t="str">
        <f>""</f>
        <v/>
      </c>
      <c r="M1349" t="str">
        <f>""</f>
        <v/>
      </c>
      <c r="N1349" t="str">
        <f>""</f>
        <v/>
      </c>
      <c r="O1349" t="str">
        <f>""</f>
        <v/>
      </c>
    </row>
    <row r="1350" spans="1:15" x14ac:dyDescent="0.25">
      <c r="A1350" t="str">
        <f>$A$231</f>
        <v xml:space="preserve">                    Union de Cervecerias Peruanas</v>
      </c>
      <c r="B1350" t="str">
        <f>$B$231</f>
        <v>BACKUSI1 PE Equity</v>
      </c>
      <c r="C1350" t="str">
        <f>$C$231</f>
        <v>F0946</v>
      </c>
      <c r="D1350" t="str">
        <f>$D$231</f>
        <v>TOTAL_GHG_CO2_EMISSIONS</v>
      </c>
      <c r="E1350" t="str">
        <f>$E$231</f>
        <v>Dynamic</v>
      </c>
      <c r="F1350" t="str">
        <f ca="1">_xll.BDH($B$231,$C$231,$B$1130,$B$1131,CONCATENATE("Per=",$B$1128),"Dts=H","Dir=H",CONCATENATE("Points=",$B$1129),"Sort=R","Days=A","Fill=B",CONCATENATE("FX=", $B$1127) )</f>
        <v/>
      </c>
      <c r="K1350" t="str">
        <f>""</f>
        <v/>
      </c>
      <c r="L1350" t="str">
        <f>""</f>
        <v/>
      </c>
      <c r="M1350" t="str">
        <f>""</f>
        <v/>
      </c>
      <c r="N1350" t="str">
        <f>""</f>
        <v/>
      </c>
      <c r="O1350" t="str">
        <f>""</f>
        <v/>
      </c>
    </row>
    <row r="1351" spans="1:15" x14ac:dyDescent="0.25">
      <c r="A1351" t="str">
        <f>$A$232</f>
        <v xml:space="preserve">                    United Spirits Ltd</v>
      </c>
      <c r="B1351" t="str">
        <f>$B$232</f>
        <v>UNSP IN Equity</v>
      </c>
      <c r="C1351" t="str">
        <f>$C$232</f>
        <v>F0946</v>
      </c>
      <c r="D1351" t="str">
        <f>$D$232</f>
        <v>TOTAL_GHG_CO2_EMISSIONS</v>
      </c>
      <c r="E1351" t="str">
        <f>$E$232</f>
        <v>Dynamic</v>
      </c>
      <c r="F1351" t="str">
        <f ca="1">_xll.BDH($B$232,$C$232,$B$1130,$B$1131,CONCATENATE("Per=",$B$1128),"Dts=H","Dir=H",CONCATENATE("Points=",$B$1129),"Sort=R","Days=A","Fill=B",CONCATENATE("FX=", $B$1127) )</f>
        <v/>
      </c>
      <c r="K1351" t="str">
        <f>""</f>
        <v/>
      </c>
      <c r="L1351" t="str">
        <f>""</f>
        <v/>
      </c>
      <c r="M1351" t="str">
        <f>""</f>
        <v/>
      </c>
      <c r="N1351" t="str">
        <f>""</f>
        <v/>
      </c>
      <c r="O1351" t="str">
        <f>""</f>
        <v/>
      </c>
    </row>
    <row r="1352" spans="1:15" x14ac:dyDescent="0.25">
      <c r="A1352" t="str">
        <f>$A$233</f>
        <v xml:space="preserve">                    Uni-President China Holdings L</v>
      </c>
      <c r="B1352" t="str">
        <f>$B$233</f>
        <v>220 HK Equity</v>
      </c>
      <c r="C1352" t="str">
        <f>$C$233</f>
        <v>F0946</v>
      </c>
      <c r="D1352" t="str">
        <f>$D$233</f>
        <v>TOTAL_GHG_CO2_EMISSIONS</v>
      </c>
      <c r="E1352" t="str">
        <f>$E$233</f>
        <v>Dynamic</v>
      </c>
      <c r="F1352">
        <f ca="1">_xll.BDH($B$233,$C$233,$B$1130,$B$1131,CONCATENATE("Per=",$B$1128),"Dts=H","Dir=H",CONCATENATE("Points=",$B$1129),"Sort=R","Days=A","Fill=B",CONCATENATE("FX=", $B$1127),"cols=5;rows=1")</f>
        <v>0.64700000000000002</v>
      </c>
      <c r="G1352">
        <v>0.59199999999999997</v>
      </c>
      <c r="H1352">
        <v>0.5282</v>
      </c>
      <c r="I1352">
        <v>0.45860000000000001</v>
      </c>
      <c r="J1352">
        <v>0.45469999999999999</v>
      </c>
      <c r="K1352" t="str">
        <f>""</f>
        <v/>
      </c>
      <c r="L1352" t="str">
        <f>""</f>
        <v/>
      </c>
      <c r="M1352" t="str">
        <f>""</f>
        <v/>
      </c>
      <c r="N1352" t="str">
        <f>""</f>
        <v/>
      </c>
      <c r="O1352" t="str">
        <f>""</f>
        <v/>
      </c>
    </row>
    <row r="1353" spans="1:15" x14ac:dyDescent="0.25">
      <c r="A1353" t="str">
        <f>$A$234</f>
        <v xml:space="preserve">                    Vina Concha y Toro SA</v>
      </c>
      <c r="B1353" t="str">
        <f>$B$234</f>
        <v>CONCHA CI Equity</v>
      </c>
      <c r="C1353" t="str">
        <f>$C$234</f>
        <v>F0946</v>
      </c>
      <c r="D1353" t="str">
        <f>$D$234</f>
        <v>TOTAL_GHG_CO2_EMISSIONS</v>
      </c>
      <c r="E1353" t="str">
        <f>$E$234</f>
        <v>Dynamic</v>
      </c>
      <c r="F1353" t="str">
        <f ca="1">_xll.BDH($B$234,$C$234,$B$1130,$B$1131,CONCATENATE("Per=",$B$1128),"Dts=H","Dir=H",CONCATENATE("Points=",$B$1129),"Sort=R","Days=A","Fill=B",CONCATENATE("FX=", $B$1127),"cols=5;rows=1")</f>
        <v/>
      </c>
      <c r="G1353">
        <v>6.2399999999999997E-2</v>
      </c>
      <c r="H1353">
        <v>6.1899999999999997E-2</v>
      </c>
      <c r="I1353">
        <v>5.5300000000000002E-2</v>
      </c>
      <c r="J1353">
        <v>5.8400000000000001E-2</v>
      </c>
      <c r="K1353" t="str">
        <f>""</f>
        <v/>
      </c>
      <c r="L1353" t="str">
        <f>""</f>
        <v/>
      </c>
      <c r="M1353" t="str">
        <f>""</f>
        <v/>
      </c>
      <c r="N1353" t="str">
        <f>""</f>
        <v/>
      </c>
      <c r="O1353" t="str">
        <f>""</f>
        <v/>
      </c>
    </row>
    <row r="1354" spans="1:15" x14ac:dyDescent="0.25">
      <c r="A1354" t="str">
        <f>$A$235</f>
        <v xml:space="preserve">                    Vita Coco Co Inc/The</v>
      </c>
      <c r="B1354" t="str">
        <f>$B$235</f>
        <v>COCO US Equity</v>
      </c>
      <c r="C1354" t="str">
        <f>$C$235</f>
        <v>F0946</v>
      </c>
      <c r="D1354" t="str">
        <f>$D$235</f>
        <v>TOTAL_GHG_CO2_EMISSIONS</v>
      </c>
      <c r="E1354" t="str">
        <f>$E$235</f>
        <v>Dynamic</v>
      </c>
      <c r="F1354" t="str">
        <f ca="1">_xll.BDH($B$235,$C$235,$B$1130,$B$1131,CONCATENATE("Per=",$B$1128),"Dts=H","Dir=H",CONCATENATE("Points=",$B$1129),"Sort=R","Days=A","Fill=B",CONCATENATE("FX=", $B$1127) )</f>
        <v/>
      </c>
      <c r="K1354" t="str">
        <f>""</f>
        <v/>
      </c>
      <c r="L1354" t="str">
        <f>""</f>
        <v/>
      </c>
      <c r="M1354" t="str">
        <f>""</f>
        <v/>
      </c>
      <c r="N1354" t="str">
        <f>""</f>
        <v/>
      </c>
      <c r="O1354" t="str">
        <f>""</f>
        <v/>
      </c>
    </row>
    <row r="1355" spans="1:15" x14ac:dyDescent="0.25">
      <c r="A1355" t="str">
        <f>$A$236</f>
        <v xml:space="preserve">                    Wuliangye Yibin Co Ltd</v>
      </c>
      <c r="B1355" t="str">
        <f>$B$236</f>
        <v>000858 CH Equity</v>
      </c>
      <c r="C1355" t="str">
        <f>$C$236</f>
        <v>F0946</v>
      </c>
      <c r="D1355" t="str">
        <f>$D$236</f>
        <v>TOTAL_GHG_CO2_EMISSIONS</v>
      </c>
      <c r="E1355" t="str">
        <f>$E$236</f>
        <v>Dynamic</v>
      </c>
      <c r="F1355">
        <f ca="1">_xll.BDH($B$236,$C$236,$B$1130,$B$1131,CONCATENATE("Per=",$B$1128),"Dts=H","Dir=H",CONCATENATE("Points=",$B$1129),"Sort=R","Days=A","Fill=B",CONCATENATE("FX=", $B$1127),"cols=5;rows=1")</f>
        <v>0.48409999999999997</v>
      </c>
      <c r="G1355">
        <v>0.51959999999999995</v>
      </c>
      <c r="K1355" t="str">
        <f>""</f>
        <v/>
      </c>
      <c r="L1355" t="str">
        <f>""</f>
        <v/>
      </c>
      <c r="M1355" t="str">
        <f>""</f>
        <v/>
      </c>
      <c r="N1355" t="str">
        <f>""</f>
        <v/>
      </c>
      <c r="O1355" t="str">
        <f>""</f>
        <v/>
      </c>
    </row>
    <row r="1356" spans="1:15" x14ac:dyDescent="0.25">
      <c r="A1356" t="str">
        <f>$A$237</f>
        <v xml:space="preserve">                    Yakult Honsha Co Ltd</v>
      </c>
      <c r="B1356" t="str">
        <f>$B$237</f>
        <v>2267 JP Equity</v>
      </c>
      <c r="C1356" t="str">
        <f>$C$237</f>
        <v>F0946</v>
      </c>
      <c r="D1356" t="str">
        <f>$D$237</f>
        <v>TOTAL_GHG_CO2_EMISSIONS</v>
      </c>
      <c r="E1356" t="str">
        <f>$E$237</f>
        <v>Dynamic</v>
      </c>
      <c r="F1356" t="str">
        <f ca="1">_xll.BDH($B$237,$C$237,$B$1130,$B$1131,CONCATENATE("Per=",$B$1128),"Dts=H","Dir=H",CONCATENATE("Points=",$B$1129),"Sort=R","Days=A","Fill=B",CONCATENATE("FX=", $B$1127),"cols=5;rows=1")</f>
        <v/>
      </c>
      <c r="G1356">
        <v>8.2900000000000001E-2</v>
      </c>
      <c r="H1356">
        <v>8.3699999999999997E-2</v>
      </c>
      <c r="I1356">
        <v>7.8899999999999998E-2</v>
      </c>
      <c r="J1356">
        <v>7.9299999999999995E-2</v>
      </c>
      <c r="K1356" t="str">
        <f>""</f>
        <v/>
      </c>
      <c r="L1356" t="str">
        <f>""</f>
        <v/>
      </c>
      <c r="M1356" t="str">
        <f>""</f>
        <v/>
      </c>
      <c r="N1356" t="str">
        <f>""</f>
        <v/>
      </c>
      <c r="O1356" t="str">
        <f>""</f>
        <v/>
      </c>
    </row>
    <row r="1357" spans="1:15" x14ac:dyDescent="0.25">
      <c r="A1357" t="str">
        <f>$A$239</f>
        <v xml:space="preserve">                    AAK AB</v>
      </c>
      <c r="B1357" t="str">
        <f>$B$239</f>
        <v>AAK SS Equity</v>
      </c>
      <c r="C1357" t="str">
        <f>$C$239</f>
        <v>F0946</v>
      </c>
      <c r="D1357" t="str">
        <f>$D$239</f>
        <v>TOTAL_GHG_CO2_EMISSIONS</v>
      </c>
      <c r="E1357" t="str">
        <f>$E$239</f>
        <v>Dynamic</v>
      </c>
      <c r="F1357">
        <f ca="1">_xll.BDH($B$239,$C$239,$B$1130,$B$1131,CONCATENATE("Per=",$B$1128),"Dts=H","Dir=H",CONCATENATE("Points=",$B$1129),"Sort=R","Days=A","Fill=B",CONCATENATE("FX=", $B$1127),"cols=5;rows=1")</f>
        <v>0.34389999999999998</v>
      </c>
      <c r="G1357">
        <v>0.28799999999999998</v>
      </c>
      <c r="H1357">
        <v>0.3377</v>
      </c>
      <c r="I1357">
        <v>0.36370000000000002</v>
      </c>
      <c r="J1357">
        <v>0.33900000000000002</v>
      </c>
      <c r="K1357" t="str">
        <f>""</f>
        <v/>
      </c>
      <c r="L1357" t="str">
        <f>""</f>
        <v/>
      </c>
      <c r="M1357" t="str">
        <f>""</f>
        <v/>
      </c>
      <c r="N1357" t="str">
        <f>""</f>
        <v/>
      </c>
      <c r="O1357" t="str">
        <f>""</f>
        <v/>
      </c>
    </row>
    <row r="1358" spans="1:15" x14ac:dyDescent="0.25">
      <c r="A1358" t="str">
        <f>$A$240</f>
        <v xml:space="preserve">                    Ajinomoto Co Inc</v>
      </c>
      <c r="B1358" t="str">
        <f>$B$240</f>
        <v>2802 JP Equity</v>
      </c>
      <c r="C1358" t="str">
        <f>$C$240</f>
        <v>F0946</v>
      </c>
      <c r="D1358" t="str">
        <f>$D$240</f>
        <v>TOTAL_GHG_CO2_EMISSIONS</v>
      </c>
      <c r="E1358" t="str">
        <f>$E$240</f>
        <v>Dynamic</v>
      </c>
      <c r="F1358" t="str">
        <f ca="1">_xll.BDH($B$240,$C$240,$B$1130,$B$1131,CONCATENATE("Per=",$B$1128),"Dts=H","Dir=H",CONCATENATE("Points=",$B$1129),"Sort=R","Days=A","Fill=B",CONCATENATE("FX=", $B$1127),"cols=5;rows=1")</f>
        <v/>
      </c>
      <c r="G1358">
        <v>1.6120000000000001</v>
      </c>
      <c r="H1358">
        <v>1.9196</v>
      </c>
      <c r="I1358">
        <v>1.9914000000000001</v>
      </c>
      <c r="J1358">
        <v>2.2237</v>
      </c>
      <c r="K1358" t="str">
        <f>""</f>
        <v/>
      </c>
      <c r="L1358" t="str">
        <f>""</f>
        <v/>
      </c>
      <c r="M1358" t="str">
        <f>""</f>
        <v/>
      </c>
      <c r="N1358" t="str">
        <f>""</f>
        <v/>
      </c>
      <c r="O1358" t="str">
        <f>""</f>
        <v/>
      </c>
    </row>
    <row r="1359" spans="1:15" x14ac:dyDescent="0.25">
      <c r="A1359" t="str">
        <f>$A$241</f>
        <v xml:space="preserve">                    Almarai Co JSC</v>
      </c>
      <c r="B1359" t="str">
        <f>$B$241</f>
        <v>ALMARAI AB Equity</v>
      </c>
      <c r="C1359" t="str">
        <f>$C$241</f>
        <v>F0946</v>
      </c>
      <c r="D1359" t="str">
        <f>$D$241</f>
        <v>TOTAL_GHG_CO2_EMISSIONS</v>
      </c>
      <c r="E1359" t="str">
        <f>$E$241</f>
        <v>Dynamic</v>
      </c>
      <c r="F1359">
        <f ca="1">_xll.BDH($B$241,$C$241,$B$1130,$B$1131,CONCATENATE("Per=",$B$1128),"Dts=H","Dir=H",CONCATENATE("Points=",$B$1129),"Sort=R","Days=A","Fill=B",CONCATENATE("FX=", $B$1127),"cols=5;rows=1")</f>
        <v>1.7742</v>
      </c>
      <c r="G1359">
        <v>1.7786999999999999</v>
      </c>
      <c r="H1359">
        <v>1.7141</v>
      </c>
      <c r="I1359">
        <v>1.8976</v>
      </c>
      <c r="J1359">
        <v>1.6919999999999999</v>
      </c>
      <c r="K1359" t="str">
        <f>""</f>
        <v/>
      </c>
      <c r="L1359" t="str">
        <f>""</f>
        <v/>
      </c>
      <c r="M1359" t="str">
        <f>""</f>
        <v/>
      </c>
      <c r="N1359" t="str">
        <f>""</f>
        <v/>
      </c>
      <c r="O1359" t="str">
        <f>""</f>
        <v/>
      </c>
    </row>
    <row r="1360" spans="1:15" x14ac:dyDescent="0.25">
      <c r="A1360" t="str">
        <f>$A$242</f>
        <v xml:space="preserve">                    Aryzta AG</v>
      </c>
      <c r="B1360" t="str">
        <f>$B$242</f>
        <v>ARYN SW Equity</v>
      </c>
      <c r="C1360" t="str">
        <f>$C$242</f>
        <v>F0946</v>
      </c>
      <c r="D1360" t="str">
        <f>$D$242</f>
        <v>TOTAL_GHG_CO2_EMISSIONS</v>
      </c>
      <c r="E1360" t="str">
        <f>$E$242</f>
        <v>Dynamic</v>
      </c>
      <c r="F1360" t="str">
        <f ca="1">_xll.BDH($B$242,$C$242,$B$1130,$B$1131,CONCATENATE("Per=",$B$1128),"Dts=H","Dir=H",CONCATENATE("Points=",$B$1129),"Sort=R","Days=A","Fill=B",CONCATENATE("FX=", $B$1127),"cols=5;rows=1")</f>
        <v/>
      </c>
      <c r="G1360">
        <v>0.20200000000000001</v>
      </c>
      <c r="K1360" t="str">
        <f>""</f>
        <v/>
      </c>
      <c r="L1360" t="str">
        <f>""</f>
        <v/>
      </c>
      <c r="M1360" t="str">
        <f>""</f>
        <v/>
      </c>
      <c r="N1360" t="str">
        <f>""</f>
        <v/>
      </c>
      <c r="O1360" t="str">
        <f>""</f>
        <v/>
      </c>
    </row>
    <row r="1361" spans="1:15" x14ac:dyDescent="0.25">
      <c r="A1361" t="str">
        <f>$A$243</f>
        <v xml:space="preserve">                    Atria Oyj</v>
      </c>
      <c r="B1361" t="str">
        <f>$B$243</f>
        <v>ATRAV FH Equity</v>
      </c>
      <c r="C1361" t="str">
        <f>$C$243</f>
        <v>F0946</v>
      </c>
      <c r="D1361" t="str">
        <f>$D$243</f>
        <v>TOTAL_GHG_CO2_EMISSIONS</v>
      </c>
      <c r="E1361" t="str">
        <f>$E$243</f>
        <v>Dynamic</v>
      </c>
      <c r="F1361">
        <f ca="1">_xll.BDH($B$243,$C$243,$B$1130,$B$1131,CONCATENATE("Per=",$B$1128),"Dts=H","Dir=H",CONCATENATE("Points=",$B$1129),"Sort=R","Days=A","Fill=B",CONCATENATE("FX=", $B$1127),"cols=5;rows=1")</f>
        <v>0.82899999999999996</v>
      </c>
      <c r="G1361">
        <v>0.80700000000000005</v>
      </c>
      <c r="H1361">
        <v>1.014</v>
      </c>
      <c r="I1361">
        <v>1.1879999999999999</v>
      </c>
      <c r="J1361">
        <v>1.2190000000000001</v>
      </c>
      <c r="K1361" t="str">
        <f>""</f>
        <v/>
      </c>
      <c r="L1361" t="str">
        <f>""</f>
        <v/>
      </c>
      <c r="M1361" t="str">
        <f>""</f>
        <v/>
      </c>
      <c r="N1361" t="str">
        <f>""</f>
        <v/>
      </c>
      <c r="O1361" t="str">
        <f>""</f>
        <v/>
      </c>
    </row>
    <row r="1362" spans="1:15" x14ac:dyDescent="0.25">
      <c r="A1362" t="str">
        <f>$A$244</f>
        <v xml:space="preserve">                    Associated British Foods PLC</v>
      </c>
      <c r="B1362" t="str">
        <f>$B$244</f>
        <v>ABF LN Equity</v>
      </c>
      <c r="C1362" t="str">
        <f>$C$244</f>
        <v>F0946</v>
      </c>
      <c r="D1362" t="str">
        <f>$D$244</f>
        <v>TOTAL_GHG_CO2_EMISSIONS</v>
      </c>
      <c r="E1362" t="str">
        <f>$E$244</f>
        <v>Dynamic</v>
      </c>
      <c r="F1362" t="str">
        <f ca="1">_xll.BDH($B$244,$C$244,$B$1130,$B$1131,CONCATENATE("Per=",$B$1128),"Dts=H","Dir=H",CONCATENATE("Points=",$B$1129),"Sort=R","Days=A","Fill=B",CONCATENATE("FX=", $B$1127),"cols=5;rows=1")</f>
        <v/>
      </c>
      <c r="G1362">
        <v>3.1608999999999998</v>
      </c>
      <c r="H1362">
        <v>3.5552000000000001</v>
      </c>
      <c r="I1362">
        <v>3.9929999999999999</v>
      </c>
      <c r="J1362">
        <v>4.1529999999999996</v>
      </c>
      <c r="K1362" t="str">
        <f>""</f>
        <v/>
      </c>
      <c r="L1362" t="str">
        <f>""</f>
        <v/>
      </c>
      <c r="M1362" t="str">
        <f>""</f>
        <v/>
      </c>
      <c r="N1362" t="str">
        <f>""</f>
        <v/>
      </c>
      <c r="O1362" t="str">
        <f>""</f>
        <v/>
      </c>
    </row>
    <row r="1363" spans="1:15" x14ac:dyDescent="0.25">
      <c r="A1363" t="str">
        <f>$A$245</f>
        <v xml:space="preserve">                    Bega Cheese Ltd</v>
      </c>
      <c r="B1363" t="str">
        <f>$B$245</f>
        <v>BGA AU Equity</v>
      </c>
      <c r="C1363" t="str">
        <f>$C$245</f>
        <v>F0946</v>
      </c>
      <c r="D1363" t="str">
        <f>$D$245</f>
        <v>TOTAL_GHG_CO2_EMISSIONS</v>
      </c>
      <c r="E1363" t="str">
        <f>$E$245</f>
        <v>Dynamic</v>
      </c>
      <c r="F1363" t="str">
        <f ca="1">_xll.BDH($B$245,$C$245,$B$1130,$B$1131,CONCATENATE("Per=",$B$1128),"Dts=H","Dir=H",CONCATENATE("Points=",$B$1129),"Sort=R","Days=A","Fill=B",CONCATENATE("FX=", $B$1127),"cols=5;rows=1")</f>
        <v/>
      </c>
      <c r="G1363">
        <v>0.2888</v>
      </c>
      <c r="H1363">
        <v>0.29880000000000001</v>
      </c>
      <c r="I1363">
        <v>0.18440000000000001</v>
      </c>
      <c r="J1363">
        <v>0.19470000000000001</v>
      </c>
      <c r="K1363" t="str">
        <f>""</f>
        <v/>
      </c>
      <c r="L1363" t="str">
        <f>""</f>
        <v/>
      </c>
      <c r="M1363" t="str">
        <f>""</f>
        <v/>
      </c>
      <c r="N1363" t="str">
        <f>""</f>
        <v/>
      </c>
      <c r="O1363" t="str">
        <f>""</f>
        <v/>
      </c>
    </row>
    <row r="1364" spans="1:15" x14ac:dyDescent="0.25">
      <c r="A1364" t="str">
        <f>$A$246</f>
        <v xml:space="preserve">                    Binggrae Co Ltd</v>
      </c>
      <c r="B1364" t="str">
        <f>$B$246</f>
        <v>005180 KS Equity</v>
      </c>
      <c r="C1364" t="str">
        <f>$C$246</f>
        <v>F0946</v>
      </c>
      <c r="D1364" t="str">
        <f>$D$246</f>
        <v>TOTAL_GHG_CO2_EMISSIONS</v>
      </c>
      <c r="E1364" t="str">
        <f>$E$246</f>
        <v>Dynamic</v>
      </c>
      <c r="F1364" t="str">
        <f ca="1">_xll.BDH($B$246,$C$246,$B$1130,$B$1131,CONCATENATE("Per=",$B$1128),"Dts=H","Dir=H",CONCATENATE("Points=",$B$1129),"Sort=R","Days=A","Fill=B",CONCATENATE("FX=", $B$1127),"cols=5;rows=1")</f>
        <v/>
      </c>
      <c r="G1364">
        <v>6.0999999999999999E-2</v>
      </c>
      <c r="H1364">
        <v>5.9799999999999999E-2</v>
      </c>
      <c r="I1364">
        <v>5.8200000000000002E-2</v>
      </c>
      <c r="J1364">
        <v>5.7000000000000002E-2</v>
      </c>
      <c r="K1364" t="str">
        <f>""</f>
        <v/>
      </c>
      <c r="L1364" t="str">
        <f>""</f>
        <v/>
      </c>
      <c r="M1364" t="str">
        <f>""</f>
        <v/>
      </c>
      <c r="N1364" t="str">
        <f>""</f>
        <v/>
      </c>
      <c r="O1364" t="str">
        <f>""</f>
        <v/>
      </c>
    </row>
    <row r="1365" spans="1:15" x14ac:dyDescent="0.25">
      <c r="A1365" t="str">
        <f>$A$247</f>
        <v xml:space="preserve">                    Bonduelle SCA</v>
      </c>
      <c r="B1365" t="str">
        <f>$B$247</f>
        <v>BON FP Equity</v>
      </c>
      <c r="C1365" t="str">
        <f>$C$247</f>
        <v>F0946</v>
      </c>
      <c r="D1365" t="str">
        <f>$D$247</f>
        <v>TOTAL_GHG_CO2_EMISSIONS</v>
      </c>
      <c r="E1365" t="str">
        <f>$E$247</f>
        <v>Dynamic</v>
      </c>
      <c r="F1365" t="str">
        <f ca="1">_xll.BDH($B$247,$C$247,$B$1130,$B$1131,CONCATENATE("Per=",$B$1128),"Dts=H","Dir=H",CONCATENATE("Points=",$B$1129),"Sort=R","Days=A","Fill=B",CONCATENATE("FX=", $B$1127),"cols=5;rows=1")</f>
        <v/>
      </c>
      <c r="G1365">
        <v>0.2271</v>
      </c>
      <c r="H1365">
        <v>0.21390000000000001</v>
      </c>
      <c r="I1365">
        <v>0.2084</v>
      </c>
      <c r="J1365">
        <v>0.21279999999999999</v>
      </c>
      <c r="K1365" t="str">
        <f>""</f>
        <v/>
      </c>
      <c r="L1365" t="str">
        <f>""</f>
        <v/>
      </c>
      <c r="M1365" t="str">
        <f>""</f>
        <v/>
      </c>
      <c r="N1365" t="str">
        <f>""</f>
        <v/>
      </c>
      <c r="O1365" t="str">
        <f>""</f>
        <v/>
      </c>
    </row>
    <row r="1366" spans="1:15" x14ac:dyDescent="0.25">
      <c r="A1366" t="str">
        <f>$A$248</f>
        <v xml:space="preserve">                    BRF SA</v>
      </c>
      <c r="B1366" t="str">
        <f>$B$248</f>
        <v>BRFS3 BZ Equity</v>
      </c>
      <c r="C1366" t="str">
        <f>$C$248</f>
        <v>F0946</v>
      </c>
      <c r="D1366" t="str">
        <f>$D$248</f>
        <v>TOTAL_GHG_CO2_EMISSIONS</v>
      </c>
      <c r="E1366" t="str">
        <f>$E$248</f>
        <v>Dynamic</v>
      </c>
      <c r="F1366">
        <f ca="1">_xll.BDH($B$248,$C$248,$B$1130,$B$1131,CONCATENATE("Per=",$B$1128),"Dts=H","Dir=H",CONCATENATE("Points=",$B$1129),"Sort=R","Days=A","Fill=B",CONCATENATE("FX=", $B$1127),"cols=5;rows=1")</f>
        <v>0.45929999999999999</v>
      </c>
      <c r="G1366">
        <v>0.51829999999999998</v>
      </c>
      <c r="H1366">
        <v>0.35549999999999998</v>
      </c>
      <c r="I1366">
        <v>0.41110000000000002</v>
      </c>
      <c r="J1366">
        <v>0.38590000000000002</v>
      </c>
      <c r="K1366" t="str">
        <f>""</f>
        <v/>
      </c>
      <c r="L1366" t="str">
        <f>""</f>
        <v/>
      </c>
      <c r="M1366" t="str">
        <f>""</f>
        <v/>
      </c>
      <c r="N1366" t="str">
        <f>""</f>
        <v/>
      </c>
      <c r="O1366" t="str">
        <f>""</f>
        <v/>
      </c>
    </row>
    <row r="1367" spans="1:15" x14ac:dyDescent="0.25">
      <c r="A1367" t="str">
        <f>$A$249</f>
        <v xml:space="preserve">                    Bright Dairy &amp; Food Co Ltd</v>
      </c>
      <c r="B1367" t="str">
        <f>$B$249</f>
        <v>600597 CH Equity</v>
      </c>
      <c r="C1367" t="str">
        <f>$C$249</f>
        <v>F0946</v>
      </c>
      <c r="D1367" t="str">
        <f>$D$249</f>
        <v>TOTAL_GHG_CO2_EMISSIONS</v>
      </c>
      <c r="E1367" t="str">
        <f>$E$249</f>
        <v>Dynamic</v>
      </c>
      <c r="F1367">
        <f ca="1">_xll.BDH($B$249,$C$249,$B$1130,$B$1131,CONCATENATE("Per=",$B$1128),"Dts=H","Dir=H",CONCATENATE("Points=",$B$1129),"Sort=R","Days=A","Fill=B",CONCATENATE("FX=", $B$1127),"cols=5;rows=1")</f>
        <v>0.28370000000000001</v>
      </c>
      <c r="G1367">
        <v>0.29389999999999999</v>
      </c>
      <c r="H1367">
        <v>0.27029999999999998</v>
      </c>
      <c r="I1367">
        <v>0.24540000000000001</v>
      </c>
      <c r="K1367" t="str">
        <f>""</f>
        <v/>
      </c>
      <c r="L1367" t="str">
        <f>""</f>
        <v/>
      </c>
      <c r="M1367" t="str">
        <f>""</f>
        <v/>
      </c>
      <c r="N1367" t="str">
        <f>""</f>
        <v/>
      </c>
      <c r="O1367" t="str">
        <f>""</f>
        <v/>
      </c>
    </row>
    <row r="1368" spans="1:15" x14ac:dyDescent="0.25">
      <c r="A1368" t="str">
        <f>$A$250</f>
        <v xml:space="preserve">                    Barry Callebaut AG</v>
      </c>
      <c r="B1368" t="str">
        <f>$B$250</f>
        <v>BARN SW Equity</v>
      </c>
      <c r="C1368" t="str">
        <f>$C$250</f>
        <v>F0946</v>
      </c>
      <c r="D1368" t="str">
        <f>$D$250</f>
        <v>TOTAL_GHG_CO2_EMISSIONS</v>
      </c>
      <c r="E1368" t="str">
        <f>$E$250</f>
        <v>Dynamic</v>
      </c>
      <c r="F1368" t="str">
        <f ca="1">_xll.BDH($B$250,$C$250,$B$1130,$B$1131,CONCATENATE("Per=",$B$1128),"Dts=H","Dir=H",CONCATENATE("Points=",$B$1129),"Sort=R","Days=A","Fill=B",CONCATENATE("FX=", $B$1127),"cols=5;rows=1")</f>
        <v/>
      </c>
      <c r="G1368">
        <v>0.37369999999999998</v>
      </c>
      <c r="H1368">
        <v>0.3664</v>
      </c>
      <c r="K1368" t="str">
        <f>""</f>
        <v/>
      </c>
      <c r="L1368" t="str">
        <f>""</f>
        <v/>
      </c>
      <c r="M1368" t="str">
        <f>""</f>
        <v/>
      </c>
      <c r="N1368" t="str">
        <f>""</f>
        <v/>
      </c>
      <c r="O1368" t="str">
        <f>""</f>
        <v/>
      </c>
    </row>
    <row r="1369" spans="1:15" x14ac:dyDescent="0.25">
      <c r="A1369" t="str">
        <f>$A$251</f>
        <v xml:space="preserve">                    Britannia Industries Ltd</v>
      </c>
      <c r="B1369" t="str">
        <f>$B$251</f>
        <v>BRIT IN Equity</v>
      </c>
      <c r="C1369" t="str">
        <f>$C$251</f>
        <v>F0946</v>
      </c>
      <c r="D1369" t="str">
        <f>$D$251</f>
        <v>TOTAL_GHG_CO2_EMISSIONS</v>
      </c>
      <c r="E1369" t="str">
        <f>$E$251</f>
        <v>Dynamic</v>
      </c>
      <c r="F1369" t="str">
        <f ca="1">_xll.BDH($B$251,$C$251,$B$1130,$B$1131,CONCATENATE("Per=",$B$1128),"Dts=H","Dir=H",CONCATENATE("Points=",$B$1129),"Sort=R","Days=A","Fill=B",CONCATENATE("FX=", $B$1127),"cols=5;rows=1")</f>
        <v/>
      </c>
      <c r="G1369">
        <v>0.1244</v>
      </c>
      <c r="H1369">
        <v>0.1249</v>
      </c>
      <c r="I1369">
        <v>0.11799999999999999</v>
      </c>
      <c r="J1369">
        <v>0.11609999999999999</v>
      </c>
      <c r="K1369" t="str">
        <f>""</f>
        <v/>
      </c>
      <c r="L1369" t="str">
        <f>""</f>
        <v/>
      </c>
      <c r="M1369" t="str">
        <f>""</f>
        <v/>
      </c>
      <c r="N1369" t="str">
        <f>""</f>
        <v/>
      </c>
      <c r="O1369" t="str">
        <f>""</f>
        <v/>
      </c>
    </row>
    <row r="1370" spans="1:15" x14ac:dyDescent="0.25">
      <c r="A1370" t="str">
        <f>$A$252</f>
        <v xml:space="preserve">                    Calbee Inc</v>
      </c>
      <c r="B1370" t="str">
        <f>$B$252</f>
        <v>2229 JP Equity</v>
      </c>
      <c r="C1370" t="str">
        <f>$C$252</f>
        <v>F0946</v>
      </c>
      <c r="D1370" t="str">
        <f>$D$252</f>
        <v>TOTAL_GHG_CO2_EMISSIONS</v>
      </c>
      <c r="E1370" t="str">
        <f>$E$252</f>
        <v>Dynamic</v>
      </c>
      <c r="F1370" t="str">
        <f ca="1">_xll.BDH($B$252,$C$252,$B$1130,$B$1131,CONCATENATE("Per=",$B$1128),"Dts=H","Dir=H",CONCATENATE("Points=",$B$1129),"Sort=R","Days=A","Fill=B",CONCATENATE("FX=", $B$1127),"cols=5;rows=1")</f>
        <v/>
      </c>
      <c r="G1370">
        <v>0.16320000000000001</v>
      </c>
      <c r="H1370">
        <v>0.15670000000000001</v>
      </c>
      <c r="I1370">
        <v>0.16789999999999999</v>
      </c>
      <c r="J1370">
        <v>0.1704</v>
      </c>
      <c r="K1370" t="str">
        <f>""</f>
        <v/>
      </c>
      <c r="L1370" t="str">
        <f>""</f>
        <v/>
      </c>
      <c r="M1370" t="str">
        <f>""</f>
        <v/>
      </c>
      <c r="N1370" t="str">
        <f>""</f>
        <v/>
      </c>
      <c r="O1370" t="str">
        <f>""</f>
        <v/>
      </c>
    </row>
    <row r="1371" spans="1:15" x14ac:dyDescent="0.25">
      <c r="A1371" t="str">
        <f>$A$253</f>
        <v xml:space="preserve">                    Charoen Pokphand Foods PCL</v>
      </c>
      <c r="B1371" t="str">
        <f>$B$253</f>
        <v>CPF TB Equity</v>
      </c>
      <c r="C1371" t="str">
        <f>$C$253</f>
        <v>F0946</v>
      </c>
      <c r="D1371" t="str">
        <f>$D$253</f>
        <v>TOTAL_GHG_CO2_EMISSIONS</v>
      </c>
      <c r="E1371" t="str">
        <f>$E$253</f>
        <v>Dynamic</v>
      </c>
      <c r="F1371">
        <f ca="1">_xll.BDH($B$253,$C$253,$B$1130,$B$1131,CONCATENATE("Per=",$B$1128),"Dts=H","Dir=H",CONCATENATE("Points=",$B$1129),"Sort=R","Days=A","Fill=B",CONCATENATE("FX=", $B$1127),"cols=5;rows=1")</f>
        <v>0.8</v>
      </c>
      <c r="G1371">
        <v>0.86299999999999999</v>
      </c>
      <c r="H1371">
        <v>0.88480000000000003</v>
      </c>
      <c r="I1371">
        <v>0.84</v>
      </c>
      <c r="K1371" t="str">
        <f>""</f>
        <v/>
      </c>
      <c r="L1371" t="str">
        <f>""</f>
        <v/>
      </c>
      <c r="M1371" t="str">
        <f>""</f>
        <v/>
      </c>
      <c r="N1371" t="str">
        <f>""</f>
        <v/>
      </c>
      <c r="O1371" t="str">
        <f>""</f>
        <v/>
      </c>
    </row>
    <row r="1372" spans="1:15" x14ac:dyDescent="0.25">
      <c r="A1372" t="str">
        <f>$A$254</f>
        <v xml:space="preserve">                    China Mengniu Dairy Co Ltd</v>
      </c>
      <c r="B1372" t="str">
        <f>$B$254</f>
        <v>2319 HK Equity</v>
      </c>
      <c r="C1372" t="str">
        <f>$C$254</f>
        <v>F0946</v>
      </c>
      <c r="D1372" t="str">
        <f>$D$254</f>
        <v>TOTAL_GHG_CO2_EMISSIONS</v>
      </c>
      <c r="E1372" t="str">
        <f>$E$254</f>
        <v>Dynamic</v>
      </c>
      <c r="F1372">
        <f ca="1">_xll.BDH($B$254,$C$254,$B$1130,$B$1131,CONCATENATE("Per=",$B$1128),"Dts=H","Dir=H",CONCATENATE("Points=",$B$1129),"Sort=R","Days=A","Fill=B",CONCATENATE("FX=", $B$1127),"cols=5;rows=1")</f>
        <v>1.4257</v>
      </c>
      <c r="G1372">
        <v>1.36</v>
      </c>
      <c r="H1372">
        <v>0.9244</v>
      </c>
      <c r="I1372">
        <v>1.1696</v>
      </c>
      <c r="J1372">
        <v>1.0522</v>
      </c>
      <c r="K1372" t="str">
        <f>""</f>
        <v/>
      </c>
      <c r="L1372" t="str">
        <f>""</f>
        <v/>
      </c>
      <c r="M1372" t="str">
        <f>""</f>
        <v/>
      </c>
      <c r="N1372" t="str">
        <f>""</f>
        <v/>
      </c>
      <c r="O1372" t="str">
        <f>""</f>
        <v/>
      </c>
    </row>
    <row r="1373" spans="1:15" x14ac:dyDescent="0.25">
      <c r="A1373" t="str">
        <f>$A$255</f>
        <v xml:space="preserve">                    Cloetta AB</v>
      </c>
      <c r="B1373" t="str">
        <f>$B$255</f>
        <v>CLAB SS Equity</v>
      </c>
      <c r="C1373" t="str">
        <f>$C$255</f>
        <v>F0946</v>
      </c>
      <c r="D1373" t="str">
        <f>$D$255</f>
        <v>TOTAL_GHG_CO2_EMISSIONS</v>
      </c>
      <c r="E1373" t="str">
        <f>$E$255</f>
        <v>Dynamic</v>
      </c>
      <c r="F1373">
        <f ca="1">_xll.BDH($B$255,$C$255,$B$1130,$B$1131,CONCATENATE("Per=",$B$1128),"Dts=H","Dir=H",CONCATENATE("Points=",$B$1129),"Sort=R","Days=A","Fill=B",CONCATENATE("FX=", $B$1127),"cols=5;rows=1")</f>
        <v>3.4500000000000003E-2</v>
      </c>
      <c r="G1373">
        <v>3.2500000000000001E-2</v>
      </c>
      <c r="H1373">
        <v>1.9699999999999999E-2</v>
      </c>
      <c r="I1373">
        <v>2.75E-2</v>
      </c>
      <c r="J1373">
        <v>3.1300000000000001E-2</v>
      </c>
      <c r="K1373" t="str">
        <f>""</f>
        <v/>
      </c>
      <c r="L1373" t="str">
        <f>""</f>
        <v/>
      </c>
      <c r="M1373" t="str">
        <f>""</f>
        <v/>
      </c>
      <c r="N1373" t="str">
        <f>""</f>
        <v/>
      </c>
      <c r="O1373" t="str">
        <f>""</f>
        <v/>
      </c>
    </row>
    <row r="1374" spans="1:15" x14ac:dyDescent="0.25">
      <c r="A1374" t="str">
        <f>$A$256</f>
        <v xml:space="preserve">                    Conagra Brands Inc</v>
      </c>
      <c r="B1374" t="str">
        <f>$B$256</f>
        <v>CAG US Equity</v>
      </c>
      <c r="C1374" t="str">
        <f>$C$256</f>
        <v>F0946</v>
      </c>
      <c r="D1374" t="str">
        <f>$D$256</f>
        <v>TOTAL_GHG_CO2_EMISSIONS</v>
      </c>
      <c r="E1374" t="str">
        <f>$E$256</f>
        <v>Dynamic</v>
      </c>
      <c r="F1374" t="str">
        <f ca="1">_xll.BDH($B$256,$C$256,$B$1130,$B$1131,CONCATENATE("Per=",$B$1128),"Dts=H","Dir=H",CONCATENATE("Points=",$B$1129),"Sort=R","Days=A","Fill=B",CONCATENATE("FX=", $B$1127),"cols=5;rows=1")</f>
        <v/>
      </c>
      <c r="G1374">
        <v>0.79779999999999995</v>
      </c>
      <c r="H1374">
        <v>0.85429999999999995</v>
      </c>
      <c r="I1374">
        <v>0.86450000000000005</v>
      </c>
      <c r="J1374">
        <v>0.8488</v>
      </c>
      <c r="K1374" t="str">
        <f>""</f>
        <v/>
      </c>
      <c r="L1374" t="str">
        <f>""</f>
        <v/>
      </c>
      <c r="M1374" t="str">
        <f>""</f>
        <v/>
      </c>
      <c r="N1374" t="str">
        <f>""</f>
        <v/>
      </c>
      <c r="O1374" t="str">
        <f>""</f>
        <v/>
      </c>
    </row>
    <row r="1375" spans="1:15" x14ac:dyDescent="0.25">
      <c r="A1375" t="str">
        <f>$A$257</f>
        <v xml:space="preserve">                    Cal-Maine Foods Inc</v>
      </c>
      <c r="B1375" t="str">
        <f>$B$257</f>
        <v>CALM US Equity</v>
      </c>
      <c r="C1375" t="str">
        <f>$C$257</f>
        <v>F0946</v>
      </c>
      <c r="D1375" t="str">
        <f>$D$257</f>
        <v>TOTAL_GHG_CO2_EMISSIONS</v>
      </c>
      <c r="E1375" t="str">
        <f>$E$257</f>
        <v>Dynamic</v>
      </c>
      <c r="F1375" t="str">
        <f ca="1">_xll.BDH($B$257,$C$257,$B$1130,$B$1131,CONCATENATE("Per=",$B$1128),"Dts=H","Dir=H",CONCATENATE("Points=",$B$1129),"Sort=R","Days=A","Fill=B",CONCATENATE("FX=", $B$1127),"cols=5;rows=1")</f>
        <v/>
      </c>
      <c r="K1375" t="str">
        <f>""</f>
        <v/>
      </c>
      <c r="L1375" t="str">
        <f>""</f>
        <v/>
      </c>
      <c r="M1375" t="str">
        <f>""</f>
        <v/>
      </c>
      <c r="N1375" t="str">
        <f>""</f>
        <v/>
      </c>
      <c r="O1375" t="str">
        <f>""</f>
        <v/>
      </c>
    </row>
    <row r="1376" spans="1:15" x14ac:dyDescent="0.25">
      <c r="A1376" t="str">
        <f>$A$258</f>
        <v xml:space="preserve">                    Campbell Soup Co</v>
      </c>
      <c r="B1376" t="str">
        <f>$B$258</f>
        <v>CPB US Equity</v>
      </c>
      <c r="C1376" t="str">
        <f>$C$258</f>
        <v>F0946</v>
      </c>
      <c r="D1376" t="str">
        <f>$D$258</f>
        <v>TOTAL_GHG_CO2_EMISSIONS</v>
      </c>
      <c r="E1376" t="str">
        <f>$E$258</f>
        <v>Dynamic</v>
      </c>
      <c r="F1376">
        <f ca="1">_xll.BDH($B$258,$C$258,$B$1130,$B$1131,CONCATENATE("Per=",$B$1128),"Dts=H","Dir=H",CONCATENATE("Points=",$B$1129),"Sort=R","Days=A","Fill=B",CONCATENATE("FX=", $B$1127),"cols=5;rows=1")</f>
        <v>0.67700000000000005</v>
      </c>
      <c r="G1376">
        <v>0.6875</v>
      </c>
      <c r="H1376">
        <v>0.72219999999999995</v>
      </c>
      <c r="I1376">
        <v>0.67469999999999997</v>
      </c>
      <c r="J1376">
        <v>0.69389999999999996</v>
      </c>
      <c r="K1376" t="str">
        <f>""</f>
        <v/>
      </c>
      <c r="L1376" t="str">
        <f>""</f>
        <v/>
      </c>
      <c r="M1376" t="str">
        <f>""</f>
        <v/>
      </c>
      <c r="N1376" t="str">
        <f>""</f>
        <v/>
      </c>
      <c r="O1376" t="str">
        <f>""</f>
        <v/>
      </c>
    </row>
    <row r="1377" spans="1:15" x14ac:dyDescent="0.25">
      <c r="A1377" t="str">
        <f>$A$259</f>
        <v xml:space="preserve">                    Daesang Corp</v>
      </c>
      <c r="B1377" t="str">
        <f>$B$259</f>
        <v>001680 KS Equity</v>
      </c>
      <c r="C1377" t="str">
        <f>$C$259</f>
        <v>F0946</v>
      </c>
      <c r="D1377" t="str">
        <f>$D$259</f>
        <v>TOTAL_GHG_CO2_EMISSIONS</v>
      </c>
      <c r="E1377" t="str">
        <f>$E$259</f>
        <v>Dynamic</v>
      </c>
      <c r="F1377" t="str">
        <f ca="1">_xll.BDH($B$259,$C$259,$B$1130,$B$1131,CONCATENATE("Per=",$B$1128),"Dts=H","Dir=H",CONCATENATE("Points=",$B$1129),"Sort=R","Days=A","Fill=B",CONCATENATE("FX=", $B$1127),"cols=5;rows=1")</f>
        <v/>
      </c>
      <c r="G1377">
        <v>0.50870000000000004</v>
      </c>
      <c r="H1377">
        <v>0.50870000000000004</v>
      </c>
      <c r="I1377">
        <v>0.53610000000000002</v>
      </c>
      <c r="J1377">
        <v>0.54320000000000002</v>
      </c>
      <c r="K1377" t="str">
        <f>""</f>
        <v/>
      </c>
      <c r="L1377" t="str">
        <f>""</f>
        <v/>
      </c>
      <c r="M1377" t="str">
        <f>""</f>
        <v/>
      </c>
      <c r="N1377" t="str">
        <f>""</f>
        <v/>
      </c>
      <c r="O1377" t="str">
        <f>""</f>
        <v/>
      </c>
    </row>
    <row r="1378" spans="1:15" x14ac:dyDescent="0.25">
      <c r="A1378" t="str">
        <f>$A$260</f>
        <v xml:space="preserve">                    Danone SA</v>
      </c>
      <c r="B1378" t="str">
        <f>$B$260</f>
        <v>BN FP Equity</v>
      </c>
      <c r="C1378" t="str">
        <f>$C$260</f>
        <v>F0946</v>
      </c>
      <c r="D1378" t="str">
        <f>$D$260</f>
        <v>TOTAL_GHG_CO2_EMISSIONS</v>
      </c>
      <c r="E1378" t="str">
        <f>$E$260</f>
        <v>Dynamic</v>
      </c>
      <c r="F1378" t="str">
        <f ca="1">_xll.BDH($B$260,$C$260,$B$1130,$B$1131,CONCATENATE("Per=",$B$1128),"Dts=H","Dir=H",CONCATENATE("Points=",$B$1129),"Sort=R","Days=A","Fill=B",CONCATENATE("FX=", $B$1127),"cols=5;rows=1")</f>
        <v/>
      </c>
      <c r="G1378">
        <v>1.4956</v>
      </c>
      <c r="H1378">
        <v>1.5330999999999999</v>
      </c>
      <c r="I1378">
        <v>1.667</v>
      </c>
      <c r="J1378">
        <v>1.7130000000000001</v>
      </c>
      <c r="K1378" t="str">
        <f>""</f>
        <v/>
      </c>
      <c r="L1378" t="str">
        <f>""</f>
        <v/>
      </c>
      <c r="M1378" t="str">
        <f>""</f>
        <v/>
      </c>
      <c r="N1378" t="str">
        <f>""</f>
        <v/>
      </c>
      <c r="O1378" t="str">
        <f>""</f>
        <v/>
      </c>
    </row>
    <row r="1379" spans="1:15" x14ac:dyDescent="0.25">
      <c r="A1379" t="str">
        <f>$A$261</f>
        <v xml:space="preserve">                    Delfi Ltd</v>
      </c>
      <c r="B1379" t="str">
        <f>$B$261</f>
        <v>DELFI SP Equity</v>
      </c>
      <c r="C1379" t="str">
        <f>$C$261</f>
        <v>F0946</v>
      </c>
      <c r="D1379" t="str">
        <f>$D$261</f>
        <v>TOTAL_GHG_CO2_EMISSIONS</v>
      </c>
      <c r="E1379" t="str">
        <f>$E$261</f>
        <v>Dynamic</v>
      </c>
      <c r="F1379">
        <f ca="1">_xll.BDH($B$261,$C$261,$B$1130,$B$1131,CONCATENATE("Per=",$B$1128),"Dts=H","Dir=H",CONCATENATE("Points=",$B$1129),"Sort=R","Days=A","Fill=B",CONCATENATE("FX=", $B$1127),"cols=5;rows=1")</f>
        <v>5.0200000000000002E-2</v>
      </c>
      <c r="G1379">
        <v>4.8099999999999997E-2</v>
      </c>
      <c r="K1379" t="str">
        <f>""</f>
        <v/>
      </c>
      <c r="L1379" t="str">
        <f>""</f>
        <v/>
      </c>
      <c r="M1379" t="str">
        <f>""</f>
        <v/>
      </c>
      <c r="N1379" t="str">
        <f>""</f>
        <v/>
      </c>
      <c r="O1379" t="str">
        <f>""</f>
        <v/>
      </c>
    </row>
    <row r="1380" spans="1:15" x14ac:dyDescent="0.25">
      <c r="A1380" t="str">
        <f>$A$262</f>
        <v xml:space="preserve">                    Ebro Foods SA</v>
      </c>
      <c r="B1380" t="str">
        <f>$B$262</f>
        <v>EBRO SM Equity</v>
      </c>
      <c r="C1380" t="str">
        <f>$C$262</f>
        <v>F0946</v>
      </c>
      <c r="D1380" t="str">
        <f>$D$262</f>
        <v>TOTAL_GHG_CO2_EMISSIONS</v>
      </c>
      <c r="E1380" t="str">
        <f>$E$262</f>
        <v>Dynamic</v>
      </c>
      <c r="F1380">
        <f ca="1">_xll.BDH($B$262,$C$262,$B$1130,$B$1131,CONCATENATE("Per=",$B$1128),"Dts=H","Dir=H",CONCATENATE("Points=",$B$1129),"Sort=R","Days=A","Fill=B",CONCATENATE("FX=", $B$1127),"cols=5;rows=1")</f>
        <v>0.2742</v>
      </c>
      <c r="G1380">
        <v>0.31619999999999998</v>
      </c>
      <c r="H1380">
        <v>0.36670000000000003</v>
      </c>
      <c r="I1380">
        <v>0.55600000000000005</v>
      </c>
      <c r="J1380">
        <v>0.65580000000000005</v>
      </c>
      <c r="K1380" t="str">
        <f>""</f>
        <v/>
      </c>
      <c r="L1380" t="str">
        <f>""</f>
        <v/>
      </c>
      <c r="M1380" t="str">
        <f>""</f>
        <v/>
      </c>
      <c r="N1380" t="str">
        <f>""</f>
        <v/>
      </c>
      <c r="O1380" t="str">
        <f>""</f>
        <v/>
      </c>
    </row>
    <row r="1381" spans="1:15" x14ac:dyDescent="0.25">
      <c r="A1381" t="str">
        <f>$A$263</f>
        <v xml:space="preserve">                    Emmi AG</v>
      </c>
      <c r="B1381" t="str">
        <f>$B$263</f>
        <v>EMMN SW Equity</v>
      </c>
      <c r="C1381" t="str">
        <f>$C$263</f>
        <v>F0946</v>
      </c>
      <c r="D1381" t="str">
        <f>$D$263</f>
        <v>TOTAL_GHG_CO2_EMISSIONS</v>
      </c>
      <c r="E1381" t="str">
        <f>$E$263</f>
        <v>Dynamic</v>
      </c>
      <c r="F1381">
        <f ca="1">_xll.BDH($B$263,$C$263,$B$1130,$B$1131,CONCATENATE("Per=",$B$1128),"Dts=H","Dir=H",CONCATENATE("Points=",$B$1129),"Sort=R","Days=A","Fill=B",CONCATENATE("FX=", $B$1127),"cols=5;rows=1")</f>
        <v>0.1004</v>
      </c>
      <c r="G1381">
        <v>0.11260000000000001</v>
      </c>
      <c r="H1381">
        <v>0.1045</v>
      </c>
      <c r="I1381">
        <v>0.1057</v>
      </c>
      <c r="K1381" t="str">
        <f>""</f>
        <v/>
      </c>
      <c r="L1381" t="str">
        <f>""</f>
        <v/>
      </c>
      <c r="M1381" t="str">
        <f>""</f>
        <v/>
      </c>
      <c r="N1381" t="str">
        <f>""</f>
        <v/>
      </c>
      <c r="O1381" t="str">
        <f>""</f>
        <v/>
      </c>
    </row>
    <row r="1382" spans="1:15" x14ac:dyDescent="0.25">
      <c r="A1382" t="str">
        <f>$A$264</f>
        <v xml:space="preserve">                    Ezaki Glico Co Ltd</v>
      </c>
      <c r="B1382" t="str">
        <f>$B$264</f>
        <v>2206 JP Equity</v>
      </c>
      <c r="C1382" t="str">
        <f>$C$264</f>
        <v>F0946</v>
      </c>
      <c r="D1382" t="str">
        <f>$D$264</f>
        <v>TOTAL_GHG_CO2_EMISSIONS</v>
      </c>
      <c r="E1382" t="str">
        <f>$E$264</f>
        <v>Dynamic</v>
      </c>
      <c r="F1382">
        <f ca="1">_xll.BDH($B$264,$C$264,$B$1130,$B$1131,CONCATENATE("Per=",$B$1128),"Dts=H","Dir=H",CONCATENATE("Points=",$B$1129),"Sort=R","Days=A","Fill=B",CONCATENATE("FX=", $B$1127),"cols=5;rows=1")</f>
        <v>9.0899999999999995E-2</v>
      </c>
      <c r="G1382">
        <v>0.1048</v>
      </c>
      <c r="H1382">
        <v>0.10730000000000001</v>
      </c>
      <c r="J1382">
        <v>0.1201</v>
      </c>
      <c r="K1382" t="str">
        <f>""</f>
        <v/>
      </c>
      <c r="L1382" t="str">
        <f>""</f>
        <v/>
      </c>
      <c r="M1382" t="str">
        <f>""</f>
        <v/>
      </c>
      <c r="N1382" t="str">
        <f>""</f>
        <v/>
      </c>
      <c r="O1382" t="str">
        <f>""</f>
        <v/>
      </c>
    </row>
    <row r="1383" spans="1:15" x14ac:dyDescent="0.25">
      <c r="A1383" t="str">
        <f>$A$265</f>
        <v xml:space="preserve">                    First Pacific Co Ltd</v>
      </c>
      <c r="B1383" t="str">
        <f>$B$265</f>
        <v>142 HK Equity</v>
      </c>
      <c r="C1383" t="str">
        <f>$C$265</f>
        <v>F0946</v>
      </c>
      <c r="D1383" t="str">
        <f>$D$265</f>
        <v>TOTAL_GHG_CO2_EMISSIONS</v>
      </c>
      <c r="E1383" t="str">
        <f>$E$265</f>
        <v>Dynamic</v>
      </c>
      <c r="F1383">
        <f ca="1">_xll.BDH($B$265,$C$265,$B$1130,$B$1131,CONCATENATE("Per=",$B$1128),"Dts=H","Dir=H",CONCATENATE("Points=",$B$1129),"Sort=R","Days=A","Fill=B",CONCATENATE("FX=", $B$1127),"cols=5;rows=1")</f>
        <v>11.4892</v>
      </c>
      <c r="G1383">
        <v>16.6784</v>
      </c>
      <c r="H1383">
        <v>10.708299999999999</v>
      </c>
      <c r="I1383">
        <v>8.3649000000000004</v>
      </c>
      <c r="J1383">
        <v>7.2291999999999996</v>
      </c>
      <c r="K1383" t="str">
        <f>""</f>
        <v/>
      </c>
      <c r="L1383" t="str">
        <f>""</f>
        <v/>
      </c>
      <c r="M1383" t="str">
        <f>""</f>
        <v/>
      </c>
      <c r="N1383" t="str">
        <f>""</f>
        <v/>
      </c>
      <c r="O1383" t="str">
        <f>""</f>
        <v/>
      </c>
    </row>
    <row r="1384" spans="1:15" x14ac:dyDescent="0.25">
      <c r="A1384" t="str">
        <f>$A$266</f>
        <v xml:space="preserve">                    Flowers Foods Inc</v>
      </c>
      <c r="B1384" t="str">
        <f>$B$266</f>
        <v>FLO US Equity</v>
      </c>
      <c r="C1384" t="str">
        <f>$C$266</f>
        <v>F0946</v>
      </c>
      <c r="D1384" t="str">
        <f>$D$266</f>
        <v>TOTAL_GHG_CO2_EMISSIONS</v>
      </c>
      <c r="E1384" t="str">
        <f>$E$266</f>
        <v>Dynamic</v>
      </c>
      <c r="F1384" t="str">
        <f ca="1">_xll.BDH($B$266,$C$266,$B$1130,$B$1131,CONCATENATE("Per=",$B$1128),"Dts=H","Dir=H",CONCATENATE("Points=",$B$1129),"Sort=R","Days=A","Fill=B",CONCATENATE("FX=", $B$1127),"cols=5;rows=1")</f>
        <v/>
      </c>
      <c r="G1384">
        <v>0.3135</v>
      </c>
      <c r="H1384">
        <v>0.35299999999999998</v>
      </c>
      <c r="I1384">
        <v>0.35920000000000002</v>
      </c>
      <c r="J1384">
        <v>0.3826</v>
      </c>
      <c r="K1384" t="str">
        <f>""</f>
        <v/>
      </c>
      <c r="L1384" t="str">
        <f>""</f>
        <v/>
      </c>
      <c r="M1384" t="str">
        <f>""</f>
        <v/>
      </c>
      <c r="N1384" t="str">
        <f>""</f>
        <v/>
      </c>
      <c r="O1384" t="str">
        <f>""</f>
        <v/>
      </c>
    </row>
    <row r="1385" spans="1:15" x14ac:dyDescent="0.25">
      <c r="A1385" t="str">
        <f>$A$267</f>
        <v xml:space="preserve">                    Fresh Del Monte Produce Inc</v>
      </c>
      <c r="B1385" t="str">
        <f>$B$267</f>
        <v>FDP US Equity</v>
      </c>
      <c r="C1385" t="str">
        <f>$C$267</f>
        <v>F0946</v>
      </c>
      <c r="D1385" t="str">
        <f>$D$267</f>
        <v>TOTAL_GHG_CO2_EMISSIONS</v>
      </c>
      <c r="E1385" t="str">
        <f>$E$267</f>
        <v>Dynamic</v>
      </c>
      <c r="F1385" t="str">
        <f ca="1">_xll.BDH($B$267,$C$267,$B$1130,$B$1131,CONCATENATE("Per=",$B$1128),"Dts=H","Dir=H",CONCATENATE("Points=",$B$1129),"Sort=R","Days=A","Fill=B",CONCATENATE("FX=", $B$1127),"cols=5;rows=1")</f>
        <v/>
      </c>
      <c r="G1385">
        <v>0.91049999999999998</v>
      </c>
      <c r="H1385">
        <v>1.0177</v>
      </c>
      <c r="K1385" t="str">
        <f>""</f>
        <v/>
      </c>
      <c r="L1385" t="str">
        <f>""</f>
        <v/>
      </c>
      <c r="M1385" t="str">
        <f>""</f>
        <v/>
      </c>
      <c r="N1385" t="str">
        <f>""</f>
        <v/>
      </c>
      <c r="O1385" t="str">
        <f>""</f>
        <v/>
      </c>
    </row>
    <row r="1386" spans="1:15" x14ac:dyDescent="0.25">
      <c r="A1386" t="str">
        <f>$A$268</f>
        <v xml:space="preserve">                    Fuji Oil Holdings Inc</v>
      </c>
      <c r="B1386" t="str">
        <f>$B$268</f>
        <v>2607 JP Equity</v>
      </c>
      <c r="C1386" t="str">
        <f>$C$268</f>
        <v>F0946</v>
      </c>
      <c r="D1386" t="str">
        <f>$D$268</f>
        <v>TOTAL_GHG_CO2_EMISSIONS</v>
      </c>
      <c r="E1386" t="str">
        <f>$E$268</f>
        <v>Dynamic</v>
      </c>
      <c r="F1386" t="str">
        <f ca="1">_xll.BDH($B$268,$C$268,$B$1130,$B$1131,CONCATENATE("Per=",$B$1128),"Dts=H","Dir=H",CONCATENATE("Points=",$B$1129),"Sort=R","Days=A","Fill=B",CONCATENATE("FX=", $B$1127),"cols=5;rows=1")</f>
        <v/>
      </c>
      <c r="G1386">
        <v>0.40839999999999999</v>
      </c>
      <c r="H1386">
        <v>0.41889999999999999</v>
      </c>
      <c r="I1386">
        <v>0.42959999999999998</v>
      </c>
      <c r="J1386">
        <v>0.43869999999999998</v>
      </c>
      <c r="K1386" t="str">
        <f>""</f>
        <v/>
      </c>
      <c r="L1386" t="str">
        <f>""</f>
        <v/>
      </c>
      <c r="M1386" t="str">
        <f>""</f>
        <v/>
      </c>
      <c r="N1386" t="str">
        <f>""</f>
        <v/>
      </c>
      <c r="O1386" t="str">
        <f>""</f>
        <v/>
      </c>
    </row>
    <row r="1387" spans="1:15" x14ac:dyDescent="0.25">
      <c r="A1387" t="str">
        <f>$A$269</f>
        <v xml:space="preserve">                    Fujian Sunner Development Co L</v>
      </c>
      <c r="B1387" t="str">
        <f>$B$269</f>
        <v>002299 CH Equity</v>
      </c>
      <c r="C1387" t="str">
        <f>$C$269</f>
        <v>F0946</v>
      </c>
      <c r="D1387" t="str">
        <f>$D$269</f>
        <v>TOTAL_GHG_CO2_EMISSIONS</v>
      </c>
      <c r="E1387" t="str">
        <f>$E$269</f>
        <v>Dynamic</v>
      </c>
      <c r="F1387" t="str">
        <f ca="1">_xll.BDH($B$269,$C$269,$B$1130,$B$1131,CONCATENATE("Per=",$B$1128),"Dts=H","Dir=H",CONCATENATE("Points=",$B$1129),"Sort=R","Days=A","Fill=B",CONCATENATE("FX=", $B$1127) )</f>
        <v/>
      </c>
      <c r="K1387" t="str">
        <f>""</f>
        <v/>
      </c>
      <c r="L1387" t="str">
        <f>""</f>
        <v/>
      </c>
      <c r="M1387" t="str">
        <f>""</f>
        <v/>
      </c>
      <c r="N1387" t="str">
        <f>""</f>
        <v/>
      </c>
      <c r="O1387" t="str">
        <f>""</f>
        <v/>
      </c>
    </row>
    <row r="1388" spans="1:15" x14ac:dyDescent="0.25">
      <c r="A1388" t="str">
        <f>$A$270</f>
        <v xml:space="preserve">                    Glanbia PLC</v>
      </c>
      <c r="B1388" t="str">
        <f>$B$270</f>
        <v>GLB ID Equity</v>
      </c>
      <c r="C1388" t="str">
        <f>$C$270</f>
        <v>F0946</v>
      </c>
      <c r="D1388" t="str">
        <f>$D$270</f>
        <v>TOTAL_GHG_CO2_EMISSIONS</v>
      </c>
      <c r="E1388" t="str">
        <f>$E$270</f>
        <v>Dynamic</v>
      </c>
      <c r="F1388">
        <f ca="1">_xll.BDH($B$270,$C$270,$B$1130,$B$1131,CONCATENATE("Per=",$B$1128),"Dts=H","Dir=H",CONCATENATE("Points=",$B$1129),"Sort=R","Days=A","Fill=B",CONCATENATE("FX=", $B$1127),"cols=5;rows=1")</f>
        <v>0.26500000000000001</v>
      </c>
      <c r="G1388">
        <v>0.28189999999999998</v>
      </c>
      <c r="H1388">
        <v>0.4204</v>
      </c>
      <c r="I1388">
        <v>0.42749999999999999</v>
      </c>
      <c r="J1388">
        <v>0.43309999999999998</v>
      </c>
      <c r="K1388" t="str">
        <f>""</f>
        <v/>
      </c>
      <c r="L1388" t="str">
        <f>""</f>
        <v/>
      </c>
      <c r="M1388" t="str">
        <f>""</f>
        <v/>
      </c>
      <c r="N1388" t="str">
        <f>""</f>
        <v/>
      </c>
      <c r="O1388" t="str">
        <f>""</f>
        <v/>
      </c>
    </row>
    <row r="1389" spans="1:15" x14ac:dyDescent="0.25">
      <c r="A1389" t="str">
        <f>$A$271</f>
        <v xml:space="preserve">                    Gruma SAB de CV</v>
      </c>
      <c r="B1389" t="str">
        <f>$B$271</f>
        <v>GRUMAB MM Equity</v>
      </c>
      <c r="C1389" t="str">
        <f>$C$271</f>
        <v>F0946</v>
      </c>
      <c r="D1389" t="str">
        <f>$D$271</f>
        <v>TOTAL_GHG_CO2_EMISSIONS</v>
      </c>
      <c r="E1389" t="str">
        <f>$E$271</f>
        <v>Dynamic</v>
      </c>
      <c r="F1389" t="str">
        <f ca="1">_xll.BDH($B$271,$C$271,$B$1130,$B$1131,CONCATENATE("Per=",$B$1128),"Dts=H","Dir=H",CONCATENATE("Points=",$B$1129),"Sort=R","Days=A","Fill=B",CONCATENATE("FX=", $B$1127) )</f>
        <v/>
      </c>
      <c r="K1389" t="str">
        <f>""</f>
        <v/>
      </c>
      <c r="L1389" t="str">
        <f>""</f>
        <v/>
      </c>
      <c r="M1389" t="str">
        <f>""</f>
        <v/>
      </c>
      <c r="N1389" t="str">
        <f>""</f>
        <v/>
      </c>
      <c r="O1389" t="str">
        <f>""</f>
        <v/>
      </c>
    </row>
    <row r="1390" spans="1:15" x14ac:dyDescent="0.25">
      <c r="A1390" t="str">
        <f>$A$272</f>
        <v xml:space="preserve">                    Grupo Bimbo SAB de CV</v>
      </c>
      <c r="B1390" t="str">
        <f>$B$272</f>
        <v>BIMBOA MM Equity</v>
      </c>
      <c r="C1390" t="str">
        <f>$C$272</f>
        <v>F0946</v>
      </c>
      <c r="D1390" t="str">
        <f>$D$272</f>
        <v>TOTAL_GHG_CO2_EMISSIONS</v>
      </c>
      <c r="E1390" t="str">
        <f>$E$272</f>
        <v>Dynamic</v>
      </c>
      <c r="F1390">
        <f ca="1">_xll.BDH($B$272,$C$272,$B$1130,$B$1131,CONCATENATE("Per=",$B$1128),"Dts=H","Dir=H",CONCATENATE("Points=",$B$1129),"Sort=R","Days=A","Fill=B",CONCATENATE("FX=", $B$1127),"cols=5;rows=1")</f>
        <v>1.1884999999999999</v>
      </c>
      <c r="G1390">
        <v>1.5879000000000001</v>
      </c>
      <c r="H1390">
        <v>1.2157</v>
      </c>
      <c r="I1390">
        <v>1.3573</v>
      </c>
      <c r="J1390">
        <v>1.8677999999999999</v>
      </c>
      <c r="K1390" t="str">
        <f>""</f>
        <v/>
      </c>
      <c r="L1390" t="str">
        <f>""</f>
        <v/>
      </c>
      <c r="M1390" t="str">
        <f>""</f>
        <v/>
      </c>
      <c r="N1390" t="str">
        <f>""</f>
        <v/>
      </c>
      <c r="O1390" t="str">
        <f>""</f>
        <v/>
      </c>
    </row>
    <row r="1391" spans="1:15" x14ac:dyDescent="0.25">
      <c r="A1391" t="str">
        <f>$A$273</f>
        <v xml:space="preserve">                    Grupo Herdez SAB de CV</v>
      </c>
      <c r="B1391" t="str">
        <f>$B$273</f>
        <v>HERDEZ* MM Equity</v>
      </c>
      <c r="C1391" t="str">
        <f>$C$273</f>
        <v>F0946</v>
      </c>
      <c r="D1391" t="str">
        <f>$D$273</f>
        <v>TOTAL_GHG_CO2_EMISSIONS</v>
      </c>
      <c r="E1391" t="str">
        <f>$E$273</f>
        <v>Dynamic</v>
      </c>
      <c r="F1391" t="str">
        <f ca="1">_xll.BDH($B$273,$C$273,$B$1130,$B$1131,CONCATENATE("Per=",$B$1128),"Dts=H","Dir=H",CONCATENATE("Points=",$B$1129),"Sort=R","Days=A","Fill=B",CONCATENATE("FX=", $B$1127),"cols=5;rows=1")</f>
        <v/>
      </c>
      <c r="G1391">
        <v>6.1699999999999998E-2</v>
      </c>
      <c r="H1391">
        <v>7.8700000000000006E-2</v>
      </c>
      <c r="I1391">
        <v>9.1999999999999998E-2</v>
      </c>
      <c r="J1391">
        <v>9.5799999999999996E-2</v>
      </c>
      <c r="K1391" t="str">
        <f>""</f>
        <v/>
      </c>
      <c r="L1391" t="str">
        <f>""</f>
        <v/>
      </c>
      <c r="M1391" t="str">
        <f>""</f>
        <v/>
      </c>
      <c r="N1391" t="str">
        <f>""</f>
        <v/>
      </c>
      <c r="O1391" t="str">
        <f>""</f>
        <v/>
      </c>
    </row>
    <row r="1392" spans="1:15" x14ac:dyDescent="0.25">
      <c r="A1392" t="str">
        <f>$A$274</f>
        <v xml:space="preserve">                    Grupo Nutresa SA</v>
      </c>
      <c r="B1392" t="str">
        <f>$B$274</f>
        <v>NUTRESA CB Equity</v>
      </c>
      <c r="C1392" t="str">
        <f>$C$274</f>
        <v>F0946</v>
      </c>
      <c r="D1392" t="str">
        <f>$D$274</f>
        <v>TOTAL_GHG_CO2_EMISSIONS</v>
      </c>
      <c r="E1392" t="str">
        <f>$E$274</f>
        <v>Dynamic</v>
      </c>
      <c r="F1392" t="str">
        <f ca="1">_xll.BDH($B$274,$C$274,$B$1130,$B$1131,CONCATENATE("Per=",$B$1128),"Dts=H","Dir=H",CONCATENATE("Points=",$B$1129),"Sort=R","Days=A","Fill=B",CONCATENATE("FX=", $B$1127),"cols=5;rows=1")</f>
        <v/>
      </c>
      <c r="G1392">
        <v>0.1371</v>
      </c>
      <c r="H1392">
        <v>0.1333</v>
      </c>
      <c r="I1392">
        <v>0.11600000000000001</v>
      </c>
      <c r="J1392">
        <v>0.1086</v>
      </c>
      <c r="K1392" t="str">
        <f>""</f>
        <v/>
      </c>
      <c r="L1392" t="str">
        <f>""</f>
        <v/>
      </c>
      <c r="M1392" t="str">
        <f>""</f>
        <v/>
      </c>
      <c r="N1392" t="str">
        <f>""</f>
        <v/>
      </c>
      <c r="O1392" t="str">
        <f>""</f>
        <v/>
      </c>
    </row>
    <row r="1393" spans="1:15" x14ac:dyDescent="0.25">
      <c r="A1393" t="str">
        <f>$A$275</f>
        <v xml:space="preserve">                    General Mills Inc</v>
      </c>
      <c r="B1393" t="str">
        <f>$B$275</f>
        <v>GIS US Equity</v>
      </c>
      <c r="C1393" t="str">
        <f>$C$275</f>
        <v>F0946</v>
      </c>
      <c r="D1393" t="str">
        <f>$D$275</f>
        <v>TOTAL_GHG_CO2_EMISSIONS</v>
      </c>
      <c r="E1393" t="str">
        <f>$E$275</f>
        <v>Dynamic</v>
      </c>
      <c r="F1393" t="str">
        <f ca="1">_xll.BDH($B$275,$C$275,$B$1130,$B$1131,CONCATENATE("Per=",$B$1128),"Dts=H","Dir=H",CONCATENATE("Points=",$B$1129),"Sort=R","Days=A","Fill=B",CONCATENATE("FX=", $B$1127),"cols=5;rows=1")</f>
        <v/>
      </c>
      <c r="H1393">
        <v>0.94350000000000001</v>
      </c>
      <c r="I1393">
        <v>0.94489999999999996</v>
      </c>
      <c r="J1393">
        <v>0.89239999999999997</v>
      </c>
      <c r="K1393" t="str">
        <f>""</f>
        <v/>
      </c>
      <c r="L1393" t="str">
        <f>""</f>
        <v/>
      </c>
      <c r="M1393" t="str">
        <f>""</f>
        <v/>
      </c>
      <c r="N1393" t="str">
        <f>""</f>
        <v/>
      </c>
      <c r="O1393" t="str">
        <f>""</f>
        <v/>
      </c>
    </row>
    <row r="1394" spans="1:15" x14ac:dyDescent="0.25">
      <c r="A1394" t="str">
        <f>$A$276</f>
        <v xml:space="preserve">                    Henan Shuanghui Investment &amp; D</v>
      </c>
      <c r="B1394" t="str">
        <f>$B$276</f>
        <v>000895 CH Equity</v>
      </c>
      <c r="C1394" t="str">
        <f>$C$276</f>
        <v>F0946</v>
      </c>
      <c r="D1394" t="str">
        <f>$D$276</f>
        <v>TOTAL_GHG_CO2_EMISSIONS</v>
      </c>
      <c r="E1394" t="str">
        <f>$E$276</f>
        <v>Dynamic</v>
      </c>
      <c r="F1394" t="str">
        <f ca="1">_xll.BDH($B$276,$C$276,$B$1130,$B$1131,CONCATENATE("Per=",$B$1128),"Dts=H","Dir=H",CONCATENATE("Points=",$B$1129),"Sort=R","Days=A","Fill=B",CONCATENATE("FX=", $B$1127),"cols=5;rows=1")</f>
        <v/>
      </c>
      <c r="G1394">
        <v>1.1480999999999999</v>
      </c>
      <c r="H1394">
        <v>1.0376000000000001</v>
      </c>
      <c r="I1394">
        <v>1.0913999999999999</v>
      </c>
      <c r="J1394">
        <v>1.0598000000000001</v>
      </c>
      <c r="K1394" t="str">
        <f>""</f>
        <v/>
      </c>
      <c r="L1394" t="str">
        <f>""</f>
        <v/>
      </c>
      <c r="M1394" t="str">
        <f>""</f>
        <v/>
      </c>
      <c r="N1394" t="str">
        <f>""</f>
        <v/>
      </c>
      <c r="O1394" t="str">
        <f>""</f>
        <v/>
      </c>
    </row>
    <row r="1395" spans="1:15" x14ac:dyDescent="0.25">
      <c r="A1395" t="str">
        <f>$A$277</f>
        <v xml:space="preserve">                    HKScan Oyj</v>
      </c>
      <c r="B1395" t="str">
        <f>$B$277</f>
        <v>HKSAV FH Equity</v>
      </c>
      <c r="C1395" t="str">
        <f>$C$277</f>
        <v>F0946</v>
      </c>
      <c r="D1395" t="str">
        <f>$D$277</f>
        <v>TOTAL_GHG_CO2_EMISSIONS</v>
      </c>
      <c r="E1395" t="str">
        <f>$E$277</f>
        <v>Dynamic</v>
      </c>
      <c r="F1395" t="str">
        <f ca="1">_xll.BDH($B$277,$C$277,$B$1130,$B$1131,CONCATENATE("Per=",$B$1128),"Dts=H","Dir=H",CONCATENATE("Points=",$B$1129),"Sort=R","Days=A","Fill=B",CONCATENATE("FX=", $B$1127),"cols=5;rows=1")</f>
        <v/>
      </c>
      <c r="G1395">
        <v>0.10829999999999999</v>
      </c>
      <c r="H1395">
        <v>5.1999999999999998E-2</v>
      </c>
      <c r="I1395">
        <v>0.114</v>
      </c>
      <c r="J1395">
        <v>0.121</v>
      </c>
      <c r="K1395" t="str">
        <f>""</f>
        <v/>
      </c>
      <c r="L1395" t="str">
        <f>""</f>
        <v/>
      </c>
      <c r="M1395" t="str">
        <f>""</f>
        <v/>
      </c>
      <c r="N1395" t="str">
        <f>""</f>
        <v/>
      </c>
      <c r="O1395" t="str">
        <f>""</f>
        <v/>
      </c>
    </row>
    <row r="1396" spans="1:15" x14ac:dyDescent="0.25">
      <c r="A1396" t="str">
        <f>$A$278</f>
        <v xml:space="preserve">                    House Foods Group Inc</v>
      </c>
      <c r="B1396" t="str">
        <f>$B$278</f>
        <v>2810 JP Equity</v>
      </c>
      <c r="C1396" t="str">
        <f>$C$278</f>
        <v>F0946</v>
      </c>
      <c r="D1396" t="str">
        <f>$D$278</f>
        <v>TOTAL_GHG_CO2_EMISSIONS</v>
      </c>
      <c r="E1396" t="str">
        <f>$E$278</f>
        <v>Dynamic</v>
      </c>
      <c r="F1396" t="str">
        <f ca="1">_xll.BDH($B$278,$C$278,$B$1130,$B$1131,CONCATENATE("Per=",$B$1128),"Dts=H","Dir=H",CONCATENATE("Points=",$B$1129),"Sort=R","Days=A","Fill=B",CONCATENATE("FX=", $B$1127),"cols=5;rows=1")</f>
        <v/>
      </c>
      <c r="G1396">
        <v>0.1171</v>
      </c>
      <c r="H1396">
        <v>0.1202</v>
      </c>
      <c r="I1396">
        <v>6.4600000000000005E-2</v>
      </c>
      <c r="J1396">
        <v>6.7299999999999999E-2</v>
      </c>
      <c r="K1396" t="str">
        <f>""</f>
        <v/>
      </c>
      <c r="L1396" t="str">
        <f>""</f>
        <v/>
      </c>
      <c r="M1396" t="str">
        <f>""</f>
        <v/>
      </c>
      <c r="N1396" t="str">
        <f>""</f>
        <v/>
      </c>
      <c r="O1396" t="str">
        <f>""</f>
        <v/>
      </c>
    </row>
    <row r="1397" spans="1:15" x14ac:dyDescent="0.25">
      <c r="A1397" t="str">
        <f>$A$279</f>
        <v xml:space="preserve">                    Hershey Co/The</v>
      </c>
      <c r="B1397" t="str">
        <f>$B$279</f>
        <v>HSY US Equity</v>
      </c>
      <c r="C1397" t="str">
        <f>$C$279</f>
        <v>F0946</v>
      </c>
      <c r="D1397" t="str">
        <f>$D$279</f>
        <v>TOTAL_GHG_CO2_EMISSIONS</v>
      </c>
      <c r="E1397" t="str">
        <f>$E$279</f>
        <v>Dynamic</v>
      </c>
      <c r="F1397">
        <f ca="1">_xll.BDH($B$279,$C$279,$B$1130,$B$1131,CONCATENATE("Per=",$B$1128),"Dts=H","Dir=H",CONCATENATE("Points=",$B$1129),"Sort=R","Days=A","Fill=B",CONCATENATE("FX=", $B$1127),"cols=5;rows=1")</f>
        <v>0.4118</v>
      </c>
      <c r="G1397">
        <v>0.34789999999999999</v>
      </c>
      <c r="H1397">
        <v>0.35870000000000002</v>
      </c>
      <c r="I1397">
        <v>0.33729999999999999</v>
      </c>
      <c r="J1397">
        <v>0.35199999999999998</v>
      </c>
      <c r="K1397" t="str">
        <f>""</f>
        <v/>
      </c>
      <c r="L1397" t="str">
        <f>""</f>
        <v/>
      </c>
      <c r="M1397" t="str">
        <f>""</f>
        <v/>
      </c>
      <c r="N1397" t="str">
        <f>""</f>
        <v/>
      </c>
      <c r="O1397" t="str">
        <f>""</f>
        <v/>
      </c>
    </row>
    <row r="1398" spans="1:15" x14ac:dyDescent="0.25">
      <c r="A1398" t="str">
        <f>$A$280</f>
        <v xml:space="preserve">                    Hormel Foods Corp</v>
      </c>
      <c r="B1398" t="str">
        <f>$B$280</f>
        <v>HRL US Equity</v>
      </c>
      <c r="C1398" t="str">
        <f>$C$280</f>
        <v>F0946</v>
      </c>
      <c r="D1398" t="str">
        <f>$D$280</f>
        <v>TOTAL_GHG_CO2_EMISSIONS</v>
      </c>
      <c r="E1398" t="str">
        <f>$E$280</f>
        <v>Dynamic</v>
      </c>
      <c r="F1398" t="str">
        <f ca="1">_xll.BDH($B$280,$C$280,$B$1130,$B$1131,CONCATENATE("Per=",$B$1128),"Dts=H","Dir=H",CONCATENATE("Points=",$B$1129),"Sort=R","Days=A","Fill=B",CONCATENATE("FX=", $B$1127),"cols=5;rows=1")</f>
        <v/>
      </c>
      <c r="G1398">
        <v>0.9</v>
      </c>
      <c r="H1398">
        <v>1.4690000000000001</v>
      </c>
      <c r="I1398">
        <v>0.76300000000000001</v>
      </c>
      <c r="J1398">
        <v>0.69399999999999995</v>
      </c>
      <c r="K1398" t="str">
        <f>""</f>
        <v/>
      </c>
      <c r="L1398" t="str">
        <f>""</f>
        <v/>
      </c>
      <c r="M1398" t="str">
        <f>""</f>
        <v/>
      </c>
      <c r="N1398" t="str">
        <f>""</f>
        <v/>
      </c>
      <c r="O1398" t="str">
        <f>""</f>
        <v/>
      </c>
    </row>
    <row r="1399" spans="1:15" x14ac:dyDescent="0.25">
      <c r="A1399" t="str">
        <f>$A$281</f>
        <v xml:space="preserve">                    Hostess Brands Inc</v>
      </c>
      <c r="B1399" t="str">
        <f>$B$281</f>
        <v>TWNK US Equity</v>
      </c>
      <c r="C1399" t="str">
        <f>$C$281</f>
        <v>F0946</v>
      </c>
      <c r="D1399" t="str">
        <f>$D$281</f>
        <v>TOTAL_GHG_CO2_EMISSIONS</v>
      </c>
      <c r="E1399" t="str">
        <f>$E$281</f>
        <v>Dynamic</v>
      </c>
      <c r="F1399" t="str">
        <f ca="1">_xll.BDH($B$281,$C$281,$B$1130,$B$1131,CONCATENATE("Per=",$B$1128),"Dts=H","Dir=H",CONCATENATE("Points=",$B$1129),"Sort=R","Days=A","Fill=B",CONCATENATE("FX=", $B$1127),"cols=5;rows=1")</f>
        <v/>
      </c>
      <c r="G1399">
        <v>6.3200000000000006E-2</v>
      </c>
      <c r="H1399">
        <v>6.1499999999999999E-2</v>
      </c>
      <c r="I1399">
        <v>6.3399999999999998E-2</v>
      </c>
      <c r="K1399" t="str">
        <f>""</f>
        <v/>
      </c>
      <c r="L1399" t="str">
        <f>""</f>
        <v/>
      </c>
      <c r="M1399" t="str">
        <f>""</f>
        <v/>
      </c>
      <c r="N1399" t="str">
        <f>""</f>
        <v/>
      </c>
      <c r="O1399" t="str">
        <f>""</f>
        <v/>
      </c>
    </row>
    <row r="1400" spans="1:15" x14ac:dyDescent="0.25">
      <c r="A1400" t="str">
        <f>$A$282</f>
        <v xml:space="preserve">                    Indofood Sukses Makmur Tbk PT</v>
      </c>
      <c r="B1400" t="str">
        <f>$B$282</f>
        <v>INDF IJ Equity</v>
      </c>
      <c r="C1400" t="str">
        <f>$C$282</f>
        <v>F0946</v>
      </c>
      <c r="D1400" t="str">
        <f>$D$282</f>
        <v>TOTAL_GHG_CO2_EMISSIONS</v>
      </c>
      <c r="E1400" t="str">
        <f>$E$282</f>
        <v>Dynamic</v>
      </c>
      <c r="F1400" t="str">
        <f ca="1">_xll.BDH($B$282,$C$282,$B$1130,$B$1131,CONCATENATE("Per=",$B$1128),"Dts=H","Dir=H",CONCATENATE("Points=",$B$1129),"Sort=R","Days=A","Fill=B",CONCATENATE("FX=", $B$1127),"cols=5;rows=1")</f>
        <v/>
      </c>
      <c r="G1400">
        <v>1.88</v>
      </c>
      <c r="K1400" t="str">
        <f>""</f>
        <v/>
      </c>
      <c r="L1400" t="str">
        <f>""</f>
        <v/>
      </c>
      <c r="M1400" t="str">
        <f>""</f>
        <v/>
      </c>
      <c r="N1400" t="str">
        <f>""</f>
        <v/>
      </c>
      <c r="O1400" t="str">
        <f>""</f>
        <v/>
      </c>
    </row>
    <row r="1401" spans="1:15" x14ac:dyDescent="0.25">
      <c r="A1401" t="str">
        <f>$A$283</f>
        <v xml:space="preserve">                    Industrias Bachoco SAB de CV</v>
      </c>
      <c r="B1401" t="str">
        <f>$B$283</f>
        <v>BACHOCOB MM Equity</v>
      </c>
      <c r="C1401" t="str">
        <f>$C$283</f>
        <v>F0946</v>
      </c>
      <c r="D1401" t="str">
        <f>$D$283</f>
        <v>TOTAL_GHG_CO2_EMISSIONS</v>
      </c>
      <c r="E1401" t="str">
        <f>$E$283</f>
        <v>Dynamic</v>
      </c>
      <c r="F1401">
        <f ca="1">_xll.BDH($B$283,$C$283,$B$1130,$B$1131,CONCATENATE("Per=",$B$1128),"Dts=H","Dir=H",CONCATENATE("Points=",$B$1129),"Sort=R","Days=A","Fill=B",CONCATENATE("FX=", $B$1127),"cols=5;rows=1")</f>
        <v>0.53290000000000004</v>
      </c>
      <c r="G1401">
        <v>0.44419999999999998</v>
      </c>
      <c r="K1401" t="str">
        <f>""</f>
        <v/>
      </c>
      <c r="L1401" t="str">
        <f>""</f>
        <v/>
      </c>
      <c r="M1401" t="str">
        <f>""</f>
        <v/>
      </c>
      <c r="N1401" t="str">
        <f>""</f>
        <v/>
      </c>
      <c r="O1401" t="str">
        <f>""</f>
        <v/>
      </c>
    </row>
    <row r="1402" spans="1:15" x14ac:dyDescent="0.25">
      <c r="A1402" t="str">
        <f>$A$284</f>
        <v xml:space="preserve">                    Inner Mongolia Yili Industrial</v>
      </c>
      <c r="B1402" t="str">
        <f>$B$284</f>
        <v>600887 CH Equity</v>
      </c>
      <c r="C1402" t="str">
        <f>$C$284</f>
        <v>F0946</v>
      </c>
      <c r="D1402" t="str">
        <f>$D$284</f>
        <v>TOTAL_GHG_CO2_EMISSIONS</v>
      </c>
      <c r="E1402" t="str">
        <f>$E$284</f>
        <v>Dynamic</v>
      </c>
      <c r="F1402">
        <f ca="1">_xll.BDH($B$284,$C$284,$B$1130,$B$1131,CONCATENATE("Per=",$B$1128),"Dts=H","Dir=H",CONCATENATE("Points=",$B$1129),"Sort=R","Days=A","Fill=B",CONCATENATE("FX=", $B$1127),"cols=5;rows=1")</f>
        <v>1.79</v>
      </c>
      <c r="G1402">
        <v>1.88</v>
      </c>
      <c r="H1402">
        <v>2.0099999999999998</v>
      </c>
      <c r="I1402">
        <v>1.9016999999999999</v>
      </c>
      <c r="J1402">
        <v>1.9979</v>
      </c>
      <c r="K1402" t="str">
        <f>""</f>
        <v/>
      </c>
      <c r="L1402" t="str">
        <f>""</f>
        <v/>
      </c>
      <c r="M1402" t="str">
        <f>""</f>
        <v/>
      </c>
      <c r="N1402" t="str">
        <f>""</f>
        <v/>
      </c>
      <c r="O1402" t="str">
        <f>""</f>
        <v/>
      </c>
    </row>
    <row r="1403" spans="1:15" x14ac:dyDescent="0.25">
      <c r="A1403" t="str">
        <f>$A$285</f>
        <v xml:space="preserve">                    J &amp; J Snack Foods Corp</v>
      </c>
      <c r="B1403" t="str">
        <f>$B$285</f>
        <v>JJSF US Equity</v>
      </c>
      <c r="C1403" t="str">
        <f>$C$285</f>
        <v>F0946</v>
      </c>
      <c r="D1403" t="str">
        <f>$D$285</f>
        <v>TOTAL_GHG_CO2_EMISSIONS</v>
      </c>
      <c r="E1403" t="str">
        <f>$E$285</f>
        <v>Dynamic</v>
      </c>
      <c r="F1403" t="str">
        <f ca="1">_xll.BDH($B$285,$C$285,$B$1130,$B$1131,CONCATENATE("Per=",$B$1128),"Dts=H","Dir=H",CONCATENATE("Points=",$B$1129),"Sort=R","Days=A","Fill=B",CONCATENATE("FX=", $B$1127) )</f>
        <v/>
      </c>
      <c r="K1403" t="str">
        <f>""</f>
        <v/>
      </c>
      <c r="L1403" t="str">
        <f>""</f>
        <v/>
      </c>
      <c r="M1403" t="str">
        <f>""</f>
        <v/>
      </c>
      <c r="N1403" t="str">
        <f>""</f>
        <v/>
      </c>
      <c r="O1403" t="str">
        <f>""</f>
        <v/>
      </c>
    </row>
    <row r="1404" spans="1:15" x14ac:dyDescent="0.25">
      <c r="A1404" t="str">
        <f>$A$286</f>
        <v xml:space="preserve">                    J M Smucker Co/The</v>
      </c>
      <c r="B1404" t="str">
        <f>$B$286</f>
        <v>SJM US Equity</v>
      </c>
      <c r="C1404" t="str">
        <f>$C$286</f>
        <v>F0946</v>
      </c>
      <c r="D1404" t="str">
        <f>$D$286</f>
        <v>TOTAL_GHG_CO2_EMISSIONS</v>
      </c>
      <c r="E1404" t="str">
        <f>$E$286</f>
        <v>Dynamic</v>
      </c>
      <c r="F1404" t="str">
        <f ca="1">_xll.BDH($B$286,$C$286,$B$1130,$B$1131,CONCATENATE("Per=",$B$1128),"Dts=H","Dir=H",CONCATENATE("Points=",$B$1129),"Sort=R","Days=A","Fill=B",CONCATENATE("FX=", $B$1127),"cols=5;rows=1")</f>
        <v/>
      </c>
      <c r="H1404">
        <v>0.75060000000000004</v>
      </c>
      <c r="I1404">
        <v>0.4395</v>
      </c>
      <c r="J1404">
        <v>0.45979999999999999</v>
      </c>
      <c r="K1404" t="str">
        <f>""</f>
        <v/>
      </c>
      <c r="L1404" t="str">
        <f>""</f>
        <v/>
      </c>
      <c r="M1404" t="str">
        <f>""</f>
        <v/>
      </c>
      <c r="N1404" t="str">
        <f>""</f>
        <v/>
      </c>
      <c r="O1404" t="str">
        <f>""</f>
        <v/>
      </c>
    </row>
    <row r="1405" spans="1:15" x14ac:dyDescent="0.25">
      <c r="A1405" t="str">
        <f>$A$287</f>
        <v xml:space="preserve">                    Juhayna Food Industries</v>
      </c>
      <c r="B1405" t="str">
        <f>$B$287</f>
        <v>JUFO EY Equity</v>
      </c>
      <c r="C1405" t="str">
        <f>$C$287</f>
        <v>F0946</v>
      </c>
      <c r="D1405" t="str">
        <f>$D$287</f>
        <v>TOTAL_GHG_CO2_EMISSIONS</v>
      </c>
      <c r="E1405" t="str">
        <f>$E$287</f>
        <v>Dynamic</v>
      </c>
      <c r="F1405" t="str">
        <f ca="1">_xll.BDH($B$287,$C$287,$B$1130,$B$1131,CONCATENATE("Per=",$B$1128),"Dts=H","Dir=H",CONCATENATE("Points=",$B$1129),"Sort=R","Days=A","Fill=B",CONCATENATE("FX=", $B$1127),"cols=5;rows=1")</f>
        <v/>
      </c>
      <c r="G1405">
        <v>8.7300000000000003E-2</v>
      </c>
      <c r="I1405">
        <v>9.4E-2</v>
      </c>
      <c r="K1405" t="str">
        <f>""</f>
        <v/>
      </c>
      <c r="L1405" t="str">
        <f>""</f>
        <v/>
      </c>
      <c r="M1405" t="str">
        <f>""</f>
        <v/>
      </c>
      <c r="N1405" t="str">
        <f>""</f>
        <v/>
      </c>
      <c r="O1405" t="str">
        <f>""</f>
        <v/>
      </c>
    </row>
    <row r="1406" spans="1:15" x14ac:dyDescent="0.25">
      <c r="A1406" t="str">
        <f>$A$288</f>
        <v xml:space="preserve">                    JBS S/A</v>
      </c>
      <c r="B1406" t="str">
        <f>$B$288</f>
        <v>JBSS3 BZ Equity</v>
      </c>
      <c r="C1406" t="str">
        <f>$C$288</f>
        <v>F0946</v>
      </c>
      <c r="D1406" t="str">
        <f>$D$288</f>
        <v>TOTAL_GHG_CO2_EMISSIONS</v>
      </c>
      <c r="E1406" t="str">
        <f>$E$288</f>
        <v>Dynamic</v>
      </c>
      <c r="F1406" t="str">
        <f ca="1">_xll.BDH($B$288,$C$288,$B$1130,$B$1131,CONCATENATE("Per=",$B$1128),"Dts=H","Dir=H",CONCATENATE("Points=",$B$1129),"Sort=R","Days=A","Fill=B",CONCATENATE("FX=", $B$1127),"cols=5;rows=1")</f>
        <v/>
      </c>
      <c r="G1406">
        <v>6.0749000000000004</v>
      </c>
      <c r="H1406">
        <v>6.2042999999999999</v>
      </c>
      <c r="I1406">
        <v>6.2091000000000003</v>
      </c>
      <c r="J1406">
        <v>5.9001000000000001</v>
      </c>
      <c r="K1406" t="str">
        <f>""</f>
        <v/>
      </c>
      <c r="L1406" t="str">
        <f>""</f>
        <v/>
      </c>
      <c r="M1406" t="str">
        <f>""</f>
        <v/>
      </c>
      <c r="N1406" t="str">
        <f>""</f>
        <v/>
      </c>
      <c r="O1406" t="str">
        <f>""</f>
        <v/>
      </c>
    </row>
    <row r="1407" spans="1:15" x14ac:dyDescent="0.25">
      <c r="A1407" t="str">
        <f>$A$289</f>
        <v xml:space="preserve">                    Kewpie Corp</v>
      </c>
      <c r="B1407" t="str">
        <f>$B$289</f>
        <v>2809 JP Equity</v>
      </c>
      <c r="C1407" t="str">
        <f>$C$289</f>
        <v>F0946</v>
      </c>
      <c r="D1407" t="str">
        <f>$D$289</f>
        <v>TOTAL_GHG_CO2_EMISSIONS</v>
      </c>
      <c r="E1407" t="str">
        <f>$E$289</f>
        <v>Dynamic</v>
      </c>
      <c r="F1407" t="str">
        <f ca="1">_xll.BDH($B$289,$C$289,$B$1130,$B$1131,CONCATENATE("Per=",$B$1128),"Dts=H","Dir=H",CONCATENATE("Points=",$B$1129),"Sort=R","Days=A","Fill=B",CONCATENATE("FX=", $B$1127),"cols=5;rows=1")</f>
        <v/>
      </c>
      <c r="G1407">
        <v>0.19289999999999999</v>
      </c>
      <c r="H1407">
        <v>0.2291</v>
      </c>
      <c r="I1407">
        <v>0.22420000000000001</v>
      </c>
      <c r="J1407">
        <v>0.24529999999999999</v>
      </c>
      <c r="K1407" t="str">
        <f>""</f>
        <v/>
      </c>
      <c r="L1407" t="str">
        <f>""</f>
        <v/>
      </c>
      <c r="M1407" t="str">
        <f>""</f>
        <v/>
      </c>
      <c r="N1407" t="str">
        <f>""</f>
        <v/>
      </c>
      <c r="O1407" t="str">
        <f>""</f>
        <v/>
      </c>
    </row>
    <row r="1408" spans="1:15" x14ac:dyDescent="0.25">
      <c r="A1408" t="str">
        <f>$A$290</f>
        <v xml:space="preserve">                    Kikkoman Corp</v>
      </c>
      <c r="B1408" t="str">
        <f>$B$290</f>
        <v>2801 JP Equity</v>
      </c>
      <c r="C1408" t="str">
        <f>$C$290</f>
        <v>F0946</v>
      </c>
      <c r="D1408" t="str">
        <f>$D$290</f>
        <v>TOTAL_GHG_CO2_EMISSIONS</v>
      </c>
      <c r="E1408" t="str">
        <f>$E$290</f>
        <v>Dynamic</v>
      </c>
      <c r="F1408" t="str">
        <f ca="1">_xll.BDH($B$290,$C$290,$B$1130,$B$1131,CONCATENATE("Per=",$B$1128),"Dts=H","Dir=H",CONCATENATE("Points=",$B$1129),"Sort=R","Days=A","Fill=B",CONCATENATE("FX=", $B$1127),"cols=5;rows=1")</f>
        <v/>
      </c>
      <c r="G1408">
        <v>0.21110000000000001</v>
      </c>
      <c r="H1408">
        <v>0.20399999999999999</v>
      </c>
      <c r="I1408">
        <v>0.17699999999999999</v>
      </c>
      <c r="J1408">
        <v>0.17399999999999999</v>
      </c>
      <c r="K1408" t="str">
        <f>""</f>
        <v/>
      </c>
      <c r="L1408" t="str">
        <f>""</f>
        <v/>
      </c>
      <c r="M1408" t="str">
        <f>""</f>
        <v/>
      </c>
      <c r="N1408" t="str">
        <f>""</f>
        <v/>
      </c>
      <c r="O1408" t="str">
        <f>""</f>
        <v/>
      </c>
    </row>
    <row r="1409" spans="1:15" x14ac:dyDescent="0.25">
      <c r="A1409" t="str">
        <f>$A$291</f>
        <v xml:space="preserve">                    Kraft Heinz Co/The</v>
      </c>
      <c r="B1409" t="str">
        <f>$B$291</f>
        <v>KHC US Equity</v>
      </c>
      <c r="C1409" t="str">
        <f>$C$291</f>
        <v>F0946</v>
      </c>
      <c r="D1409" t="str">
        <f>$D$291</f>
        <v>TOTAL_GHG_CO2_EMISSIONS</v>
      </c>
      <c r="E1409" t="str">
        <f>$E$291</f>
        <v>Dynamic</v>
      </c>
      <c r="F1409" t="str">
        <f ca="1">_xll.BDH($B$291,$C$291,$B$1130,$B$1131,CONCATENATE("Per=",$B$1128),"Dts=H","Dir=H",CONCATENATE("Points=",$B$1129),"Sort=R","Days=A","Fill=B",CONCATENATE("FX=", $B$1127),"cols=5;rows=1")</f>
        <v/>
      </c>
      <c r="G1409">
        <v>1.2317</v>
      </c>
      <c r="H1409">
        <v>1.29</v>
      </c>
      <c r="I1409">
        <v>1.4222999999999999</v>
      </c>
      <c r="K1409" t="str">
        <f>""</f>
        <v/>
      </c>
      <c r="L1409" t="str">
        <f>""</f>
        <v/>
      </c>
      <c r="M1409" t="str">
        <f>""</f>
        <v/>
      </c>
      <c r="N1409" t="str">
        <f>""</f>
        <v/>
      </c>
      <c r="O1409" t="str">
        <f>""</f>
        <v/>
      </c>
    </row>
    <row r="1410" spans="1:15" x14ac:dyDescent="0.25">
      <c r="A1410" t="str">
        <f>$A$292</f>
        <v xml:space="preserve">                    Kellogg Co</v>
      </c>
      <c r="B1410" t="str">
        <f>$B$292</f>
        <v>K US Equity</v>
      </c>
      <c r="C1410" t="str">
        <f>$C$292</f>
        <v>F0946</v>
      </c>
      <c r="D1410" t="str">
        <f>$D$292</f>
        <v>TOTAL_GHG_CO2_EMISSIONS</v>
      </c>
      <c r="E1410" t="str">
        <f>$E$292</f>
        <v>Dynamic</v>
      </c>
      <c r="F1410">
        <f ca="1">_xll.BDH($B$292,$C$292,$B$1130,$B$1131,CONCATENATE("Per=",$B$1128),"Dts=H","Dir=H",CONCATENATE("Points=",$B$1129),"Sort=R","Days=A","Fill=B",CONCATENATE("FX=", $B$1127),"cols=5;rows=1")</f>
        <v>1.0669999999999999</v>
      </c>
      <c r="G1410">
        <v>1.0726</v>
      </c>
      <c r="H1410">
        <v>1.0529999999999999</v>
      </c>
      <c r="I1410">
        <v>1.004</v>
      </c>
      <c r="J1410">
        <v>1.008</v>
      </c>
      <c r="K1410" t="str">
        <f>""</f>
        <v/>
      </c>
      <c r="L1410" t="str">
        <f>""</f>
        <v/>
      </c>
      <c r="M1410" t="str">
        <f>""</f>
        <v/>
      </c>
      <c r="N1410" t="str">
        <f>""</f>
        <v/>
      </c>
      <c r="O1410" t="str">
        <f>""</f>
        <v/>
      </c>
    </row>
    <row r="1411" spans="1:15" x14ac:dyDescent="0.25">
      <c r="A1411" t="str">
        <f>$A$293</f>
        <v xml:space="preserve">                    Societe LDC SA</v>
      </c>
      <c r="B1411" t="str">
        <f>$B$293</f>
        <v>LOUP FP Equity</v>
      </c>
      <c r="C1411" t="str">
        <f>$C$293</f>
        <v>F0946</v>
      </c>
      <c r="D1411" t="str">
        <f>$D$293</f>
        <v>TOTAL_GHG_CO2_EMISSIONS</v>
      </c>
      <c r="E1411" t="str">
        <f>$E$293</f>
        <v>Dynamic</v>
      </c>
      <c r="F1411" t="str">
        <f ca="1">_xll.BDH($B$293,$C$293,$B$1130,$B$1131,CONCATENATE("Per=",$B$1128),"Dts=H","Dir=H",CONCATENATE("Points=",$B$1129),"Sort=R","Days=A","Fill=B",CONCATENATE("FX=", $B$1127),"cols=5;rows=1")</f>
        <v/>
      </c>
      <c r="H1411">
        <v>0.18</v>
      </c>
      <c r="K1411" t="str">
        <f>""</f>
        <v/>
      </c>
      <c r="L1411" t="str">
        <f>""</f>
        <v/>
      </c>
      <c r="M1411" t="str">
        <f>""</f>
        <v/>
      </c>
      <c r="N1411" t="str">
        <f>""</f>
        <v/>
      </c>
      <c r="O1411" t="str">
        <f>""</f>
        <v/>
      </c>
    </row>
    <row r="1412" spans="1:15" x14ac:dyDescent="0.25">
      <c r="A1412" t="str">
        <f>$A$294</f>
        <v xml:space="preserve">                    Lotte Corp</v>
      </c>
      <c r="B1412" t="str">
        <f>$B$294</f>
        <v>004990 KS Equity</v>
      </c>
      <c r="C1412" t="str">
        <f>$C$294</f>
        <v>F0946</v>
      </c>
      <c r="D1412" t="str">
        <f>$D$294</f>
        <v>TOTAL_GHG_CO2_EMISSIONS</v>
      </c>
      <c r="E1412" t="str">
        <f>$E$294</f>
        <v>Dynamic</v>
      </c>
      <c r="F1412" t="str">
        <f ca="1">_xll.BDH($B$294,$C$294,$B$1130,$B$1131,CONCATENATE("Per=",$B$1128),"Dts=H","Dir=H",CONCATENATE("Points=",$B$1129),"Sort=R","Days=A","Fill=B",CONCATENATE("FX=", $B$1127) )</f>
        <v/>
      </c>
      <c r="K1412" t="str">
        <f>""</f>
        <v/>
      </c>
      <c r="L1412" t="str">
        <f>""</f>
        <v/>
      </c>
      <c r="M1412" t="str">
        <f>""</f>
        <v/>
      </c>
      <c r="N1412" t="str">
        <f>""</f>
        <v/>
      </c>
      <c r="O1412" t="str">
        <f>""</f>
        <v/>
      </c>
    </row>
    <row r="1413" spans="1:15" x14ac:dyDescent="0.25">
      <c r="A1413" t="str">
        <f>$A$295</f>
        <v xml:space="preserve">                    Lancaster Colony Corp</v>
      </c>
      <c r="B1413" t="str">
        <f>$B$295</f>
        <v>LANC US Equity</v>
      </c>
      <c r="C1413" t="str">
        <f>$C$295</f>
        <v>F0946</v>
      </c>
      <c r="D1413" t="str">
        <f>$D$295</f>
        <v>TOTAL_GHG_CO2_EMISSIONS</v>
      </c>
      <c r="E1413" t="str">
        <f>$E$295</f>
        <v>Dynamic</v>
      </c>
      <c r="F1413" t="str">
        <f ca="1">_xll.BDH($B$295,$C$295,$B$1130,$B$1131,CONCATENATE("Per=",$B$1128),"Dts=H","Dir=H",CONCATENATE("Points=",$B$1129),"Sort=R","Days=A","Fill=B",CONCATENATE("FX=", $B$1127),"cols=5;rows=1")</f>
        <v/>
      </c>
      <c r="I1413">
        <v>8.2699999999999996E-2</v>
      </c>
      <c r="K1413" t="str">
        <f>""</f>
        <v/>
      </c>
      <c r="L1413" t="str">
        <f>""</f>
        <v/>
      </c>
      <c r="M1413" t="str">
        <f>""</f>
        <v/>
      </c>
      <c r="N1413" t="str">
        <f>""</f>
        <v/>
      </c>
      <c r="O1413" t="str">
        <f>""</f>
        <v/>
      </c>
    </row>
    <row r="1414" spans="1:15" x14ac:dyDescent="0.25">
      <c r="A1414" t="str">
        <f>$A$296</f>
        <v xml:space="preserve">                    Chocoladefabriken Lindt &amp; Spru</v>
      </c>
      <c r="B1414" t="str">
        <f>$B$296</f>
        <v>LISN SW Equity</v>
      </c>
      <c r="C1414" t="str">
        <f>$C$296</f>
        <v>F0946</v>
      </c>
      <c r="D1414" t="str">
        <f>$D$296</f>
        <v>TOTAL_GHG_CO2_EMISSIONS</v>
      </c>
      <c r="E1414" t="str">
        <f>$E$296</f>
        <v>Dynamic</v>
      </c>
      <c r="F1414">
        <f ca="1">_xll.BDH($B$296,$C$296,$B$1130,$B$1131,CONCATENATE("Per=",$B$1128),"Dts=H","Dir=H",CONCATENATE("Points=",$B$1129),"Sort=R","Days=A","Fill=B",CONCATENATE("FX=", $B$1127),"cols=5;rows=1")</f>
        <v>7.9000000000000001E-2</v>
      </c>
      <c r="G1414">
        <v>0.08</v>
      </c>
      <c r="H1414">
        <v>0.10100000000000001</v>
      </c>
      <c r="I1414">
        <v>0.113</v>
      </c>
      <c r="J1414">
        <v>0.11799999999999999</v>
      </c>
      <c r="K1414" t="str">
        <f>""</f>
        <v/>
      </c>
      <c r="L1414" t="str">
        <f>""</f>
        <v/>
      </c>
      <c r="M1414" t="str">
        <f>""</f>
        <v/>
      </c>
      <c r="N1414" t="str">
        <f>""</f>
        <v/>
      </c>
      <c r="O1414" t="str">
        <f>""</f>
        <v/>
      </c>
    </row>
    <row r="1415" spans="1:15" x14ac:dyDescent="0.25">
      <c r="A1415" t="str">
        <f>$A$297</f>
        <v xml:space="preserve">                    M Dias Branco SA</v>
      </c>
      <c r="B1415" t="str">
        <f>$B$297</f>
        <v>MDIA3 BZ Equity</v>
      </c>
      <c r="C1415" t="str">
        <f>$C$297</f>
        <v>F0946</v>
      </c>
      <c r="D1415" t="str">
        <f>$D$297</f>
        <v>TOTAL_GHG_CO2_EMISSIONS</v>
      </c>
      <c r="E1415" t="str">
        <f>$E$297</f>
        <v>Dynamic</v>
      </c>
      <c r="F1415">
        <f ca="1">_xll.BDH($B$297,$C$297,$B$1130,$B$1131,CONCATENATE("Per=",$B$1128),"Dts=H","Dir=H",CONCATENATE("Points=",$B$1129),"Sort=R","Days=A","Fill=B",CONCATENATE("FX=", $B$1127),"cols=5;rows=1")</f>
        <v>0.1641</v>
      </c>
      <c r="G1415">
        <v>0.1812</v>
      </c>
      <c r="J1415">
        <v>0.17530000000000001</v>
      </c>
      <c r="K1415" t="str">
        <f>""</f>
        <v/>
      </c>
      <c r="L1415" t="str">
        <f>""</f>
        <v/>
      </c>
      <c r="M1415" t="str">
        <f>""</f>
        <v/>
      </c>
      <c r="N1415" t="str">
        <f>""</f>
        <v/>
      </c>
      <c r="O1415" t="str">
        <f>""</f>
        <v/>
      </c>
    </row>
    <row r="1416" spans="1:15" x14ac:dyDescent="0.25">
      <c r="A1416" t="str">
        <f>$A$298</f>
        <v xml:space="preserve">                    Marfrig Global Foods SA</v>
      </c>
      <c r="B1416" t="str">
        <f>$B$298</f>
        <v>MRFG3 BZ Equity</v>
      </c>
      <c r="C1416" t="str">
        <f>$C$298</f>
        <v>F0946</v>
      </c>
      <c r="D1416" t="str">
        <f>$D$298</f>
        <v>TOTAL_GHG_CO2_EMISSIONS</v>
      </c>
      <c r="E1416" t="str">
        <f>$E$298</f>
        <v>Dynamic</v>
      </c>
      <c r="F1416">
        <f ca="1">_xll.BDH($B$298,$C$298,$B$1130,$B$1131,CONCATENATE("Per=",$B$1128),"Dts=H","Dir=H",CONCATENATE("Points=",$B$1129),"Sort=R","Days=A","Fill=B",CONCATENATE("FX=", $B$1127),"cols=5;rows=1")</f>
        <v>0.47549999999999998</v>
      </c>
      <c r="G1416">
        <v>0.59640000000000004</v>
      </c>
      <c r="H1416">
        <v>0.73519999999999996</v>
      </c>
      <c r="I1416">
        <v>0.63339999999999996</v>
      </c>
      <c r="J1416">
        <v>0.57079999999999997</v>
      </c>
      <c r="K1416" t="str">
        <f>""</f>
        <v/>
      </c>
      <c r="L1416" t="str">
        <f>""</f>
        <v/>
      </c>
      <c r="M1416" t="str">
        <f>""</f>
        <v/>
      </c>
      <c r="N1416" t="str">
        <f>""</f>
        <v/>
      </c>
      <c r="O1416" t="str">
        <f>""</f>
        <v/>
      </c>
    </row>
    <row r="1417" spans="1:15" x14ac:dyDescent="0.25">
      <c r="A1417" t="str">
        <f>$A$299</f>
        <v xml:space="preserve">                    Megmilk Snow Brand Co Ltd</v>
      </c>
      <c r="B1417" t="str">
        <f>$B$299</f>
        <v>2270 JP Equity</v>
      </c>
      <c r="C1417" t="str">
        <f>$C$299</f>
        <v>F0946</v>
      </c>
      <c r="D1417" t="str">
        <f>$D$299</f>
        <v>TOTAL_GHG_CO2_EMISSIONS</v>
      </c>
      <c r="E1417" t="str">
        <f>$E$299</f>
        <v>Dynamic</v>
      </c>
      <c r="F1417" t="str">
        <f ca="1">_xll.BDH($B$299,$C$299,$B$1130,$B$1131,CONCATENATE("Per=",$B$1128),"Dts=H","Dir=H",CONCATENATE("Points=",$B$1129),"Sort=R","Days=A","Fill=B",CONCATENATE("FX=", $B$1127),"cols=5;rows=1")</f>
        <v/>
      </c>
      <c r="G1417">
        <v>0.22800000000000001</v>
      </c>
      <c r="H1417">
        <v>0.224</v>
      </c>
      <c r="I1417">
        <v>0.33510000000000001</v>
      </c>
      <c r="J1417">
        <v>0.34039999999999998</v>
      </c>
      <c r="K1417" t="str">
        <f>""</f>
        <v/>
      </c>
      <c r="L1417" t="str">
        <f>""</f>
        <v/>
      </c>
      <c r="M1417" t="str">
        <f>""</f>
        <v/>
      </c>
      <c r="N1417" t="str">
        <f>""</f>
        <v/>
      </c>
      <c r="O1417" t="str">
        <f>""</f>
        <v/>
      </c>
    </row>
    <row r="1418" spans="1:15" x14ac:dyDescent="0.25">
      <c r="A1418" t="str">
        <f>$A$300</f>
        <v xml:space="preserve">                    MEIJI Holdings Co Ltd</v>
      </c>
      <c r="B1418" t="str">
        <f>$B$300</f>
        <v>2269 JP Equity</v>
      </c>
      <c r="C1418" t="str">
        <f>$C$300</f>
        <v>F0946</v>
      </c>
      <c r="D1418" t="str">
        <f>$D$300</f>
        <v>TOTAL_GHG_CO2_EMISSIONS</v>
      </c>
      <c r="E1418" t="str">
        <f>$E$300</f>
        <v>Dynamic</v>
      </c>
      <c r="F1418" t="str">
        <f ca="1">_xll.BDH($B$300,$C$300,$B$1130,$B$1131,CONCATENATE("Per=",$B$1128),"Dts=H","Dir=H",CONCATENATE("Points=",$B$1129),"Sort=R","Days=A","Fill=B",CONCATENATE("FX=", $B$1127),"cols=5;rows=1")</f>
        <v/>
      </c>
      <c r="G1418">
        <v>0.55769999999999997</v>
      </c>
      <c r="H1418">
        <v>0.56299999999999994</v>
      </c>
      <c r="I1418">
        <v>0.60399999999999998</v>
      </c>
      <c r="J1418">
        <v>0.63100000000000001</v>
      </c>
      <c r="K1418" t="str">
        <f>""</f>
        <v/>
      </c>
      <c r="L1418" t="str">
        <f>""</f>
        <v/>
      </c>
      <c r="M1418" t="str">
        <f>""</f>
        <v/>
      </c>
      <c r="N1418" t="str">
        <f>""</f>
        <v/>
      </c>
      <c r="O1418" t="str">
        <f>""</f>
        <v/>
      </c>
    </row>
    <row r="1419" spans="1:15" x14ac:dyDescent="0.25">
      <c r="A1419" t="str">
        <f>$A$301</f>
        <v xml:space="preserve">                    Minerva SA/Brazil</v>
      </c>
      <c r="B1419" t="str">
        <f>$B$301</f>
        <v>BEEF3 BZ Equity</v>
      </c>
      <c r="C1419" t="str">
        <f>$C$301</f>
        <v>F0946</v>
      </c>
      <c r="D1419" t="str">
        <f>$D$301</f>
        <v>TOTAL_GHG_CO2_EMISSIONS</v>
      </c>
      <c r="E1419" t="str">
        <f>$E$301</f>
        <v>Dynamic</v>
      </c>
      <c r="F1419">
        <f ca="1">_xll.BDH($B$301,$C$301,$B$1130,$B$1131,CONCATENATE("Per=",$B$1128),"Dts=H","Dir=H",CONCATENATE("Points=",$B$1129),"Sort=R","Days=A","Fill=B",CONCATENATE("FX=", $B$1127),"cols=5;rows=1")</f>
        <v>0.38009999999999999</v>
      </c>
      <c r="G1419">
        <v>0.3362</v>
      </c>
      <c r="H1419">
        <v>0.24540000000000001</v>
      </c>
      <c r="I1419">
        <v>0.2102</v>
      </c>
      <c r="J1419">
        <v>0.30420000000000003</v>
      </c>
      <c r="K1419" t="str">
        <f>""</f>
        <v/>
      </c>
      <c r="L1419" t="str">
        <f>""</f>
        <v/>
      </c>
      <c r="M1419" t="str">
        <f>""</f>
        <v/>
      </c>
      <c r="N1419" t="str">
        <f>""</f>
        <v/>
      </c>
      <c r="O1419" t="str">
        <f>""</f>
        <v/>
      </c>
    </row>
    <row r="1420" spans="1:15" x14ac:dyDescent="0.25">
      <c r="A1420" t="str">
        <f>$A$302</f>
        <v xml:space="preserve">                    Molinos Rio de la Plata SA</v>
      </c>
      <c r="B1420" t="str">
        <f>$B$302</f>
        <v>MOLI AR Equity</v>
      </c>
      <c r="C1420" t="str">
        <f>$C$302</f>
        <v>F0946</v>
      </c>
      <c r="D1420" t="str">
        <f>$D$302</f>
        <v>TOTAL_GHG_CO2_EMISSIONS</v>
      </c>
      <c r="E1420" t="str">
        <f>$E$302</f>
        <v>Dynamic</v>
      </c>
      <c r="F1420" t="str">
        <f ca="1">_xll.BDH($B$302,$C$302,$B$1130,$B$1131,CONCATENATE("Per=",$B$1128),"Dts=H","Dir=H",CONCATENATE("Points=",$B$1129),"Sort=R","Days=A","Fill=B",CONCATENATE("FX=", $B$1127) )</f>
        <v/>
      </c>
      <c r="K1420" t="str">
        <f>""</f>
        <v/>
      </c>
      <c r="L1420" t="str">
        <f>""</f>
        <v/>
      </c>
      <c r="M1420" t="str">
        <f>""</f>
        <v/>
      </c>
      <c r="N1420" t="str">
        <f>""</f>
        <v/>
      </c>
      <c r="O1420" t="str">
        <f>""</f>
        <v/>
      </c>
    </row>
    <row r="1421" spans="1:15" x14ac:dyDescent="0.25">
      <c r="A1421" t="str">
        <f>$A$303</f>
        <v xml:space="preserve">                    Mondelez International Inc</v>
      </c>
      <c r="B1421" t="str">
        <f>$B$303</f>
        <v>MDLZ US Equity</v>
      </c>
      <c r="C1421" t="str">
        <f>$C$303</f>
        <v>F0946</v>
      </c>
      <c r="D1421" t="str">
        <f>$D$303</f>
        <v>TOTAL_GHG_CO2_EMISSIONS</v>
      </c>
      <c r="E1421" t="str">
        <f>$E$303</f>
        <v>Dynamic</v>
      </c>
      <c r="F1421" t="str">
        <f ca="1">_xll.BDH($B$303,$C$303,$B$1130,$B$1131,CONCATENATE("Per=",$B$1128),"Dts=H","Dir=H",CONCATENATE("Points=",$B$1129),"Sort=R","Days=A","Fill=B",CONCATENATE("FX=", $B$1127),"cols=5;rows=1")</f>
        <v/>
      </c>
      <c r="G1421">
        <v>1.4651000000000001</v>
      </c>
      <c r="H1421">
        <v>1.6134999999999999</v>
      </c>
      <c r="I1421">
        <v>1.7951999999999999</v>
      </c>
      <c r="J1421">
        <v>1.7811999999999999</v>
      </c>
      <c r="K1421" t="str">
        <f>""</f>
        <v/>
      </c>
      <c r="L1421" t="str">
        <f>""</f>
        <v/>
      </c>
      <c r="M1421" t="str">
        <f>""</f>
        <v/>
      </c>
      <c r="N1421" t="str">
        <f>""</f>
        <v/>
      </c>
      <c r="O1421" t="str">
        <f>""</f>
        <v/>
      </c>
    </row>
    <row r="1422" spans="1:15" x14ac:dyDescent="0.25">
      <c r="A1422" t="str">
        <f>$A$304</f>
        <v xml:space="preserve">                    Maple Leaf Foods Inc</v>
      </c>
      <c r="B1422" t="str">
        <f>$B$304</f>
        <v>MFI CN Equity</v>
      </c>
      <c r="C1422" t="str">
        <f>$C$304</f>
        <v>F0946</v>
      </c>
      <c r="D1422" t="str">
        <f>$D$304</f>
        <v>TOTAL_GHG_CO2_EMISSIONS</v>
      </c>
      <c r="E1422" t="str">
        <f>$E$304</f>
        <v>Dynamic</v>
      </c>
      <c r="F1422" t="str">
        <f ca="1">_xll.BDH($B$304,$C$304,$B$1130,$B$1131,CONCATENATE("Per=",$B$1128),"Dts=H","Dir=H",CONCATENATE("Points=",$B$1129),"Sort=R","Days=A","Fill=B",CONCATENATE("FX=", $B$1127),"cols=5;rows=1")</f>
        <v/>
      </c>
      <c r="G1422">
        <v>0.32219999999999999</v>
      </c>
      <c r="H1422">
        <v>0.33310000000000001</v>
      </c>
      <c r="I1422">
        <v>0.36609999999999998</v>
      </c>
      <c r="J1422">
        <v>0.1515</v>
      </c>
      <c r="K1422" t="str">
        <f>""</f>
        <v/>
      </c>
      <c r="L1422" t="str">
        <f>""</f>
        <v/>
      </c>
      <c r="M1422" t="str">
        <f>""</f>
        <v/>
      </c>
      <c r="N1422" t="str">
        <f>""</f>
        <v/>
      </c>
      <c r="O1422" t="str">
        <f>""</f>
        <v/>
      </c>
    </row>
    <row r="1423" spans="1:15" x14ac:dyDescent="0.25">
      <c r="A1423" t="str">
        <f>$A$305</f>
        <v xml:space="preserve">                    Mayora Indah Tbk PT</v>
      </c>
      <c r="B1423" t="str">
        <f>$B$305</f>
        <v>MYOR IJ Equity</v>
      </c>
      <c r="C1423" t="str">
        <f>$C$305</f>
        <v>F0946</v>
      </c>
      <c r="D1423" t="str">
        <f>$D$305</f>
        <v>TOTAL_GHG_CO2_EMISSIONS</v>
      </c>
      <c r="E1423" t="str">
        <f>$E$305</f>
        <v>Dynamic</v>
      </c>
      <c r="F1423">
        <f ca="1">_xll.BDH($B$305,$C$305,$B$1130,$B$1131,CONCATENATE("Per=",$B$1128),"Dts=H","Dir=H",CONCATENATE("Points=",$B$1129),"Sort=R","Days=A","Fill=B",CONCATENATE("FX=", $B$1127),"cols=5;rows=1")</f>
        <v>2.86E-2</v>
      </c>
      <c r="K1423" t="str">
        <f>""</f>
        <v/>
      </c>
      <c r="L1423" t="str">
        <f>""</f>
        <v/>
      </c>
      <c r="M1423" t="str">
        <f>""</f>
        <v/>
      </c>
      <c r="N1423" t="str">
        <f>""</f>
        <v/>
      </c>
      <c r="O1423" t="str">
        <f>""</f>
        <v/>
      </c>
    </row>
    <row r="1424" spans="1:15" x14ac:dyDescent="0.25">
      <c r="A1424" t="str">
        <f>$A$306</f>
        <v xml:space="preserve">                    McCormick &amp; Co Inc/MD</v>
      </c>
      <c r="B1424" t="str">
        <f>$B$306</f>
        <v>MKC US Equity</v>
      </c>
      <c r="C1424" t="str">
        <f>$C$306</f>
        <v>F0946</v>
      </c>
      <c r="D1424" t="str">
        <f>$D$306</f>
        <v>TOTAL_GHG_CO2_EMISSIONS</v>
      </c>
      <c r="E1424" t="str">
        <f>$E$306</f>
        <v>Dynamic</v>
      </c>
      <c r="F1424" t="str">
        <f ca="1">_xll.BDH($B$306,$C$306,$B$1130,$B$1131,CONCATENATE("Per=",$B$1128),"Dts=H","Dir=H",CONCATENATE("Points=",$B$1129),"Sort=R","Days=A","Fill=B",CONCATENATE("FX=", $B$1127),"cols=5;rows=1")</f>
        <v/>
      </c>
      <c r="G1424">
        <v>8.8700000000000001E-2</v>
      </c>
      <c r="H1424">
        <v>0.112</v>
      </c>
      <c r="I1424">
        <v>0.1166</v>
      </c>
      <c r="J1424">
        <v>0.1172</v>
      </c>
      <c r="K1424" t="str">
        <f>""</f>
        <v/>
      </c>
      <c r="L1424" t="str">
        <f>""</f>
        <v/>
      </c>
      <c r="M1424" t="str">
        <f>""</f>
        <v/>
      </c>
      <c r="N1424" t="str">
        <f>""</f>
        <v/>
      </c>
      <c r="O1424" t="str">
        <f>""</f>
        <v/>
      </c>
    </row>
    <row r="1425" spans="1:15" x14ac:dyDescent="0.25">
      <c r="A1425" t="str">
        <f>$A$307</f>
        <v xml:space="preserve">                    Morinaga Milk Industry Co Ltd</v>
      </c>
      <c r="B1425" t="str">
        <f>$B$307</f>
        <v>2264 JP Equity</v>
      </c>
      <c r="C1425" t="str">
        <f>$C$307</f>
        <v>F0946</v>
      </c>
      <c r="D1425" t="str">
        <f>$D$307</f>
        <v>TOTAL_GHG_CO2_EMISSIONS</v>
      </c>
      <c r="E1425" t="str">
        <f>$E$307</f>
        <v>Dynamic</v>
      </c>
      <c r="F1425" t="str">
        <f ca="1">_xll.BDH($B$307,$C$307,$B$1130,$B$1131,CONCATENATE("Per=",$B$1128),"Dts=H","Dir=H",CONCATENATE("Points=",$B$1129),"Sort=R","Days=A","Fill=B",CONCATENATE("FX=", $B$1127),"cols=5;rows=1")</f>
        <v/>
      </c>
      <c r="G1425">
        <v>0.30399999999999999</v>
      </c>
      <c r="H1425">
        <v>0.32</v>
      </c>
      <c r="I1425">
        <v>0.35899999999999999</v>
      </c>
      <c r="J1425">
        <v>0.34</v>
      </c>
      <c r="K1425" t="str">
        <f>""</f>
        <v/>
      </c>
      <c r="L1425" t="str">
        <f>""</f>
        <v/>
      </c>
      <c r="M1425" t="str">
        <f>""</f>
        <v/>
      </c>
      <c r="N1425" t="str">
        <f>""</f>
        <v/>
      </c>
      <c r="O1425" t="str">
        <f>""</f>
        <v/>
      </c>
    </row>
    <row r="1426" spans="1:15" x14ac:dyDescent="0.25">
      <c r="A1426" t="str">
        <f>$A$308</f>
        <v xml:space="preserve">                    NH Foods Ltd</v>
      </c>
      <c r="B1426" t="str">
        <f>$B$308</f>
        <v>2282 JP Equity</v>
      </c>
      <c r="C1426" t="str">
        <f>$C$308</f>
        <v>F0946</v>
      </c>
      <c r="D1426" t="str">
        <f>$D$308</f>
        <v>TOTAL_GHG_CO2_EMISSIONS</v>
      </c>
      <c r="E1426" t="str">
        <f>$E$308</f>
        <v>Dynamic</v>
      </c>
      <c r="F1426" t="str">
        <f ca="1">_xll.BDH($B$308,$C$308,$B$1130,$B$1131,CONCATENATE("Per=",$B$1128),"Dts=H","Dir=H",CONCATENATE("Points=",$B$1129),"Sort=R","Days=A","Fill=B",CONCATENATE("FX=", $B$1127),"cols=5;rows=1")</f>
        <v/>
      </c>
      <c r="G1426">
        <v>0.61499999999999999</v>
      </c>
      <c r="H1426">
        <v>0.625</v>
      </c>
      <c r="I1426">
        <v>0.505</v>
      </c>
      <c r="J1426">
        <v>0.51900000000000002</v>
      </c>
      <c r="K1426" t="str">
        <f>""</f>
        <v/>
      </c>
      <c r="L1426" t="str">
        <f>""</f>
        <v/>
      </c>
      <c r="M1426" t="str">
        <f>""</f>
        <v/>
      </c>
      <c r="N1426" t="str">
        <f>""</f>
        <v/>
      </c>
      <c r="O1426" t="str">
        <f>""</f>
        <v/>
      </c>
    </row>
    <row r="1427" spans="1:15" x14ac:dyDescent="0.25">
      <c r="A1427" t="str">
        <f>$A$309</f>
        <v xml:space="preserve">                    Nissin Foods Holdings Co Ltd</v>
      </c>
      <c r="B1427" t="str">
        <f>$B$309</f>
        <v>2897 JP Equity</v>
      </c>
      <c r="C1427" t="str">
        <f>$C$309</f>
        <v>F0946</v>
      </c>
      <c r="D1427" t="str">
        <f>$D$309</f>
        <v>TOTAL_GHG_CO2_EMISSIONS</v>
      </c>
      <c r="E1427" t="str">
        <f>$E$309</f>
        <v>Dynamic</v>
      </c>
      <c r="F1427" t="str">
        <f ca="1">_xll.BDH($B$309,$C$309,$B$1130,$B$1131,CONCATENATE("Per=",$B$1128),"Dts=H","Dir=H",CONCATENATE("Points=",$B$1129),"Sort=R","Days=A","Fill=B",CONCATENATE("FX=", $B$1127),"cols=5;rows=1")</f>
        <v/>
      </c>
      <c r="G1427">
        <v>0.45669999999999999</v>
      </c>
      <c r="H1427">
        <v>0.45129999999999998</v>
      </c>
      <c r="I1427">
        <v>0.42099999999999999</v>
      </c>
      <c r="J1427">
        <v>0.39700000000000002</v>
      </c>
      <c r="K1427" t="str">
        <f>""</f>
        <v/>
      </c>
      <c r="L1427" t="str">
        <f>""</f>
        <v/>
      </c>
      <c r="M1427" t="str">
        <f>""</f>
        <v/>
      </c>
      <c r="N1427" t="str">
        <f>""</f>
        <v/>
      </c>
      <c r="O1427" t="str">
        <f>""</f>
        <v/>
      </c>
    </row>
    <row r="1428" spans="1:15" x14ac:dyDescent="0.25">
      <c r="A1428" t="str">
        <f>$A$310</f>
        <v xml:space="preserve">                    NongShim Co Ltd</v>
      </c>
      <c r="B1428" t="str">
        <f>$B$310</f>
        <v>004370 KS Equity</v>
      </c>
      <c r="C1428" t="str">
        <f>$C$310</f>
        <v>F0946</v>
      </c>
      <c r="D1428" t="str">
        <f>$D$310</f>
        <v>TOTAL_GHG_CO2_EMISSIONS</v>
      </c>
      <c r="E1428" t="str">
        <f>$E$310</f>
        <v>Dynamic</v>
      </c>
      <c r="F1428" t="str">
        <f ca="1">_xll.BDH($B$310,$C$310,$B$1130,$B$1131,CONCATENATE("Per=",$B$1128),"Dts=H","Dir=H",CONCATENATE("Points=",$B$1129),"Sort=R","Days=A","Fill=B",CONCATENATE("FX=", $B$1127),"cols=5;rows=1")</f>
        <v/>
      </c>
      <c r="G1428">
        <v>0.17610000000000001</v>
      </c>
      <c r="H1428">
        <v>0.18509999999999999</v>
      </c>
      <c r="I1428">
        <v>0.1721</v>
      </c>
      <c r="J1428">
        <v>0.17069999999999999</v>
      </c>
      <c r="K1428" t="str">
        <f>""</f>
        <v/>
      </c>
      <c r="L1428" t="str">
        <f>""</f>
        <v/>
      </c>
      <c r="M1428" t="str">
        <f>""</f>
        <v/>
      </c>
      <c r="N1428" t="str">
        <f>""</f>
        <v/>
      </c>
      <c r="O1428" t="str">
        <f>""</f>
        <v/>
      </c>
    </row>
    <row r="1429" spans="1:15" x14ac:dyDescent="0.25">
      <c r="A1429" t="str">
        <f>$A$311</f>
        <v xml:space="preserve">                    Nestle SA</v>
      </c>
      <c r="B1429" t="str">
        <f>$B$311</f>
        <v>NESN SW Equity</v>
      </c>
      <c r="C1429" t="str">
        <f>$C$311</f>
        <v>F0946</v>
      </c>
      <c r="D1429" t="str">
        <f>$D$311</f>
        <v>TOTAL_GHG_CO2_EMISSIONS</v>
      </c>
      <c r="E1429" t="str">
        <f>$E$311</f>
        <v>Dynamic</v>
      </c>
      <c r="F1429" t="str">
        <f ca="1">_xll.BDH($B$311,$C$311,$B$1130,$B$1131,CONCATENATE("Per=",$B$1128),"Dts=H","Dir=H",CONCATENATE("Points=",$B$1129),"Sort=R","Days=A","Fill=B",CONCATENATE("FX=", $B$1127),"cols=5;rows=1")</f>
        <v/>
      </c>
      <c r="G1429">
        <v>5.97</v>
      </c>
      <c r="H1429">
        <v>5.3</v>
      </c>
      <c r="I1429">
        <v>6.4977999999999998</v>
      </c>
      <c r="J1429">
        <v>6.5998000000000001</v>
      </c>
      <c r="K1429" t="str">
        <f>""</f>
        <v/>
      </c>
      <c r="L1429" t="str">
        <f>""</f>
        <v/>
      </c>
      <c r="M1429" t="str">
        <f>""</f>
        <v/>
      </c>
      <c r="N1429" t="str">
        <f>""</f>
        <v/>
      </c>
      <c r="O1429" t="str">
        <f>""</f>
        <v/>
      </c>
    </row>
    <row r="1430" spans="1:15" x14ac:dyDescent="0.25">
      <c r="A1430" t="str">
        <f>$A$312</f>
        <v xml:space="preserve">                    Nichirei Corp</v>
      </c>
      <c r="B1430" t="str">
        <f>$B$312</f>
        <v>2871 JP Equity</v>
      </c>
      <c r="C1430" t="str">
        <f>$C$312</f>
        <v>F0946</v>
      </c>
      <c r="D1430" t="str">
        <f>$D$312</f>
        <v>TOTAL_GHG_CO2_EMISSIONS</v>
      </c>
      <c r="E1430" t="str">
        <f>$E$312</f>
        <v>Dynamic</v>
      </c>
      <c r="F1430" t="str">
        <f ca="1">_xll.BDH($B$312,$C$312,$B$1130,$B$1131,CONCATENATE("Per=",$B$1128),"Dts=H","Dir=H",CONCATENATE("Points=",$B$1129),"Sort=R","Days=A","Fill=B",CONCATENATE("FX=", $B$1127),"cols=5;rows=1")</f>
        <v/>
      </c>
      <c r="G1430">
        <v>0.36919999999999997</v>
      </c>
      <c r="H1430">
        <v>0.3634</v>
      </c>
      <c r="I1430">
        <v>0.2412</v>
      </c>
      <c r="J1430">
        <v>0.26</v>
      </c>
      <c r="K1430" t="str">
        <f>""</f>
        <v/>
      </c>
      <c r="L1430" t="str">
        <f>""</f>
        <v/>
      </c>
      <c r="M1430" t="str">
        <f>""</f>
        <v/>
      </c>
      <c r="N1430" t="str">
        <f>""</f>
        <v/>
      </c>
      <c r="O1430" t="str">
        <f>""</f>
        <v/>
      </c>
    </row>
    <row r="1431" spans="1:15" x14ac:dyDescent="0.25">
      <c r="A1431" t="str">
        <f>$A$313</f>
        <v xml:space="preserve">                    Nippn Corp</v>
      </c>
      <c r="B1431" t="str">
        <f>$B$313</f>
        <v>2001 JP Equity</v>
      </c>
      <c r="C1431" t="str">
        <f>$C$313</f>
        <v>F0946</v>
      </c>
      <c r="D1431" t="str">
        <f>$D$313</f>
        <v>TOTAL_GHG_CO2_EMISSIONS</v>
      </c>
      <c r="E1431" t="str">
        <f>$E$313</f>
        <v>Dynamic</v>
      </c>
      <c r="F1431" t="str">
        <f ca="1">_xll.BDH($B$313,$C$313,$B$1130,$B$1131,CONCATENATE("Per=",$B$1128),"Dts=H","Dir=H",CONCATENATE("Points=",$B$1129),"Sort=R","Days=A","Fill=B",CONCATENATE("FX=", $B$1127),"cols=5;rows=1")</f>
        <v/>
      </c>
      <c r="G1431">
        <v>0.16270000000000001</v>
      </c>
      <c r="H1431">
        <v>0.16</v>
      </c>
      <c r="I1431">
        <v>0.159</v>
      </c>
      <c r="J1431">
        <v>0.155</v>
      </c>
      <c r="K1431" t="str">
        <f>""</f>
        <v/>
      </c>
      <c r="L1431" t="str">
        <f>""</f>
        <v/>
      </c>
      <c r="M1431" t="str">
        <f>""</f>
        <v/>
      </c>
      <c r="N1431" t="str">
        <f>""</f>
        <v/>
      </c>
      <c r="O1431" t="str">
        <f>""</f>
        <v/>
      </c>
    </row>
    <row r="1432" spans="1:15" x14ac:dyDescent="0.25">
      <c r="A1432" t="str">
        <f>$A$314</f>
        <v xml:space="preserve">                    Nissui Corp</v>
      </c>
      <c r="B1432" t="str">
        <f>$B$314</f>
        <v>1332 JP Equity</v>
      </c>
      <c r="C1432" t="str">
        <f>$C$314</f>
        <v>F0946</v>
      </c>
      <c r="D1432" t="str">
        <f>$D$314</f>
        <v>TOTAL_GHG_CO2_EMISSIONS</v>
      </c>
      <c r="E1432" t="str">
        <f>$E$314</f>
        <v>Dynamic</v>
      </c>
      <c r="F1432" t="str">
        <f ca="1">_xll.BDH($B$314,$C$314,$B$1130,$B$1131,CONCATENATE("Per=",$B$1128),"Dts=H","Dir=H",CONCATENATE("Points=",$B$1129),"Sort=R","Days=A","Fill=B",CONCATENATE("FX=", $B$1127),"cols=5;rows=1")</f>
        <v/>
      </c>
      <c r="G1432">
        <v>0.38400000000000001</v>
      </c>
      <c r="H1432">
        <v>0.38650000000000001</v>
      </c>
      <c r="I1432">
        <v>0.39350000000000002</v>
      </c>
      <c r="J1432">
        <v>0.30470000000000003</v>
      </c>
      <c r="K1432" t="str">
        <f>""</f>
        <v/>
      </c>
      <c r="L1432" t="str">
        <f>""</f>
        <v/>
      </c>
      <c r="M1432" t="str">
        <f>""</f>
        <v/>
      </c>
      <c r="N1432" t="str">
        <f>""</f>
        <v/>
      </c>
      <c r="O1432" t="str">
        <f>""</f>
        <v/>
      </c>
    </row>
    <row r="1433" spans="1:15" x14ac:dyDescent="0.25">
      <c r="A1433" t="str">
        <f>$A$315</f>
        <v xml:space="preserve">                    Orion Holdings Corp</v>
      </c>
      <c r="B1433" t="str">
        <f>$B$315</f>
        <v>001800 KS Equity</v>
      </c>
      <c r="C1433" t="str">
        <f>$C$315</f>
        <v>F0946</v>
      </c>
      <c r="D1433" t="str">
        <f>$D$315</f>
        <v>TOTAL_GHG_CO2_EMISSIONS</v>
      </c>
      <c r="E1433" t="str">
        <f>$E$315</f>
        <v>Dynamic</v>
      </c>
      <c r="F1433" t="str">
        <f ca="1">_xll.BDH($B$315,$C$315,$B$1130,$B$1131,CONCATENATE("Per=",$B$1128),"Dts=H","Dir=H",CONCATENATE("Points=",$B$1129),"Sort=R","Days=A","Fill=B",CONCATENATE("FX=", $B$1127) )</f>
        <v/>
      </c>
      <c r="K1433" t="str">
        <f>""</f>
        <v/>
      </c>
      <c r="L1433" t="str">
        <f>""</f>
        <v/>
      </c>
      <c r="M1433" t="str">
        <f>""</f>
        <v/>
      </c>
      <c r="N1433" t="str">
        <f>""</f>
        <v/>
      </c>
      <c r="O1433" t="str">
        <f>""</f>
        <v/>
      </c>
    </row>
    <row r="1434" spans="1:15" x14ac:dyDescent="0.25">
      <c r="A1434" t="str">
        <f>$A$316</f>
        <v xml:space="preserve">                    Orior AG</v>
      </c>
      <c r="B1434" t="str">
        <f>$B$316</f>
        <v>ORON SW Equity</v>
      </c>
      <c r="C1434" t="str">
        <f>$C$316</f>
        <v>F0946</v>
      </c>
      <c r="D1434" t="str">
        <f>$D$316</f>
        <v>TOTAL_GHG_CO2_EMISSIONS</v>
      </c>
      <c r="E1434" t="str">
        <f>$E$316</f>
        <v>Dynamic</v>
      </c>
      <c r="F1434">
        <f ca="1">_xll.BDH($B$316,$C$316,$B$1130,$B$1131,CONCATENATE("Per=",$B$1128),"Dts=H","Dir=H",CONCATENATE("Points=",$B$1129),"Sort=R","Days=A","Fill=B",CONCATENATE("FX=", $B$1127),"cols=5;rows=1")</f>
        <v>1.0699999999999999E-2</v>
      </c>
      <c r="K1434" t="str">
        <f>""</f>
        <v/>
      </c>
      <c r="L1434" t="str">
        <f>""</f>
        <v/>
      </c>
      <c r="M1434" t="str">
        <f>""</f>
        <v/>
      </c>
      <c r="N1434" t="str">
        <f>""</f>
        <v/>
      </c>
      <c r="O1434" t="str">
        <f>""</f>
        <v/>
      </c>
    </row>
    <row r="1435" spans="1:15" x14ac:dyDescent="0.25">
      <c r="A1435" t="str">
        <f>$A$317</f>
        <v xml:space="preserve">                    Post Holdings Inc</v>
      </c>
      <c r="B1435" t="str">
        <f>$B$317</f>
        <v>POST US Equity</v>
      </c>
      <c r="C1435" t="str">
        <f>$C$317</f>
        <v>F0946</v>
      </c>
      <c r="D1435" t="str">
        <f>$D$317</f>
        <v>TOTAL_GHG_CO2_EMISSIONS</v>
      </c>
      <c r="E1435" t="str">
        <f>$E$317</f>
        <v>Dynamic</v>
      </c>
      <c r="F1435" t="str">
        <f ca="1">_xll.BDH($B$317,$C$317,$B$1130,$B$1131,CONCATENATE("Per=",$B$1128),"Dts=H","Dir=H",CONCATENATE("Points=",$B$1129),"Sort=R","Days=A","Fill=B",CONCATENATE("FX=", $B$1127),"cols=5;rows=1")</f>
        <v/>
      </c>
      <c r="G1435">
        <v>0.6724</v>
      </c>
      <c r="H1435">
        <v>0.72670000000000001</v>
      </c>
      <c r="K1435" t="str">
        <f>""</f>
        <v/>
      </c>
      <c r="L1435" t="str">
        <f>""</f>
        <v/>
      </c>
      <c r="M1435" t="str">
        <f>""</f>
        <v/>
      </c>
      <c r="N1435" t="str">
        <f>""</f>
        <v/>
      </c>
      <c r="O1435" t="str">
        <f>""</f>
        <v/>
      </c>
    </row>
    <row r="1436" spans="1:15" x14ac:dyDescent="0.25">
      <c r="A1436" t="str">
        <f>$A$318</f>
        <v xml:space="preserve">                    Premier Foods PLC</v>
      </c>
      <c r="B1436" t="str">
        <f>$B$318</f>
        <v>PFD LN Equity</v>
      </c>
      <c r="C1436" t="str">
        <f>$C$318</f>
        <v>F0946</v>
      </c>
      <c r="D1436" t="str">
        <f>$D$318</f>
        <v>TOTAL_GHG_CO2_EMISSIONS</v>
      </c>
      <c r="E1436" t="str">
        <f>$E$318</f>
        <v>Dynamic</v>
      </c>
      <c r="F1436">
        <f ca="1">_xll.BDH($B$318,$C$318,$B$1130,$B$1131,CONCATENATE("Per=",$B$1128),"Dts=H","Dir=H",CONCATENATE("Points=",$B$1129),"Sort=R","Days=A","Fill=B",CONCATENATE("FX=", $B$1127),"cols=5;rows=1")</f>
        <v>5.1700000000000003E-2</v>
      </c>
      <c r="G1436">
        <v>5.62E-2</v>
      </c>
      <c r="H1436">
        <v>5.91E-2</v>
      </c>
      <c r="I1436">
        <v>6.2700000000000006E-2</v>
      </c>
      <c r="J1436">
        <v>6.6100000000000006E-2</v>
      </c>
      <c r="K1436" t="str">
        <f>""</f>
        <v/>
      </c>
      <c r="L1436" t="str">
        <f>""</f>
        <v/>
      </c>
      <c r="M1436" t="str">
        <f>""</f>
        <v/>
      </c>
      <c r="N1436" t="str">
        <f>""</f>
        <v/>
      </c>
      <c r="O1436" t="str">
        <f>""</f>
        <v/>
      </c>
    </row>
    <row r="1437" spans="1:15" x14ac:dyDescent="0.25">
      <c r="A1437" t="str">
        <f>$A$319</f>
        <v xml:space="preserve">                    Patanjali Foods Ltd</v>
      </c>
      <c r="B1437" t="str">
        <f>$B$319</f>
        <v>PATANJAL IN Equity</v>
      </c>
      <c r="C1437" t="str">
        <f>$C$319</f>
        <v>F0946</v>
      </c>
      <c r="D1437" t="str">
        <f>$D$319</f>
        <v>TOTAL_GHG_CO2_EMISSIONS</v>
      </c>
      <c r="E1437" t="str">
        <f>$E$319</f>
        <v>Dynamic</v>
      </c>
      <c r="F1437" t="str">
        <f ca="1">_xll.BDH($B$319,$C$319,$B$1130,$B$1131,CONCATENATE("Per=",$B$1128),"Dts=H","Dir=H",CONCATENATE("Points=",$B$1129),"Sort=R","Days=A","Fill=B",CONCATENATE("FX=", $B$1127) )</f>
        <v/>
      </c>
      <c r="K1437" t="str">
        <f>""</f>
        <v/>
      </c>
      <c r="L1437" t="str">
        <f>""</f>
        <v/>
      </c>
      <c r="M1437" t="str">
        <f>""</f>
        <v/>
      </c>
      <c r="N1437" t="str">
        <f>""</f>
        <v/>
      </c>
      <c r="O1437" t="str">
        <f>""</f>
        <v/>
      </c>
    </row>
    <row r="1438" spans="1:15" x14ac:dyDescent="0.25">
      <c r="A1438" t="str">
        <f>$A$320</f>
        <v xml:space="preserve">                    PepsiCo Inc</v>
      </c>
      <c r="B1438" t="str">
        <f>$B$320</f>
        <v>PEP US Equity</v>
      </c>
      <c r="C1438" t="str">
        <f>$C$320</f>
        <v>F0946</v>
      </c>
      <c r="D1438" t="str">
        <f>$D$320</f>
        <v>TOTAL_GHG_CO2_EMISSIONS</v>
      </c>
      <c r="E1438" t="str">
        <f>$E$320</f>
        <v>Dynamic</v>
      </c>
      <c r="F1438" t="str">
        <f ca="1">_xll.BDH($B$320,$C$320,$B$1130,$B$1131,CONCATENATE("Per=",$B$1128),"Dts=H","Dir=H",CONCATENATE("Points=",$B$1129),"Sort=R","Days=A","Fill=B",CONCATENATE("FX=", $B$1127),"cols=5;rows=1")</f>
        <v/>
      </c>
      <c r="G1438">
        <v>5.4077999999999999</v>
      </c>
      <c r="H1438">
        <v>5.2723000000000004</v>
      </c>
      <c r="I1438">
        <v>5.1089000000000002</v>
      </c>
      <c r="J1438">
        <v>5.2072000000000003</v>
      </c>
      <c r="K1438" t="str">
        <f>""</f>
        <v/>
      </c>
      <c r="L1438" t="str">
        <f>""</f>
        <v/>
      </c>
      <c r="M1438" t="str">
        <f>""</f>
        <v/>
      </c>
      <c r="N1438" t="str">
        <f>""</f>
        <v/>
      </c>
      <c r="O1438" t="str">
        <f>""</f>
        <v/>
      </c>
    </row>
    <row r="1439" spans="1:15" x14ac:dyDescent="0.25">
      <c r="A1439" t="str">
        <f>$A$321</f>
        <v xml:space="preserve">                    Pilgrim's Pride Corp</v>
      </c>
      <c r="B1439" t="str">
        <f>$B$321</f>
        <v>PPC US Equity</v>
      </c>
      <c r="C1439" t="str">
        <f>$C$321</f>
        <v>F0946</v>
      </c>
      <c r="D1439" t="str">
        <f>$D$321</f>
        <v>TOTAL_GHG_CO2_EMISSIONS</v>
      </c>
      <c r="E1439" t="str">
        <f>$E$321</f>
        <v>Dynamic</v>
      </c>
      <c r="F1439" t="str">
        <f ca="1">_xll.BDH($B$321,$C$321,$B$1130,$B$1131,CONCATENATE("Per=",$B$1128),"Dts=H","Dir=H",CONCATENATE("Points=",$B$1129),"Sort=R","Days=A","Fill=B",CONCATENATE("FX=", $B$1127),"cols=5;rows=1")</f>
        <v/>
      </c>
      <c r="G1439">
        <v>1.4666999999999999</v>
      </c>
      <c r="H1439">
        <v>1.381</v>
      </c>
      <c r="I1439">
        <v>1.3229</v>
      </c>
      <c r="J1439">
        <v>1.1533</v>
      </c>
      <c r="K1439" t="str">
        <f>""</f>
        <v/>
      </c>
      <c r="L1439" t="str">
        <f>""</f>
        <v/>
      </c>
      <c r="M1439" t="str">
        <f>""</f>
        <v/>
      </c>
      <c r="N1439" t="str">
        <f>""</f>
        <v/>
      </c>
      <c r="O1439" t="str">
        <f>""</f>
        <v/>
      </c>
    </row>
    <row r="1440" spans="1:15" x14ac:dyDescent="0.25">
      <c r="A1440" t="str">
        <f>$A$322</f>
        <v xml:space="preserve">                    Chacha Food Co Ltd</v>
      </c>
      <c r="B1440" t="str">
        <f>$B$322</f>
        <v>002557 CH Equity</v>
      </c>
      <c r="C1440" t="str">
        <f>$C$322</f>
        <v>F0946</v>
      </c>
      <c r="D1440" t="str">
        <f>$D$322</f>
        <v>TOTAL_GHG_CO2_EMISSIONS</v>
      </c>
      <c r="E1440" t="str">
        <f>$E$322</f>
        <v>Dynamic</v>
      </c>
      <c r="F1440" t="str">
        <f ca="1">_xll.BDH($B$322,$C$322,$B$1130,$B$1131,CONCATENATE("Per=",$B$1128),"Dts=H","Dir=H",CONCATENATE("Points=",$B$1129),"Sort=R","Days=A","Fill=B",CONCATENATE("FX=", $B$1127) )</f>
        <v/>
      </c>
      <c r="K1440" t="str">
        <f>""</f>
        <v/>
      </c>
      <c r="L1440" t="str">
        <f>""</f>
        <v/>
      </c>
      <c r="M1440" t="str">
        <f>""</f>
        <v/>
      </c>
      <c r="N1440" t="str">
        <f>""</f>
        <v/>
      </c>
      <c r="O1440" t="str">
        <f>""</f>
        <v/>
      </c>
    </row>
    <row r="1441" spans="1:15" x14ac:dyDescent="0.25">
      <c r="A1441" t="str">
        <f>$A$323</f>
        <v xml:space="preserve">                    Remgro Ltd</v>
      </c>
      <c r="B1441" t="str">
        <f>$B$323</f>
        <v>REM SJ Equity</v>
      </c>
      <c r="C1441" t="str">
        <f>$C$323</f>
        <v>F0946</v>
      </c>
      <c r="D1441" t="str">
        <f>$D$323</f>
        <v>TOTAL_GHG_CO2_EMISSIONS</v>
      </c>
      <c r="E1441" t="str">
        <f>$E$323</f>
        <v>Dynamic</v>
      </c>
      <c r="F1441" t="str">
        <f ca="1">_xll.BDH($B$323,$C$323,$B$1130,$B$1131,CONCATENATE("Per=",$B$1128),"Dts=H","Dir=H",CONCATENATE("Points=",$B$1129),"Sort=R","Days=A","Fill=B",CONCATENATE("FX=", $B$1127),"cols=5;rows=1")</f>
        <v/>
      </c>
      <c r="G1441">
        <v>1.0744</v>
      </c>
      <c r="H1441">
        <v>0.84689999999999999</v>
      </c>
      <c r="I1441">
        <v>0.83460000000000001</v>
      </c>
      <c r="J1441">
        <v>1.1574</v>
      </c>
      <c r="K1441" t="str">
        <f>""</f>
        <v/>
      </c>
      <c r="L1441" t="str">
        <f>""</f>
        <v/>
      </c>
      <c r="M1441" t="str">
        <f>""</f>
        <v/>
      </c>
      <c r="N1441" t="str">
        <f>""</f>
        <v/>
      </c>
      <c r="O1441" t="str">
        <f>""</f>
        <v/>
      </c>
    </row>
    <row r="1442" spans="1:15" x14ac:dyDescent="0.25">
      <c r="A1442" t="str">
        <f>$A$324</f>
        <v xml:space="preserve">                    Sanquan Food Co Ltd</v>
      </c>
      <c r="B1442" t="str">
        <f>$B$324</f>
        <v>002216 CH Equity</v>
      </c>
      <c r="C1442" t="str">
        <f>$C$324</f>
        <v>F0946</v>
      </c>
      <c r="D1442" t="str">
        <f>$D$324</f>
        <v>TOTAL_GHG_CO2_EMISSIONS</v>
      </c>
      <c r="E1442" t="str">
        <f>$E$324</f>
        <v>Dynamic</v>
      </c>
      <c r="F1442" t="str">
        <f ca="1">_xll.BDH($B$324,$C$324,$B$1130,$B$1131,CONCATENATE("Per=",$B$1128),"Dts=H","Dir=H",CONCATENATE("Points=",$B$1129),"Sort=R","Days=A","Fill=B",CONCATENATE("FX=", $B$1127) )</f>
        <v/>
      </c>
      <c r="K1442" t="str">
        <f>""</f>
        <v/>
      </c>
      <c r="L1442" t="str">
        <f>""</f>
        <v/>
      </c>
      <c r="M1442" t="str">
        <f>""</f>
        <v/>
      </c>
      <c r="N1442" t="str">
        <f>""</f>
        <v/>
      </c>
      <c r="O1442" t="str">
        <f>""</f>
        <v/>
      </c>
    </row>
    <row r="1443" spans="1:15" x14ac:dyDescent="0.25">
      <c r="A1443" t="str">
        <f>$A$325</f>
        <v xml:space="preserve">                    Saputo Inc</v>
      </c>
      <c r="B1443" t="str">
        <f>$B$325</f>
        <v>SAP CN Equity</v>
      </c>
      <c r="C1443" t="str">
        <f>$C$325</f>
        <v>F0946</v>
      </c>
      <c r="D1443" t="str">
        <f>$D$325</f>
        <v>TOTAL_GHG_CO2_EMISSIONS</v>
      </c>
      <c r="E1443" t="str">
        <f>$E$325</f>
        <v>Dynamic</v>
      </c>
      <c r="F1443" t="str">
        <f ca="1">_xll.BDH($B$325,$C$325,$B$1130,$B$1131,CONCATENATE("Per=",$B$1128),"Dts=H","Dir=H",CONCATENATE("Points=",$B$1129),"Sort=R","Days=A","Fill=B",CONCATENATE("FX=", $B$1127),"cols=5;rows=1")</f>
        <v/>
      </c>
      <c r="G1443">
        <v>1.0114000000000001</v>
      </c>
      <c r="H1443">
        <v>1.0069999999999999</v>
      </c>
      <c r="I1443">
        <v>1.0660000000000001</v>
      </c>
      <c r="J1443">
        <v>1.0002</v>
      </c>
      <c r="K1443" t="str">
        <f>""</f>
        <v/>
      </c>
      <c r="L1443" t="str">
        <f>""</f>
        <v/>
      </c>
      <c r="M1443" t="str">
        <f>""</f>
        <v/>
      </c>
      <c r="N1443" t="str">
        <f>""</f>
        <v/>
      </c>
      <c r="O1443" t="str">
        <f>""</f>
        <v/>
      </c>
    </row>
    <row r="1444" spans="1:15" x14ac:dyDescent="0.25">
      <c r="A1444" t="str">
        <f>$A$326</f>
        <v xml:space="preserve">                    Savencia SA</v>
      </c>
      <c r="B1444" t="str">
        <f>$B$326</f>
        <v>SAVE FP Equity</v>
      </c>
      <c r="C1444" t="str">
        <f>$C$326</f>
        <v>F0946</v>
      </c>
      <c r="D1444" t="str">
        <f>$D$326</f>
        <v>TOTAL_GHG_CO2_EMISSIONS</v>
      </c>
      <c r="E1444" t="str">
        <f>$E$326</f>
        <v>Dynamic</v>
      </c>
      <c r="F1444" t="str">
        <f ca="1">_xll.BDH($B$326,$C$326,$B$1130,$B$1131,CONCATENATE("Per=",$B$1128),"Dts=H","Dir=H",CONCATENATE("Points=",$B$1129),"Sort=R","Days=A","Fill=B",CONCATENATE("FX=", $B$1127) )</f>
        <v/>
      </c>
      <c r="K1444" t="str">
        <f>""</f>
        <v/>
      </c>
      <c r="L1444" t="str">
        <f>""</f>
        <v/>
      </c>
      <c r="M1444" t="str">
        <f>""</f>
        <v/>
      </c>
      <c r="N1444" t="str">
        <f>""</f>
        <v/>
      </c>
      <c r="O1444" t="str">
        <f>""</f>
        <v/>
      </c>
    </row>
    <row r="1445" spans="1:15" x14ac:dyDescent="0.25">
      <c r="A1445" t="str">
        <f>$A$327</f>
        <v xml:space="preserve">                    Shandong Minhe Animal Husbandr</v>
      </c>
      <c r="B1445" t="str">
        <f>$B$327</f>
        <v>002234 CH Equity</v>
      </c>
      <c r="C1445" t="str">
        <f>$C$327</f>
        <v>F0946</v>
      </c>
      <c r="D1445" t="str">
        <f>$D$327</f>
        <v>TOTAL_GHG_CO2_EMISSIONS</v>
      </c>
      <c r="E1445" t="str">
        <f>$E$327</f>
        <v>Dynamic</v>
      </c>
      <c r="F1445" t="str">
        <f ca="1">_xll.BDH($B$327,$C$327,$B$1130,$B$1131,CONCATENATE("Per=",$B$1128),"Dts=H","Dir=H",CONCATENATE("Points=",$B$1129),"Sort=R","Days=A","Fill=B",CONCATENATE("FX=", $B$1127) )</f>
        <v/>
      </c>
      <c r="K1445" t="str">
        <f>""</f>
        <v/>
      </c>
      <c r="L1445" t="str">
        <f>""</f>
        <v/>
      </c>
      <c r="M1445" t="str">
        <f>""</f>
        <v/>
      </c>
      <c r="N1445" t="str">
        <f>""</f>
        <v/>
      </c>
      <c r="O1445" t="str">
        <f>""</f>
        <v/>
      </c>
    </row>
    <row r="1446" spans="1:15" x14ac:dyDescent="0.25">
      <c r="A1446" t="str">
        <f>$A$328</f>
        <v xml:space="preserve">                    Suedzucker AG</v>
      </c>
      <c r="B1446" t="str">
        <f>$B$328</f>
        <v>SZU GR Equity</v>
      </c>
      <c r="C1446" t="str">
        <f>$C$328</f>
        <v>F0946</v>
      </c>
      <c r="D1446" t="str">
        <f>$D$328</f>
        <v>TOTAL_GHG_CO2_EMISSIONS</v>
      </c>
      <c r="E1446" t="str">
        <f>$E$328</f>
        <v>Dynamic</v>
      </c>
      <c r="F1446">
        <f ca="1">_xll.BDH($B$328,$C$328,$B$1130,$B$1131,CONCATENATE("Per=",$B$1128),"Dts=H","Dir=H",CONCATENATE("Points=",$B$1129),"Sort=R","Days=A","Fill=B",CONCATENATE("FX=", $B$1127),"cols=5;rows=1")</f>
        <v>3</v>
      </c>
      <c r="G1446">
        <v>2.9</v>
      </c>
      <c r="H1446">
        <v>3.1</v>
      </c>
      <c r="K1446" t="str">
        <f>""</f>
        <v/>
      </c>
      <c r="L1446" t="str">
        <f>""</f>
        <v/>
      </c>
      <c r="M1446" t="str">
        <f>""</f>
        <v/>
      </c>
      <c r="N1446" t="str">
        <f>""</f>
        <v/>
      </c>
      <c r="O1446" t="str">
        <f>""</f>
        <v/>
      </c>
    </row>
    <row r="1447" spans="1:15" x14ac:dyDescent="0.25">
      <c r="A1447" t="str">
        <f>$A$329</f>
        <v xml:space="preserve">                    Thai Union Group PCL</v>
      </c>
      <c r="B1447" t="str">
        <f>$B$329</f>
        <v>TU TB Equity</v>
      </c>
      <c r="C1447" t="str">
        <f>$C$329</f>
        <v>F0946</v>
      </c>
      <c r="D1447" t="str">
        <f>$D$329</f>
        <v>TOTAL_GHG_CO2_EMISSIONS</v>
      </c>
      <c r="E1447" t="str">
        <f>$E$329</f>
        <v>Dynamic</v>
      </c>
      <c r="F1447" t="str">
        <f ca="1">_xll.BDH($B$329,$C$329,$B$1130,$B$1131,CONCATENATE("Per=",$B$1128),"Dts=H","Dir=H",CONCATENATE("Points=",$B$1129),"Sort=R","Days=A","Fill=B",CONCATENATE("FX=", $B$1127),"cols=5;rows=1")</f>
        <v/>
      </c>
      <c r="G1447">
        <v>0.51160000000000005</v>
      </c>
      <c r="H1447">
        <v>0.4945</v>
      </c>
      <c r="I1447">
        <v>0.51060000000000005</v>
      </c>
      <c r="J1447">
        <v>0.53959999999999997</v>
      </c>
      <c r="K1447" t="str">
        <f>""</f>
        <v/>
      </c>
      <c r="L1447" t="str">
        <f>""</f>
        <v/>
      </c>
      <c r="M1447" t="str">
        <f>""</f>
        <v/>
      </c>
      <c r="N1447" t="str">
        <f>""</f>
        <v/>
      </c>
      <c r="O1447" t="str">
        <f>""</f>
        <v/>
      </c>
    </row>
    <row r="1448" spans="1:15" x14ac:dyDescent="0.25">
      <c r="A1448" t="str">
        <f>$A$330</f>
        <v xml:space="preserve">                    Tiger Brands Ltd</v>
      </c>
      <c r="B1448" t="str">
        <f>$B$330</f>
        <v>TBS SJ Equity</v>
      </c>
      <c r="C1448" t="str">
        <f>$C$330</f>
        <v>F0946</v>
      </c>
      <c r="D1448" t="str">
        <f>$D$330</f>
        <v>TOTAL_GHG_CO2_EMISSIONS</v>
      </c>
      <c r="E1448" t="str">
        <f>$E$330</f>
        <v>Dynamic</v>
      </c>
      <c r="F1448">
        <f ca="1">_xll.BDH($B$330,$C$330,$B$1130,$B$1131,CONCATENATE("Per=",$B$1128),"Dts=H","Dir=H",CONCATENATE("Points=",$B$1129),"Sort=R","Days=A","Fill=B",CONCATENATE("FX=", $B$1127),"cols=5;rows=1")</f>
        <v>0.4173</v>
      </c>
      <c r="G1448">
        <v>0.44119999999999998</v>
      </c>
      <c r="H1448">
        <v>0.63080000000000003</v>
      </c>
      <c r="J1448">
        <v>0.52249999999999996</v>
      </c>
      <c r="K1448" t="str">
        <f>""</f>
        <v/>
      </c>
      <c r="L1448" t="str">
        <f>""</f>
        <v/>
      </c>
      <c r="M1448" t="str">
        <f>""</f>
        <v/>
      </c>
      <c r="N1448" t="str">
        <f>""</f>
        <v/>
      </c>
      <c r="O1448" t="str">
        <f>""</f>
        <v/>
      </c>
    </row>
    <row r="1449" spans="1:15" x14ac:dyDescent="0.25">
      <c r="A1449" t="str">
        <f>$A$331</f>
        <v xml:space="preserve">                    TreeHouse Foods Inc</v>
      </c>
      <c r="B1449" t="str">
        <f>$B$331</f>
        <v>THS US Equity</v>
      </c>
      <c r="C1449" t="str">
        <f>$C$331</f>
        <v>F0946</v>
      </c>
      <c r="D1449" t="str">
        <f>$D$331</f>
        <v>TOTAL_GHG_CO2_EMISSIONS</v>
      </c>
      <c r="E1449" t="str">
        <f>$E$331</f>
        <v>Dynamic</v>
      </c>
      <c r="F1449" t="str">
        <f ca="1">_xll.BDH($B$331,$C$331,$B$1130,$B$1131,CONCATENATE("Per=",$B$1128),"Dts=H","Dir=H",CONCATENATE("Points=",$B$1129),"Sort=R","Days=A","Fill=B",CONCATENATE("FX=", $B$1127),"cols=5;rows=1")</f>
        <v/>
      </c>
      <c r="G1449">
        <v>0.36009999999999998</v>
      </c>
      <c r="H1449">
        <v>0.38200000000000001</v>
      </c>
      <c r="I1449">
        <v>0.40899999999999997</v>
      </c>
      <c r="J1449">
        <v>0.45090000000000002</v>
      </c>
      <c r="K1449" t="str">
        <f>""</f>
        <v/>
      </c>
      <c r="L1449" t="str">
        <f>""</f>
        <v/>
      </c>
      <c r="M1449" t="str">
        <f>""</f>
        <v/>
      </c>
      <c r="N1449" t="str">
        <f>""</f>
        <v/>
      </c>
      <c r="O1449" t="str">
        <f>""</f>
        <v/>
      </c>
    </row>
    <row r="1450" spans="1:15" x14ac:dyDescent="0.25">
      <c r="A1450" t="str">
        <f>$A$332</f>
        <v xml:space="preserve">                    Tootsie Roll Industries Inc</v>
      </c>
      <c r="B1450" t="str">
        <f>$B$332</f>
        <v>TR US Equity</v>
      </c>
      <c r="C1450" t="str">
        <f>$C$332</f>
        <v>F0946</v>
      </c>
      <c r="D1450" t="str">
        <f>$D$332</f>
        <v>TOTAL_GHG_CO2_EMISSIONS</v>
      </c>
      <c r="E1450" t="str">
        <f>$E$332</f>
        <v>Dynamic</v>
      </c>
      <c r="F1450" t="str">
        <f ca="1">_xll.BDH($B$332,$C$332,$B$1130,$B$1131,CONCATENATE("Per=",$B$1128),"Dts=H","Dir=H",CONCATENATE("Points=",$B$1129),"Sort=R","Days=A","Fill=B",CONCATENATE("FX=", $B$1127) )</f>
        <v/>
      </c>
      <c r="K1450" t="str">
        <f>""</f>
        <v/>
      </c>
      <c r="L1450" t="str">
        <f>""</f>
        <v/>
      </c>
      <c r="M1450" t="str">
        <f>""</f>
        <v/>
      </c>
      <c r="N1450" t="str">
        <f>""</f>
        <v/>
      </c>
      <c r="O1450" t="str">
        <f>""</f>
        <v/>
      </c>
    </row>
    <row r="1451" spans="1:15" x14ac:dyDescent="0.25">
      <c r="A1451" t="str">
        <f>$A$333</f>
        <v xml:space="preserve">                    Toyo Suisan Kaisha Ltd</v>
      </c>
      <c r="B1451" t="str">
        <f>$B$333</f>
        <v>2875 JP Equity</v>
      </c>
      <c r="C1451" t="str">
        <f>$C$333</f>
        <v>F0946</v>
      </c>
      <c r="D1451" t="str">
        <f>$D$333</f>
        <v>TOTAL_GHG_CO2_EMISSIONS</v>
      </c>
      <c r="E1451" t="str">
        <f>$E$333</f>
        <v>Dynamic</v>
      </c>
      <c r="F1451" t="str">
        <f ca="1">_xll.BDH($B$333,$C$333,$B$1130,$B$1131,CONCATENATE("Per=",$B$1128),"Dts=H","Dir=H",CONCATENATE("Points=",$B$1129),"Sort=R","Days=A","Fill=B",CONCATENATE("FX=", $B$1127),"cols=5;rows=1")</f>
        <v/>
      </c>
      <c r="G1451">
        <v>0.313</v>
      </c>
      <c r="H1451">
        <v>0.2873</v>
      </c>
      <c r="I1451">
        <v>0.31900000000000001</v>
      </c>
      <c r="J1451">
        <v>0.32100000000000001</v>
      </c>
      <c r="K1451" t="str">
        <f>""</f>
        <v/>
      </c>
      <c r="L1451" t="str">
        <f>""</f>
        <v/>
      </c>
      <c r="M1451" t="str">
        <f>""</f>
        <v/>
      </c>
      <c r="N1451" t="str">
        <f>""</f>
        <v/>
      </c>
      <c r="O1451" t="str">
        <f>""</f>
        <v/>
      </c>
    </row>
    <row r="1452" spans="1:15" x14ac:dyDescent="0.25">
      <c r="A1452" t="str">
        <f>$A$334</f>
        <v xml:space="preserve">                    Tyson Foods Inc</v>
      </c>
      <c r="B1452" t="str">
        <f>$B$334</f>
        <v>TSN US Equity</v>
      </c>
      <c r="C1452" t="str">
        <f>$C$334</f>
        <v>F0946</v>
      </c>
      <c r="D1452" t="str">
        <f>$D$334</f>
        <v>TOTAL_GHG_CO2_EMISSIONS</v>
      </c>
      <c r="E1452" t="str">
        <f>$E$334</f>
        <v>Dynamic</v>
      </c>
      <c r="F1452" t="str">
        <f ca="1">_xll.BDH($B$334,$C$334,$B$1130,$B$1131,CONCATENATE("Per=",$B$1128),"Dts=H","Dir=H",CONCATENATE("Points=",$B$1129),"Sort=R","Days=A","Fill=B",CONCATENATE("FX=", $B$1127),"cols=5;rows=1")</f>
        <v/>
      </c>
      <c r="G1452">
        <v>5.7826000000000004</v>
      </c>
      <c r="H1452">
        <v>6.1746999999999996</v>
      </c>
      <c r="I1452">
        <v>5.7370999999999999</v>
      </c>
      <c r="J1452">
        <v>6.2236000000000002</v>
      </c>
      <c r="K1452" t="str">
        <f>""</f>
        <v/>
      </c>
      <c r="L1452" t="str">
        <f>""</f>
        <v/>
      </c>
      <c r="M1452" t="str">
        <f>""</f>
        <v/>
      </c>
      <c r="N1452" t="str">
        <f>""</f>
        <v/>
      </c>
      <c r="O1452" t="str">
        <f>""</f>
        <v/>
      </c>
    </row>
    <row r="1453" spans="1:15" x14ac:dyDescent="0.25">
      <c r="A1453" t="str">
        <f>$A$335</f>
        <v xml:space="preserve">                    Ulker Biskuvi Sanayi AS</v>
      </c>
      <c r="B1453" t="str">
        <f>$B$335</f>
        <v>ULKER TI Equity</v>
      </c>
      <c r="C1453" t="str">
        <f>$C$335</f>
        <v>F0946</v>
      </c>
      <c r="D1453" t="str">
        <f>$D$335</f>
        <v>TOTAL_GHG_CO2_EMISSIONS</v>
      </c>
      <c r="E1453" t="str">
        <f>$E$335</f>
        <v>Dynamic</v>
      </c>
      <c r="F1453" t="str">
        <f ca="1">_xll.BDH($B$335,$C$335,$B$1130,$B$1131,CONCATENATE("Per=",$B$1128),"Dts=H","Dir=H",CONCATENATE("Points=",$B$1129),"Sort=R","Days=A","Fill=B",CONCATENATE("FX=", $B$1127),"cols=5;rows=1")</f>
        <v/>
      </c>
      <c r="G1453">
        <v>0.15210000000000001</v>
      </c>
      <c r="H1453">
        <v>0.1762</v>
      </c>
      <c r="I1453">
        <v>0.14319999999999999</v>
      </c>
      <c r="J1453">
        <v>0.14230000000000001</v>
      </c>
      <c r="K1453" t="str">
        <f>""</f>
        <v/>
      </c>
      <c r="L1453" t="str">
        <f>""</f>
        <v/>
      </c>
      <c r="M1453" t="str">
        <f>""</f>
        <v/>
      </c>
      <c r="N1453" t="str">
        <f>""</f>
        <v/>
      </c>
      <c r="O1453" t="str">
        <f>""</f>
        <v/>
      </c>
    </row>
    <row r="1454" spans="1:15" x14ac:dyDescent="0.25">
      <c r="A1454" t="str">
        <f>$A$336</f>
        <v xml:space="preserve">                    Vietnam Dairy Products JSC</v>
      </c>
      <c r="B1454" t="str">
        <f>$B$336</f>
        <v>VNM VN Equity</v>
      </c>
      <c r="C1454" t="str">
        <f>$C$336</f>
        <v>F0946</v>
      </c>
      <c r="D1454" t="str">
        <f>$D$336</f>
        <v>TOTAL_GHG_CO2_EMISSIONS</v>
      </c>
      <c r="E1454" t="str">
        <f>$E$336</f>
        <v>Dynamic</v>
      </c>
      <c r="F1454">
        <f ca="1">_xll.BDH($B$336,$C$336,$B$1130,$B$1131,CONCATENATE("Per=",$B$1128),"Dts=H","Dir=H",CONCATENATE("Points=",$B$1129),"Sort=R","Days=A","Fill=B",CONCATENATE("FX=", $B$1127),"cols=5;rows=1")</f>
        <v>0.26619999999999999</v>
      </c>
      <c r="G1454">
        <v>0.26500000000000001</v>
      </c>
      <c r="H1454">
        <v>0.22459999999999999</v>
      </c>
      <c r="I1454">
        <v>0.20649999999999999</v>
      </c>
      <c r="J1454">
        <v>0.1923</v>
      </c>
      <c r="K1454" t="str">
        <f>""</f>
        <v/>
      </c>
      <c r="L1454" t="str">
        <f>""</f>
        <v/>
      </c>
      <c r="M1454" t="str">
        <f>""</f>
        <v/>
      </c>
      <c r="N1454" t="str">
        <f>""</f>
        <v/>
      </c>
      <c r="O1454" t="str">
        <f>""</f>
        <v/>
      </c>
    </row>
    <row r="1455" spans="1:15" x14ac:dyDescent="0.25">
      <c r="A1455" t="str">
        <f>$A$337</f>
        <v xml:space="preserve">                    WH Group Ltd</v>
      </c>
      <c r="B1455" t="str">
        <f>$B$337</f>
        <v>288 HK Equity</v>
      </c>
      <c r="C1455" t="str">
        <f>$C$337</f>
        <v>F0946</v>
      </c>
      <c r="D1455" t="str">
        <f>$D$337</f>
        <v>TOTAL_GHG_CO2_EMISSIONS</v>
      </c>
      <c r="E1455" t="str">
        <f>$E$337</f>
        <v>Dynamic</v>
      </c>
      <c r="F1455">
        <f ca="1">_xll.BDH($B$337,$C$337,$B$1130,$B$1131,CONCATENATE("Per=",$B$1128),"Dts=H","Dir=H",CONCATENATE("Points=",$B$1129),"Sort=R","Days=A","Fill=B",CONCATENATE("FX=", $B$1127),"cols=5;rows=1")</f>
        <v>5.5442999999999998</v>
      </c>
      <c r="G1455">
        <v>2.5836000000000001</v>
      </c>
      <c r="H1455">
        <v>2.5626000000000002</v>
      </c>
      <c r="I1455">
        <v>2.6162999999999998</v>
      </c>
      <c r="J1455">
        <v>2.6326000000000001</v>
      </c>
      <c r="K1455" t="str">
        <f>""</f>
        <v/>
      </c>
      <c r="L1455" t="str">
        <f>""</f>
        <v/>
      </c>
      <c r="M1455" t="str">
        <f>""</f>
        <v/>
      </c>
      <c r="N1455" t="str">
        <f>""</f>
        <v/>
      </c>
      <c r="O1455" t="str">
        <f>""</f>
        <v/>
      </c>
    </row>
    <row r="1456" spans="1:15" x14ac:dyDescent="0.25">
      <c r="A1456" t="str">
        <f>$A$338</f>
        <v xml:space="preserve">                    Want Want China Holdings Ltd</v>
      </c>
      <c r="B1456" t="str">
        <f>$B$338</f>
        <v>151 HK Equity</v>
      </c>
      <c r="C1456" t="str">
        <f>$C$338</f>
        <v>F0946</v>
      </c>
      <c r="D1456" t="str">
        <f>$D$338</f>
        <v>TOTAL_GHG_CO2_EMISSIONS</v>
      </c>
      <c r="E1456" t="str">
        <f>$E$338</f>
        <v>Dynamic</v>
      </c>
      <c r="F1456" t="str">
        <f ca="1">_xll.BDH($B$338,$C$338,$B$1130,$B$1131,CONCATENATE("Per=",$B$1128),"Dts=H","Dir=H",CONCATENATE("Points=",$B$1129),"Sort=R","Days=A","Fill=B",CONCATENATE("FX=", $B$1127),"cols=5;rows=1")</f>
        <v/>
      </c>
      <c r="H1456">
        <v>0.55000000000000004</v>
      </c>
      <c r="I1456">
        <v>0.52349999999999997</v>
      </c>
      <c r="J1456">
        <v>0.57089999999999996</v>
      </c>
      <c r="K1456" t="str">
        <f>""</f>
        <v/>
      </c>
      <c r="L1456" t="str">
        <f>""</f>
        <v/>
      </c>
      <c r="M1456" t="str">
        <f>""</f>
        <v/>
      </c>
      <c r="N1456" t="str">
        <f>""</f>
        <v/>
      </c>
      <c r="O1456" t="str">
        <f>""</f>
        <v/>
      </c>
    </row>
    <row r="1457" spans="1:15" x14ac:dyDescent="0.25">
      <c r="A1457" t="str">
        <f>$A$339</f>
        <v xml:space="preserve">                    Yamazaki Baking Co Ltd</v>
      </c>
      <c r="B1457" t="str">
        <f>$B$339</f>
        <v>2212 JP Equity</v>
      </c>
      <c r="C1457" t="str">
        <f>$C$339</f>
        <v>F0946</v>
      </c>
      <c r="D1457" t="str">
        <f>$D$339</f>
        <v>TOTAL_GHG_CO2_EMISSIONS</v>
      </c>
      <c r="E1457" t="str">
        <f>$E$339</f>
        <v>Dynamic</v>
      </c>
      <c r="F1457" t="str">
        <f ca="1">_xll.BDH($B$339,$C$339,$B$1130,$B$1131,CONCATENATE("Per=",$B$1128),"Dts=H","Dir=H",CONCATENATE("Points=",$B$1129),"Sort=R","Days=A","Fill=B",CONCATENATE("FX=", $B$1127),"cols=5;rows=1")</f>
        <v/>
      </c>
      <c r="G1457">
        <v>0.71099999999999997</v>
      </c>
      <c r="H1457">
        <v>0.72</v>
      </c>
      <c r="I1457">
        <v>0.82599999999999996</v>
      </c>
      <c r="J1457">
        <v>0.85699999999999998</v>
      </c>
      <c r="K1457" t="str">
        <f>""</f>
        <v/>
      </c>
      <c r="L1457" t="str">
        <f>""</f>
        <v/>
      </c>
      <c r="M1457" t="str">
        <f>""</f>
        <v/>
      </c>
      <c r="N1457" t="str">
        <f>""</f>
        <v/>
      </c>
      <c r="O1457" t="str">
        <f>""</f>
        <v/>
      </c>
    </row>
    <row r="1458" spans="1:15" x14ac:dyDescent="0.25">
      <c r="A1458" t="str">
        <f>$A$342</f>
        <v xml:space="preserve">                    Seven &amp; i Holdings Co Ltd</v>
      </c>
      <c r="B1458" t="str">
        <f>$B$342</f>
        <v>3382 JP Equity</v>
      </c>
      <c r="C1458" t="str">
        <f>$C$342</f>
        <v>F0946</v>
      </c>
      <c r="D1458" t="str">
        <f>$D$342</f>
        <v>TOTAL_GHG_CO2_EMISSIONS</v>
      </c>
      <c r="E1458" t="str">
        <f>$E$342</f>
        <v>Dynamic</v>
      </c>
      <c r="F1458" t="str">
        <f ca="1">_xll.BDH($B$342,$C$342,$B$1130,$B$1131,CONCATENATE("Per=",$B$1128),"Dts=H","Dir=H",CONCATENATE("Points=",$B$1129),"Sort=R","Days=A","Fill=B",CONCATENATE("FX=", $B$1127),"cols=5;rows=1")</f>
        <v/>
      </c>
      <c r="G1458">
        <v>2.9708999999999999</v>
      </c>
      <c r="H1458">
        <v>2.7688999999999999</v>
      </c>
      <c r="I1458">
        <v>3.0470999999999999</v>
      </c>
      <c r="K1458" t="str">
        <f>""</f>
        <v/>
      </c>
      <c r="L1458" t="str">
        <f>""</f>
        <v/>
      </c>
      <c r="M1458" t="str">
        <f>""</f>
        <v/>
      </c>
      <c r="N1458" t="str">
        <f>""</f>
        <v/>
      </c>
      <c r="O1458" t="str">
        <f>""</f>
        <v/>
      </c>
    </row>
    <row r="1459" spans="1:15" x14ac:dyDescent="0.25">
      <c r="A1459" t="str">
        <f>$A$343</f>
        <v xml:space="preserve">                    Aeon Co Ltd</v>
      </c>
      <c r="B1459" t="str">
        <f>$B$343</f>
        <v>8267 JP Equity</v>
      </c>
      <c r="C1459" t="str">
        <f>$C$343</f>
        <v>F0946</v>
      </c>
      <c r="D1459" t="str">
        <f>$D$343</f>
        <v>TOTAL_GHG_CO2_EMISSIONS</v>
      </c>
      <c r="E1459" t="str">
        <f>$E$343</f>
        <v>Dynamic</v>
      </c>
      <c r="F1459" t="str">
        <f ca="1">_xll.BDH($B$343,$C$343,$B$1130,$B$1131,CONCATENATE("Per=",$B$1128),"Dts=H","Dir=H",CONCATENATE("Points=",$B$1129),"Sort=R","Days=A","Fill=B",CONCATENATE("FX=", $B$1127),"cols=5;rows=1")</f>
        <v/>
      </c>
      <c r="G1459">
        <v>2.9683000000000002</v>
      </c>
      <c r="H1459">
        <v>3.0167999999999999</v>
      </c>
      <c r="J1459">
        <v>2.4112</v>
      </c>
      <c r="K1459" t="str">
        <f>""</f>
        <v/>
      </c>
      <c r="L1459" t="str">
        <f>""</f>
        <v/>
      </c>
      <c r="M1459" t="str">
        <f>""</f>
        <v/>
      </c>
      <c r="N1459" t="str">
        <f>""</f>
        <v/>
      </c>
      <c r="O1459" t="str">
        <f>""</f>
        <v/>
      </c>
    </row>
    <row r="1460" spans="1:15" x14ac:dyDescent="0.25">
      <c r="A1460" t="str">
        <f>$A$344</f>
        <v xml:space="preserve">                    Alma Market SA</v>
      </c>
      <c r="B1460" t="str">
        <f>$B$344</f>
        <v>ALM PW Equity</v>
      </c>
      <c r="C1460" t="str">
        <f>$C$344</f>
        <v>F0946</v>
      </c>
      <c r="D1460" t="str">
        <f>$D$344</f>
        <v>TOTAL_GHG_CO2_EMISSIONS</v>
      </c>
      <c r="E1460" t="str">
        <f>$E$344</f>
        <v>Dynamic</v>
      </c>
      <c r="F1460" t="str">
        <f ca="1">_xll.BDH($B$344,$C$344,$B$1130,$B$1131,CONCATENATE("Per=",$B$1128),"Dts=H","Dir=H",CONCATENATE("Points=",$B$1129),"Sort=R","Days=A","Fill=B",CONCATENATE("FX=", $B$1127) )</f>
        <v/>
      </c>
      <c r="K1460" t="str">
        <f>""</f>
        <v/>
      </c>
      <c r="L1460" t="str">
        <f>""</f>
        <v/>
      </c>
      <c r="M1460" t="str">
        <f>""</f>
        <v/>
      </c>
      <c r="N1460" t="str">
        <f>""</f>
        <v/>
      </c>
      <c r="O1460" t="str">
        <f>""</f>
        <v/>
      </c>
    </row>
    <row r="1461" spans="1:15" x14ac:dyDescent="0.25">
      <c r="A1461" t="str">
        <f>$A$345</f>
        <v xml:space="preserve">                    Almacenes Exito SA</v>
      </c>
      <c r="B1461" t="str">
        <f>$B$345</f>
        <v>EXITO CB Equity</v>
      </c>
      <c r="C1461" t="str">
        <f>$C$345</f>
        <v>F0946</v>
      </c>
      <c r="D1461" t="str">
        <f>$D$345</f>
        <v>TOTAL_GHG_CO2_EMISSIONS</v>
      </c>
      <c r="E1461" t="str">
        <f>$E$345</f>
        <v>Dynamic</v>
      </c>
      <c r="F1461" t="str">
        <f ca="1">_xll.BDH($B$345,$C$345,$B$1130,$B$1131,CONCATENATE("Per=",$B$1128),"Dts=H","Dir=H",CONCATENATE("Points=",$B$1129),"Sort=R","Days=A","Fill=B",CONCATENATE("FX=", $B$1127),"cols=5;rows=1")</f>
        <v/>
      </c>
      <c r="G1461">
        <v>0.21010000000000001</v>
      </c>
      <c r="H1461">
        <v>0.26729999999999998</v>
      </c>
      <c r="I1461">
        <v>0.31519999999999998</v>
      </c>
      <c r="J1461">
        <v>0.28299999999999997</v>
      </c>
      <c r="K1461" t="str">
        <f>""</f>
        <v/>
      </c>
      <c r="L1461" t="str">
        <f>""</f>
        <v/>
      </c>
      <c r="M1461" t="str">
        <f>""</f>
        <v/>
      </c>
      <c r="N1461" t="str">
        <f>""</f>
        <v/>
      </c>
      <c r="O1461" t="str">
        <f>""</f>
        <v/>
      </c>
    </row>
    <row r="1462" spans="1:15" x14ac:dyDescent="0.25">
      <c r="A1462" t="str">
        <f>$A$346</f>
        <v xml:space="preserve">                    Arcs Co Ltd</v>
      </c>
      <c r="B1462" t="str">
        <f>$B$346</f>
        <v>9948 JP Equity</v>
      </c>
      <c r="C1462" t="str">
        <f>$C$346</f>
        <v>F0946</v>
      </c>
      <c r="D1462" t="str">
        <f>$D$346</f>
        <v>TOTAL_GHG_CO2_EMISSIONS</v>
      </c>
      <c r="E1462" t="str">
        <f>$E$346</f>
        <v>Dynamic</v>
      </c>
      <c r="F1462" t="str">
        <f ca="1">_xll.BDH($B$346,$C$346,$B$1130,$B$1131,CONCATENATE("Per=",$B$1128),"Dts=H","Dir=H",CONCATENATE("Points=",$B$1129),"Sort=R","Days=A","Fill=B",CONCATENATE("FX=", $B$1127) )</f>
        <v/>
      </c>
      <c r="K1462" t="str">
        <f>""</f>
        <v/>
      </c>
      <c r="L1462" t="str">
        <f>""</f>
        <v/>
      </c>
      <c r="M1462" t="str">
        <f>""</f>
        <v/>
      </c>
      <c r="N1462" t="str">
        <f>""</f>
        <v/>
      </c>
      <c r="O1462" t="str">
        <f>""</f>
        <v/>
      </c>
    </row>
    <row r="1463" spans="1:15" x14ac:dyDescent="0.25">
      <c r="A1463" t="str">
        <f>$A$347</f>
        <v xml:space="preserve">                    Asda Stores Ltd</v>
      </c>
      <c r="B1463" t="str">
        <f>$B$347</f>
        <v>1313666Z LN Equity</v>
      </c>
      <c r="C1463" t="str">
        <f>$C$347</f>
        <v>F0946</v>
      </c>
      <c r="D1463" t="str">
        <f>$D$347</f>
        <v>TOTAL_GHG_CO2_EMISSIONS</v>
      </c>
      <c r="E1463" t="str">
        <f>$E$347</f>
        <v>Dynamic</v>
      </c>
      <c r="F1463" t="str">
        <f ca="1">_xll.BDH($B$347,$C$347,$B$1130,$B$1131,CONCATENATE("Per=",$B$1128),"Dts=H","Dir=H",CONCATENATE("Points=",$B$1129),"Sort=R","Days=A","Fill=B",CONCATENATE("FX=", $B$1127) )</f>
        <v/>
      </c>
      <c r="K1463" t="str">
        <f>""</f>
        <v/>
      </c>
      <c r="L1463" t="str">
        <f>""</f>
        <v/>
      </c>
      <c r="M1463" t="str">
        <f>""</f>
        <v/>
      </c>
      <c r="N1463" t="str">
        <f>""</f>
        <v/>
      </c>
      <c r="O1463" t="str">
        <f>""</f>
        <v/>
      </c>
    </row>
    <row r="1464" spans="1:15" x14ac:dyDescent="0.25">
      <c r="A1464" t="str">
        <f>$A$348</f>
        <v xml:space="preserve">                    Atacadao SA</v>
      </c>
      <c r="B1464" t="str">
        <f>$B$348</f>
        <v>CRFB3 BZ Equity</v>
      </c>
      <c r="C1464" t="str">
        <f>$C$348</f>
        <v>F0946</v>
      </c>
      <c r="D1464" t="str">
        <f>$D$348</f>
        <v>TOTAL_GHG_CO2_EMISSIONS</v>
      </c>
      <c r="E1464" t="str">
        <f>$E$348</f>
        <v>Dynamic</v>
      </c>
      <c r="F1464" t="str">
        <f ca="1">_xll.BDH($B$348,$C$348,$B$1130,$B$1131,CONCATENATE("Per=",$B$1128),"Dts=H","Dir=H",CONCATENATE("Points=",$B$1129),"Sort=R","Days=A","Fill=B",CONCATENATE("FX=", $B$1127),"cols=5;rows=1")</f>
        <v/>
      </c>
      <c r="G1464">
        <v>0.28839999999999999</v>
      </c>
      <c r="H1464">
        <v>0.14410000000000001</v>
      </c>
      <c r="I1464">
        <v>0.14330000000000001</v>
      </c>
      <c r="K1464" t="str">
        <f>""</f>
        <v/>
      </c>
      <c r="L1464" t="str">
        <f>""</f>
        <v/>
      </c>
      <c r="M1464" t="str">
        <f>""</f>
        <v/>
      </c>
      <c r="N1464" t="str">
        <f>""</f>
        <v/>
      </c>
      <c r="O1464" t="str">
        <f>""</f>
        <v/>
      </c>
    </row>
    <row r="1465" spans="1:15" x14ac:dyDescent="0.25">
      <c r="A1465" t="str">
        <f>$A$349</f>
        <v xml:space="preserve">                    ELO SACA</v>
      </c>
      <c r="B1465" t="str">
        <f>$B$349</f>
        <v>211642Z FP Equity</v>
      </c>
      <c r="C1465" t="str">
        <f>$C$349</f>
        <v>F0946</v>
      </c>
      <c r="D1465" t="str">
        <f>$D$349</f>
        <v>TOTAL_GHG_CO2_EMISSIONS</v>
      </c>
      <c r="E1465" t="str">
        <f>$E$349</f>
        <v>Dynamic</v>
      </c>
      <c r="F1465" t="str">
        <f ca="1">_xll.BDH($B$349,$C$349,$B$1130,$B$1131,CONCATENATE("Per=",$B$1128),"Dts=H","Dir=H",CONCATENATE("Points=",$B$1129),"Sort=R","Days=A","Fill=B",CONCATENATE("FX=", $B$1127) )</f>
        <v/>
      </c>
      <c r="K1465" t="str">
        <f>""</f>
        <v/>
      </c>
      <c r="L1465" t="str">
        <f>""</f>
        <v/>
      </c>
      <c r="M1465" t="str">
        <f>""</f>
        <v/>
      </c>
      <c r="N1465" t="str">
        <f>""</f>
        <v/>
      </c>
      <c r="O1465" t="str">
        <f>""</f>
        <v/>
      </c>
    </row>
    <row r="1466" spans="1:15" x14ac:dyDescent="0.25">
      <c r="A1466" t="str">
        <f>$A$350</f>
        <v xml:space="preserve">                    Alimentation Couche-Tard Inc</v>
      </c>
      <c r="B1466" t="str">
        <f>$B$350</f>
        <v>ATD CN Equity</v>
      </c>
      <c r="C1466" t="str">
        <f>$C$350</f>
        <v>F0946</v>
      </c>
      <c r="D1466" t="str">
        <f>$D$350</f>
        <v>TOTAL_GHG_CO2_EMISSIONS</v>
      </c>
      <c r="E1466" t="str">
        <f>$E$350</f>
        <v>Dynamic</v>
      </c>
      <c r="F1466" t="str">
        <f ca="1">_xll.BDH($B$350,$C$350,$B$1130,$B$1131,CONCATENATE("Per=",$B$1128),"Dts=H","Dir=H",CONCATENATE("Points=",$B$1129),"Sort=R","Days=A","Fill=B",CONCATENATE("FX=", $B$1127),"cols=5;rows=1")</f>
        <v/>
      </c>
      <c r="G1466">
        <v>0.85150000000000003</v>
      </c>
      <c r="H1466">
        <v>0.82699999999999996</v>
      </c>
      <c r="I1466">
        <v>0.84109999999999996</v>
      </c>
      <c r="J1466">
        <v>0.93230000000000002</v>
      </c>
      <c r="K1466" t="str">
        <f>""</f>
        <v/>
      </c>
      <c r="L1466" t="str">
        <f>""</f>
        <v/>
      </c>
      <c r="M1466" t="str">
        <f>""</f>
        <v/>
      </c>
      <c r="N1466" t="str">
        <f>""</f>
        <v/>
      </c>
      <c r="O1466" t="str">
        <f>""</f>
        <v/>
      </c>
    </row>
    <row r="1467" spans="1:15" x14ac:dyDescent="0.25">
      <c r="A1467" t="str">
        <f>$A$351</f>
        <v xml:space="preserve">                    Axfood AB</v>
      </c>
      <c r="B1467" t="str">
        <f>$B$351</f>
        <v>AXFO SS Equity</v>
      </c>
      <c r="C1467" t="str">
        <f>$C$351</f>
        <v>F0946</v>
      </c>
      <c r="D1467" t="str">
        <f>$D$351</f>
        <v>TOTAL_GHG_CO2_EMISSIONS</v>
      </c>
      <c r="E1467" t="str">
        <f>$E$351</f>
        <v>Dynamic</v>
      </c>
      <c r="F1467">
        <f ca="1">_xll.BDH($B$351,$C$351,$B$1130,$B$1131,CONCATENATE("Per=",$B$1128),"Dts=H","Dir=H",CONCATENATE("Points=",$B$1129),"Sort=R","Days=A","Fill=B",CONCATENATE("FX=", $B$1127),"cols=5;rows=1")</f>
        <v>3.2899999999999999E-2</v>
      </c>
      <c r="G1467">
        <v>3.4700000000000002E-2</v>
      </c>
      <c r="H1467">
        <v>3.1699999999999999E-2</v>
      </c>
      <c r="I1467">
        <v>3.3700000000000001E-2</v>
      </c>
      <c r="J1467">
        <v>2.1399999999999999E-2</v>
      </c>
      <c r="K1467" t="str">
        <f>""</f>
        <v/>
      </c>
      <c r="L1467" t="str">
        <f>""</f>
        <v/>
      </c>
      <c r="M1467" t="str">
        <f>""</f>
        <v/>
      </c>
      <c r="N1467" t="str">
        <f>""</f>
        <v/>
      </c>
      <c r="O1467" t="str">
        <f>""</f>
        <v/>
      </c>
    </row>
    <row r="1468" spans="1:15" x14ac:dyDescent="0.25">
      <c r="A1468" t="str">
        <f>$A$352</f>
        <v xml:space="preserve">                    B&amp;M European Value Retail SA</v>
      </c>
      <c r="B1468" t="str">
        <f>$B$352</f>
        <v>BME LN Equity</v>
      </c>
      <c r="C1468" t="str">
        <f>$C$352</f>
        <v>F0946</v>
      </c>
      <c r="D1468" t="str">
        <f>$D$352</f>
        <v>TOTAL_GHG_CO2_EMISSIONS</v>
      </c>
      <c r="E1468" t="str">
        <f>$E$352</f>
        <v>Dynamic</v>
      </c>
      <c r="F1468">
        <f ca="1">_xll.BDH($B$352,$C$352,$B$1130,$B$1131,CONCATENATE("Per=",$B$1128),"Dts=H","Dir=H",CONCATENATE("Points=",$B$1129),"Sort=R","Days=A","Fill=B",CONCATENATE("FX=", $B$1127),"cols=5;rows=1")</f>
        <v>9.11E-2</v>
      </c>
      <c r="G1468">
        <v>9.6799999999999997E-2</v>
      </c>
      <c r="H1468">
        <v>0.11749999999999999</v>
      </c>
      <c r="I1468">
        <v>0.1227</v>
      </c>
      <c r="J1468">
        <v>0.1225</v>
      </c>
      <c r="K1468" t="str">
        <f>""</f>
        <v/>
      </c>
      <c r="L1468" t="str">
        <f>""</f>
        <v/>
      </c>
      <c r="M1468" t="str">
        <f>""</f>
        <v/>
      </c>
      <c r="N1468" t="str">
        <f>""</f>
        <v/>
      </c>
      <c r="O1468" t="str">
        <f>""</f>
        <v/>
      </c>
    </row>
    <row r="1469" spans="1:15" x14ac:dyDescent="0.25">
      <c r="A1469" t="str">
        <f>$A$353</f>
        <v xml:space="preserve">                    Innovation New Material Techno</v>
      </c>
      <c r="B1469" t="str">
        <f>$B$353</f>
        <v>600361 CH Equity</v>
      </c>
      <c r="C1469" t="str">
        <f>$C$353</f>
        <v>F0946</v>
      </c>
      <c r="D1469" t="str">
        <f>$D$353</f>
        <v>TOTAL_GHG_CO2_EMISSIONS</v>
      </c>
      <c r="E1469" t="str">
        <f>$E$353</f>
        <v>Dynamic</v>
      </c>
      <c r="F1469" t="str">
        <f ca="1">_xll.BDH($B$353,$C$353,$B$1130,$B$1131,CONCATENATE("Per=",$B$1128),"Dts=H","Dir=H",CONCATENATE("Points=",$B$1129),"Sort=R","Days=A","Fill=B",CONCATENATE("FX=", $B$1127) )</f>
        <v/>
      </c>
      <c r="K1469" t="str">
        <f>""</f>
        <v/>
      </c>
      <c r="L1469" t="str">
        <f>""</f>
        <v/>
      </c>
      <c r="M1469" t="str">
        <f>""</f>
        <v/>
      </c>
      <c r="N1469" t="str">
        <f>""</f>
        <v/>
      </c>
      <c r="O1469" t="str">
        <f>""</f>
        <v/>
      </c>
    </row>
    <row r="1470" spans="1:15" x14ac:dyDescent="0.25">
      <c r="A1470" t="str">
        <f>$A$354</f>
        <v xml:space="preserve">                    BGF Co Ltd</v>
      </c>
      <c r="B1470" t="str">
        <f>$B$354</f>
        <v>027410 KS Equity</v>
      </c>
      <c r="C1470" t="str">
        <f>$C$354</f>
        <v>F0946</v>
      </c>
      <c r="D1470" t="str">
        <f>$D$354</f>
        <v>TOTAL_GHG_CO2_EMISSIONS</v>
      </c>
      <c r="E1470" t="str">
        <f>$E$354</f>
        <v>Dynamic</v>
      </c>
      <c r="F1470" t="str">
        <f ca="1">_xll.BDH($B$354,$C$354,$B$1130,$B$1131,CONCATENATE("Per=",$B$1128),"Dts=H","Dir=H",CONCATENATE("Points=",$B$1129),"Sort=R","Days=A","Fill=B",CONCATENATE("FX=", $B$1127),"cols=5;rows=1")</f>
        <v/>
      </c>
      <c r="I1470">
        <v>6.9999999999999999E-4</v>
      </c>
      <c r="K1470" t="str">
        <f>""</f>
        <v/>
      </c>
      <c r="L1470" t="str">
        <f>""</f>
        <v/>
      </c>
      <c r="M1470" t="str">
        <f>""</f>
        <v/>
      </c>
      <c r="N1470" t="str">
        <f>""</f>
        <v/>
      </c>
      <c r="O1470" t="str">
        <f>""</f>
        <v/>
      </c>
    </row>
    <row r="1471" spans="1:15" x14ac:dyDescent="0.25">
      <c r="A1471" t="str">
        <f>$A$355</f>
        <v xml:space="preserve">                    BIM Birlesik Magazalar AS</v>
      </c>
      <c r="B1471" t="str">
        <f>$B$355</f>
        <v>BIMAS TI Equity</v>
      </c>
      <c r="C1471" t="str">
        <f>$C$355</f>
        <v>F0946</v>
      </c>
      <c r="D1471" t="str">
        <f>$D$355</f>
        <v>TOTAL_GHG_CO2_EMISSIONS</v>
      </c>
      <c r="E1471" t="str">
        <f>$E$355</f>
        <v>Dynamic</v>
      </c>
      <c r="F1471" t="str">
        <f ca="1">_xll.BDH($B$355,$C$355,$B$1130,$B$1131,CONCATENATE("Per=",$B$1128),"Dts=H","Dir=H",CONCATENATE("Points=",$B$1129),"Sort=R","Days=A","Fill=B",CONCATENATE("FX=", $B$1127),"cols=5;rows=1")</f>
        <v/>
      </c>
      <c r="G1471">
        <v>0.51749999999999996</v>
      </c>
      <c r="H1471">
        <v>0.48699999999999999</v>
      </c>
      <c r="I1471">
        <v>0.46289999999999998</v>
      </c>
      <c r="K1471" t="str">
        <f>""</f>
        <v/>
      </c>
      <c r="L1471" t="str">
        <f>""</f>
        <v/>
      </c>
      <c r="M1471" t="str">
        <f>""</f>
        <v/>
      </c>
      <c r="N1471" t="str">
        <f>""</f>
        <v/>
      </c>
      <c r="O1471" t="str">
        <f>""</f>
        <v/>
      </c>
    </row>
    <row r="1472" spans="1:15" x14ac:dyDescent="0.25">
      <c r="A1472" t="str">
        <f>$A$356</f>
        <v xml:space="preserve">                    Brookshire Grocery Co</v>
      </c>
      <c r="B1472" t="str">
        <f>$B$356</f>
        <v>87264Z US Equity</v>
      </c>
      <c r="C1472" t="str">
        <f>$C$356</f>
        <v>F0946</v>
      </c>
      <c r="D1472" t="str">
        <f>$D$356</f>
        <v>TOTAL_GHG_CO2_EMISSIONS</v>
      </c>
      <c r="E1472" t="str">
        <f>$E$356</f>
        <v>Dynamic</v>
      </c>
      <c r="F1472" t="str">
        <f ca="1">_xll.BDH($B$356,$C$356,$B$1130,$B$1131,CONCATENATE("Per=",$B$1128),"Dts=H","Dir=H",CONCATENATE("Points=",$B$1129),"Sort=R","Days=A","Fill=B",CONCATENATE("FX=", $B$1127) )</f>
        <v/>
      </c>
      <c r="K1472" t="str">
        <f>""</f>
        <v/>
      </c>
      <c r="L1472" t="str">
        <f>""</f>
        <v/>
      </c>
      <c r="M1472" t="str">
        <f>""</f>
        <v/>
      </c>
      <c r="N1472" t="str">
        <f>""</f>
        <v/>
      </c>
      <c r="O1472" t="str">
        <f>""</f>
        <v/>
      </c>
    </row>
    <row r="1473" spans="1:15" x14ac:dyDescent="0.25">
      <c r="A1473" t="str">
        <f>$A$357</f>
        <v xml:space="preserve">                    Cia Brasileira de Distribuicao</v>
      </c>
      <c r="B1473" t="str">
        <f>$B$357</f>
        <v>PCAR3 BZ Equity</v>
      </c>
      <c r="C1473" t="str">
        <f>$C$357</f>
        <v>F0946</v>
      </c>
      <c r="D1473" t="str">
        <f>$D$357</f>
        <v>TOTAL_GHG_CO2_EMISSIONS</v>
      </c>
      <c r="E1473" t="str">
        <f>$E$357</f>
        <v>Dynamic</v>
      </c>
      <c r="F1473" t="str">
        <f ca="1">_xll.BDH($B$357,$C$357,$B$1130,$B$1131,CONCATENATE("Per=",$B$1128),"Dts=H","Dir=H",CONCATENATE("Points=",$B$1129),"Sort=R","Days=A","Fill=B",CONCATENATE("FX=", $B$1127),"cols=5;rows=1")</f>
        <v/>
      </c>
      <c r="G1473">
        <v>0.72499999999999998</v>
      </c>
      <c r="H1473">
        <v>0.23669999999999999</v>
      </c>
      <c r="I1473">
        <v>0.26879999999999998</v>
      </c>
      <c r="J1473">
        <v>0.17710000000000001</v>
      </c>
      <c r="K1473" t="str">
        <f>""</f>
        <v/>
      </c>
      <c r="L1473" t="str">
        <f>""</f>
        <v/>
      </c>
      <c r="M1473" t="str">
        <f>""</f>
        <v/>
      </c>
      <c r="N1473" t="str">
        <f>""</f>
        <v/>
      </c>
      <c r="O1473" t="str">
        <f>""</f>
        <v/>
      </c>
    </row>
    <row r="1474" spans="1:15" x14ac:dyDescent="0.25">
      <c r="A1474" t="str">
        <f>$A$358</f>
        <v xml:space="preserve">                    Coles Group Ltd</v>
      </c>
      <c r="B1474" t="str">
        <f>$B$358</f>
        <v>COL AU Equity</v>
      </c>
      <c r="C1474" t="str">
        <f>$C$358</f>
        <v>F0946</v>
      </c>
      <c r="D1474" t="str">
        <f>$D$358</f>
        <v>TOTAL_GHG_CO2_EMISSIONS</v>
      </c>
      <c r="E1474" t="str">
        <f>$E$358</f>
        <v>Dynamic</v>
      </c>
      <c r="F1474" t="str">
        <f ca="1">_xll.BDH($B$358,$C$358,$B$1130,$B$1131,CONCATENATE("Per=",$B$1128),"Dts=H","Dir=H",CONCATENATE("Points=",$B$1129),"Sort=R","Days=A","Fill=B",CONCATENATE("FX=", $B$1127),"cols=5;rows=1")</f>
        <v/>
      </c>
      <c r="G1474">
        <v>1.5356000000000001</v>
      </c>
      <c r="H1474">
        <v>1.5790999999999999</v>
      </c>
      <c r="I1474">
        <v>1.5961000000000001</v>
      </c>
      <c r="J1474">
        <v>1.6168</v>
      </c>
      <c r="K1474" t="str">
        <f>""</f>
        <v/>
      </c>
      <c r="L1474" t="str">
        <f>""</f>
        <v/>
      </c>
      <c r="M1474" t="str">
        <f>""</f>
        <v/>
      </c>
      <c r="N1474" t="str">
        <f>""</f>
        <v/>
      </c>
      <c r="O1474" t="str">
        <f>""</f>
        <v/>
      </c>
    </row>
    <row r="1475" spans="1:15" x14ac:dyDescent="0.25">
      <c r="A1475" t="str">
        <f>$A$359</f>
        <v xml:space="preserve">                    Costco Wholesale Corp</v>
      </c>
      <c r="B1475" t="str">
        <f>$B$359</f>
        <v>COST US Equity</v>
      </c>
      <c r="C1475" t="str">
        <f>$C$359</f>
        <v>F0946</v>
      </c>
      <c r="D1475" t="str">
        <f>$D$359</f>
        <v>TOTAL_GHG_CO2_EMISSIONS</v>
      </c>
      <c r="E1475" t="str">
        <f>$E$359</f>
        <v>Dynamic</v>
      </c>
      <c r="F1475" t="str">
        <f ca="1">_xll.BDH($B$359,$C$359,$B$1130,$B$1131,CONCATENATE("Per=",$B$1128),"Dts=H","Dir=H",CONCATENATE("Points=",$B$1129),"Sort=R","Days=A","Fill=B",CONCATENATE("FX=", $B$1127),"cols=5;rows=1")</f>
        <v/>
      </c>
      <c r="G1475">
        <v>2.6471</v>
      </c>
      <c r="H1475">
        <v>2.6629999999999998</v>
      </c>
      <c r="I1475">
        <v>2.5823999999999998</v>
      </c>
      <c r="J1475">
        <v>2.5084</v>
      </c>
      <c r="K1475" t="str">
        <f>""</f>
        <v/>
      </c>
      <c r="L1475" t="str">
        <f>""</f>
        <v/>
      </c>
      <c r="M1475" t="str">
        <f>""</f>
        <v/>
      </c>
      <c r="N1475" t="str">
        <f>""</f>
        <v/>
      </c>
      <c r="O1475" t="str">
        <f>""</f>
        <v/>
      </c>
    </row>
    <row r="1476" spans="1:15" x14ac:dyDescent="0.25">
      <c r="A1476" t="str">
        <f>$A$360</f>
        <v xml:space="preserve">                    CP ALL PCL</v>
      </c>
      <c r="B1476" t="str">
        <f>$B$360</f>
        <v>CPALL TB Equity</v>
      </c>
      <c r="C1476" t="str">
        <f>$C$360</f>
        <v>F0946</v>
      </c>
      <c r="D1476" t="str">
        <f>$D$360</f>
        <v>TOTAL_GHG_CO2_EMISSIONS</v>
      </c>
      <c r="E1476" t="str">
        <f>$E$360</f>
        <v>Dynamic</v>
      </c>
      <c r="F1476" t="str">
        <f ca="1">_xll.BDH($B$360,$C$360,$B$1130,$B$1131,CONCATENATE("Per=",$B$1128),"Dts=H","Dir=H",CONCATENATE("Points=",$B$1129),"Sort=R","Days=A","Fill=B",CONCATENATE("FX=", $B$1127),"cols=5;rows=1")</f>
        <v/>
      </c>
      <c r="G1476">
        <v>1.4316</v>
      </c>
      <c r="H1476">
        <v>1.1880999999999999</v>
      </c>
      <c r="I1476">
        <v>1.4004000000000001</v>
      </c>
      <c r="J1476">
        <v>1.286</v>
      </c>
      <c r="K1476" t="str">
        <f>""</f>
        <v/>
      </c>
      <c r="L1476" t="str">
        <f>""</f>
        <v/>
      </c>
      <c r="M1476" t="str">
        <f>""</f>
        <v/>
      </c>
      <c r="N1476" t="str">
        <f>""</f>
        <v/>
      </c>
      <c r="O1476" t="str">
        <f>""</f>
        <v/>
      </c>
    </row>
    <row r="1477" spans="1:15" x14ac:dyDescent="0.25">
      <c r="A1477" t="str">
        <f>$A$361</f>
        <v xml:space="preserve">                    Carrefour SA</v>
      </c>
      <c r="B1477" t="str">
        <f>$B$361</f>
        <v>CA FP Equity</v>
      </c>
      <c r="C1477" t="str">
        <f>$C$361</f>
        <v>F0946</v>
      </c>
      <c r="D1477" t="str">
        <f>$D$361</f>
        <v>TOTAL_GHG_CO2_EMISSIONS</v>
      </c>
      <c r="E1477" t="str">
        <f>$E$361</f>
        <v>Dynamic</v>
      </c>
      <c r="F1477">
        <f ca="1">_xll.BDH($B$361,$C$361,$B$1130,$B$1131,CONCATENATE("Per=",$B$1128),"Dts=H","Dir=H",CONCATENATE("Points=",$B$1129),"Sort=R","Days=A","Fill=B",CONCATENATE("FX=", $B$1127),"cols=5;rows=1")</f>
        <v>1.2130000000000001</v>
      </c>
      <c r="G1477">
        <v>1.4282999999999999</v>
      </c>
      <c r="H1477">
        <v>1.6637999999999999</v>
      </c>
      <c r="I1477">
        <v>1.833</v>
      </c>
      <c r="J1477">
        <v>2.5621</v>
      </c>
      <c r="K1477" t="str">
        <f>""</f>
        <v/>
      </c>
      <c r="L1477" t="str">
        <f>""</f>
        <v/>
      </c>
      <c r="M1477" t="str">
        <f>""</f>
        <v/>
      </c>
      <c r="N1477" t="str">
        <f>""</f>
        <v/>
      </c>
      <c r="O1477" t="str">
        <f>""</f>
        <v/>
      </c>
    </row>
    <row r="1478" spans="1:15" x14ac:dyDescent="0.25">
      <c r="A1478" t="str">
        <f>$A$362</f>
        <v xml:space="preserve">                    Casino Guichard Perrachon SA</v>
      </c>
      <c r="B1478" t="str">
        <f>$B$362</f>
        <v>CO FP Equity</v>
      </c>
      <c r="C1478" t="str">
        <f>$C$362</f>
        <v>F0946</v>
      </c>
      <c r="D1478" t="str">
        <f>$D$362</f>
        <v>TOTAL_GHG_CO2_EMISSIONS</v>
      </c>
      <c r="E1478" t="str">
        <f>$E$362</f>
        <v>Dynamic</v>
      </c>
      <c r="F1478">
        <f ca="1">_xll.BDH($B$362,$C$362,$B$1130,$B$1131,CONCATENATE("Per=",$B$1128),"Dts=H","Dir=H",CONCATENATE("Points=",$B$1129),"Sort=R","Days=A","Fill=B",CONCATENATE("FX=", $B$1127),"cols=5;rows=1")</f>
        <v>1.0249999999999999</v>
      </c>
      <c r="G1478">
        <v>1.3089999999999999</v>
      </c>
      <c r="H1478">
        <v>1.4810000000000001</v>
      </c>
      <c r="I1478">
        <v>1.4683999999999999</v>
      </c>
      <c r="J1478">
        <v>1.4172</v>
      </c>
      <c r="K1478" t="str">
        <f>""</f>
        <v/>
      </c>
      <c r="L1478" t="str">
        <f>""</f>
        <v/>
      </c>
      <c r="M1478" t="str">
        <f>""</f>
        <v/>
      </c>
      <c r="N1478" t="str">
        <f>""</f>
        <v/>
      </c>
      <c r="O1478" t="str">
        <f>""</f>
        <v/>
      </c>
    </row>
    <row r="1479" spans="1:15" x14ac:dyDescent="0.25">
      <c r="A1479" t="str">
        <f>$A$363</f>
        <v xml:space="preserve">                    Etablissements Franz Colruyt N</v>
      </c>
      <c r="B1479" t="str">
        <f>$B$363</f>
        <v>COLR BB Equity</v>
      </c>
      <c r="C1479" t="str">
        <f>$C$363</f>
        <v>F0946</v>
      </c>
      <c r="D1479" t="str">
        <f>$D$363</f>
        <v>TOTAL_GHG_CO2_EMISSIONS</v>
      </c>
      <c r="E1479" t="str">
        <f>$E$363</f>
        <v>Dynamic</v>
      </c>
      <c r="F1479" t="str">
        <f ca="1">_xll.BDH($B$363,$C$363,$B$1130,$B$1131,CONCATENATE("Per=",$B$1128),"Dts=H","Dir=H",CONCATENATE("Points=",$B$1129),"Sort=R","Days=A","Fill=B",CONCATENATE("FX=", $B$1127) )</f>
        <v/>
      </c>
      <c r="K1479" t="str">
        <f>""</f>
        <v/>
      </c>
      <c r="L1479" t="str">
        <f>""</f>
        <v/>
      </c>
      <c r="M1479" t="str">
        <f>""</f>
        <v/>
      </c>
      <c r="N1479" t="str">
        <f>""</f>
        <v/>
      </c>
      <c r="O1479" t="str">
        <f>""</f>
        <v/>
      </c>
    </row>
    <row r="1480" spans="1:15" x14ac:dyDescent="0.25">
      <c r="A1480" t="str">
        <f>$A$364</f>
        <v xml:space="preserve">                    Daikokutenbussan Co Ltd</v>
      </c>
      <c r="B1480" t="str">
        <f>$B$364</f>
        <v>2791 JP Equity</v>
      </c>
      <c r="C1480" t="str">
        <f>$C$364</f>
        <v>F0946</v>
      </c>
      <c r="D1480" t="str">
        <f>$D$364</f>
        <v>TOTAL_GHG_CO2_EMISSIONS</v>
      </c>
      <c r="E1480" t="str">
        <f>$E$364</f>
        <v>Dynamic</v>
      </c>
      <c r="F1480" t="str">
        <f ca="1">_xll.BDH($B$364,$C$364,$B$1130,$B$1131,CONCATENATE("Per=",$B$1128),"Dts=H","Dir=H",CONCATENATE("Points=",$B$1129),"Sort=R","Days=A","Fill=B",CONCATENATE("FX=", $B$1127) )</f>
        <v/>
      </c>
      <c r="K1480" t="str">
        <f>""</f>
        <v/>
      </c>
      <c r="L1480" t="str">
        <f>""</f>
        <v/>
      </c>
      <c r="M1480" t="str">
        <f>""</f>
        <v/>
      </c>
      <c r="N1480" t="str">
        <f>""</f>
        <v/>
      </c>
      <c r="O1480" t="str">
        <f>""</f>
        <v/>
      </c>
    </row>
    <row r="1481" spans="1:15" x14ac:dyDescent="0.25">
      <c r="A1481" t="str">
        <f>$A$365</f>
        <v xml:space="preserve">                    Distribuidora Internacional de</v>
      </c>
      <c r="B1481" t="str">
        <f>$B$365</f>
        <v>DIA SM Equity</v>
      </c>
      <c r="C1481" t="str">
        <f>$C$365</f>
        <v>F0946</v>
      </c>
      <c r="D1481" t="str">
        <f>$D$365</f>
        <v>TOTAL_GHG_CO2_EMISSIONS</v>
      </c>
      <c r="E1481" t="str">
        <f>$E$365</f>
        <v>Dynamic</v>
      </c>
      <c r="F1481">
        <f ca="1">_xll.BDH($B$365,$C$365,$B$1130,$B$1131,CONCATENATE("Per=",$B$1128),"Dts=H","Dir=H",CONCATENATE("Points=",$B$1129),"Sort=R","Days=A","Fill=B",CONCATENATE("FX=", $B$1127),"cols=5;rows=1")</f>
        <v>0.6663</v>
      </c>
      <c r="G1481">
        <v>0.64880000000000004</v>
      </c>
      <c r="H1481">
        <v>0.62039999999999995</v>
      </c>
      <c r="I1481">
        <v>0.61899999999999999</v>
      </c>
      <c r="J1481">
        <v>0.7228</v>
      </c>
      <c r="K1481" t="str">
        <f>""</f>
        <v/>
      </c>
      <c r="L1481" t="str">
        <f>""</f>
        <v/>
      </c>
      <c r="M1481" t="str">
        <f>""</f>
        <v/>
      </c>
      <c r="N1481" t="str">
        <f>""</f>
        <v/>
      </c>
      <c r="O1481" t="str">
        <f>""</f>
        <v/>
      </c>
    </row>
    <row r="1482" spans="1:15" x14ac:dyDescent="0.25">
      <c r="A1482" t="str">
        <f>$A$366</f>
        <v xml:space="preserve">                    Dollar Tree Inc</v>
      </c>
      <c r="B1482" t="str">
        <f>$B$366</f>
        <v>DLTR US Equity</v>
      </c>
      <c r="C1482" t="str">
        <f>$C$366</f>
        <v>F0946</v>
      </c>
      <c r="D1482" t="str">
        <f>$D$366</f>
        <v>TOTAL_GHG_CO2_EMISSIONS</v>
      </c>
      <c r="E1482" t="str">
        <f>$E$366</f>
        <v>Dynamic</v>
      </c>
      <c r="F1482">
        <f ca="1">_xll.BDH($B$366,$C$366,$B$1130,$B$1131,CONCATENATE("Per=",$B$1128),"Dts=H","Dir=H",CONCATENATE("Points=",$B$1129),"Sort=R","Days=A","Fill=B",CONCATENATE("FX=", $B$1127),"cols=5;rows=1")</f>
        <v>1.3635999999999999</v>
      </c>
      <c r="G1482">
        <v>1.1432</v>
      </c>
      <c r="H1482">
        <v>1.3726</v>
      </c>
      <c r="K1482" t="str">
        <f>""</f>
        <v/>
      </c>
      <c r="L1482" t="str">
        <f>""</f>
        <v/>
      </c>
      <c r="M1482" t="str">
        <f>""</f>
        <v/>
      </c>
      <c r="N1482" t="str">
        <f>""</f>
        <v/>
      </c>
      <c r="O1482" t="str">
        <f>""</f>
        <v/>
      </c>
    </row>
    <row r="1483" spans="1:15" x14ac:dyDescent="0.25">
      <c r="A1483" t="str">
        <f>$A$367</f>
        <v xml:space="preserve">                    Dollarama Inc</v>
      </c>
      <c r="B1483" t="str">
        <f>$B$367</f>
        <v>DOL CN Equity</v>
      </c>
      <c r="C1483" t="str">
        <f>$C$367</f>
        <v>F0946</v>
      </c>
      <c r="D1483" t="str">
        <f>$D$367</f>
        <v>TOTAL_GHG_CO2_EMISSIONS</v>
      </c>
      <c r="E1483" t="str">
        <f>$E$367</f>
        <v>Dynamic</v>
      </c>
      <c r="F1483">
        <f ca="1">_xll.BDH($B$367,$C$367,$B$1130,$B$1131,CONCATENATE("Per=",$B$1128),"Dts=H","Dir=H",CONCATENATE("Points=",$B$1129),"Sort=R","Days=A","Fill=B",CONCATENATE("FX=", $B$1127),"cols=5;rows=1")</f>
        <v>8.5900000000000004E-2</v>
      </c>
      <c r="G1483">
        <v>8.9899999999999994E-2</v>
      </c>
      <c r="H1483">
        <v>8.5599999999999996E-2</v>
      </c>
      <c r="I1483">
        <v>7.7600000000000002E-2</v>
      </c>
      <c r="K1483" t="str">
        <f>""</f>
        <v/>
      </c>
      <c r="L1483" t="str">
        <f>""</f>
        <v/>
      </c>
      <c r="M1483" t="str">
        <f>""</f>
        <v/>
      </c>
      <c r="N1483" t="str">
        <f>""</f>
        <v/>
      </c>
      <c r="O1483" t="str">
        <f>""</f>
        <v/>
      </c>
    </row>
    <row r="1484" spans="1:15" x14ac:dyDescent="0.25">
      <c r="A1484" t="str">
        <f>$A$368</f>
        <v xml:space="preserve">                    DFI Retail Group Holdings Ltd</v>
      </c>
      <c r="B1484" t="str">
        <f>$B$368</f>
        <v>DFI SP Equity</v>
      </c>
      <c r="C1484" t="str">
        <f>$C$368</f>
        <v>F0946</v>
      </c>
      <c r="D1484" t="str">
        <f>$D$368</f>
        <v>TOTAL_GHG_CO2_EMISSIONS</v>
      </c>
      <c r="E1484" t="str">
        <f>$E$368</f>
        <v>Dynamic</v>
      </c>
      <c r="F1484">
        <f ca="1">_xll.BDH($B$368,$C$368,$B$1130,$B$1131,CONCATENATE("Per=",$B$1128),"Dts=H","Dir=H",CONCATENATE("Points=",$B$1129),"Sort=R","Days=A","Fill=B",CONCATENATE("FX=", $B$1127),"cols=5;rows=1")</f>
        <v>0.77700000000000002</v>
      </c>
      <c r="G1484">
        <v>0.86499999999999999</v>
      </c>
      <c r="K1484" t="str">
        <f>""</f>
        <v/>
      </c>
      <c r="L1484" t="str">
        <f>""</f>
        <v/>
      </c>
      <c r="M1484" t="str">
        <f>""</f>
        <v/>
      </c>
      <c r="N1484" t="str">
        <f>""</f>
        <v/>
      </c>
      <c r="O1484" t="str">
        <f>""</f>
        <v/>
      </c>
    </row>
    <row r="1485" spans="1:15" x14ac:dyDescent="0.25">
      <c r="A1485" t="str">
        <f>$A$369</f>
        <v xml:space="preserve">                    Dino Polska SA</v>
      </c>
      <c r="B1485" t="str">
        <f>$B$369</f>
        <v>DNP PW Equity</v>
      </c>
      <c r="C1485" t="str">
        <f>$C$369</f>
        <v>F0946</v>
      </c>
      <c r="D1485" t="str">
        <f>$D$369</f>
        <v>TOTAL_GHG_CO2_EMISSIONS</v>
      </c>
      <c r="E1485" t="str">
        <f>$E$369</f>
        <v>Dynamic</v>
      </c>
      <c r="F1485">
        <f ca="1">_xll.BDH($B$369,$C$369,$B$1130,$B$1131,CONCATENATE("Per=",$B$1128),"Dts=H","Dir=H",CONCATENATE("Points=",$B$1129),"Sort=R","Days=A","Fill=B",CONCATENATE("FX=", $B$1127),"cols=5;rows=1")</f>
        <v>0.24429999999999999</v>
      </c>
      <c r="G1485">
        <v>0.25690000000000002</v>
      </c>
      <c r="K1485" t="str">
        <f>""</f>
        <v/>
      </c>
      <c r="L1485" t="str">
        <f>""</f>
        <v/>
      </c>
      <c r="M1485" t="str">
        <f>""</f>
        <v/>
      </c>
      <c r="N1485" t="str">
        <f>""</f>
        <v/>
      </c>
      <c r="O1485" t="str">
        <f>""</f>
        <v/>
      </c>
    </row>
    <row r="1486" spans="1:15" x14ac:dyDescent="0.25">
      <c r="A1486" t="str">
        <f>$A$370</f>
        <v xml:space="preserve">                    Dollar General Corp</v>
      </c>
      <c r="B1486" t="str">
        <f>$B$370</f>
        <v>DG US Equity</v>
      </c>
      <c r="C1486" t="str">
        <f>$C$370</f>
        <v>F0946</v>
      </c>
      <c r="D1486" t="str">
        <f>$D$370</f>
        <v>TOTAL_GHG_CO2_EMISSIONS</v>
      </c>
      <c r="E1486" t="str">
        <f>$E$370</f>
        <v>Dynamic</v>
      </c>
      <c r="F1486" t="str">
        <f ca="1">_xll.BDH($B$370,$C$370,$B$1130,$B$1131,CONCATENATE("Per=",$B$1128),"Dts=H","Dir=H",CONCATENATE("Points=",$B$1129),"Sort=R","Days=A","Fill=B",CONCATENATE("FX=", $B$1127),"cols=5;rows=1")</f>
        <v/>
      </c>
      <c r="G1486">
        <v>1.7678</v>
      </c>
      <c r="H1486">
        <v>1.623</v>
      </c>
      <c r="I1486">
        <v>1.4622999999999999</v>
      </c>
      <c r="K1486" t="str">
        <f>""</f>
        <v/>
      </c>
      <c r="L1486" t="str">
        <f>""</f>
        <v/>
      </c>
      <c r="M1486" t="str">
        <f>""</f>
        <v/>
      </c>
      <c r="N1486" t="str">
        <f>""</f>
        <v/>
      </c>
      <c r="O1486" t="str">
        <f>""</f>
        <v/>
      </c>
    </row>
    <row r="1487" spans="1:15" x14ac:dyDescent="0.25">
      <c r="A1487" t="str">
        <f>$A$371</f>
        <v xml:space="preserve">                    E-MART Inc</v>
      </c>
      <c r="B1487" t="str">
        <f>$B$371</f>
        <v>139480 KS Equity</v>
      </c>
      <c r="C1487" t="str">
        <f>$C$371</f>
        <v>F0946</v>
      </c>
      <c r="D1487" t="str">
        <f>$D$371</f>
        <v>TOTAL_GHG_CO2_EMISSIONS</v>
      </c>
      <c r="E1487" t="str">
        <f>$E$371</f>
        <v>Dynamic</v>
      </c>
      <c r="F1487" t="str">
        <f ca="1">_xll.BDH($B$371,$C$371,$B$1130,$B$1131,CONCATENATE("Per=",$B$1128),"Dts=H","Dir=H",CONCATENATE("Points=",$B$1129),"Sort=R","Days=A","Fill=B",CONCATENATE("FX=", $B$1127) )</f>
        <v/>
      </c>
      <c r="K1487" t="str">
        <f>""</f>
        <v/>
      </c>
      <c r="L1487" t="str">
        <f>""</f>
        <v/>
      </c>
      <c r="M1487" t="str">
        <f>""</f>
        <v/>
      </c>
      <c r="N1487" t="str">
        <f>""</f>
        <v/>
      </c>
      <c r="O1487" t="str">
        <f>""</f>
        <v/>
      </c>
    </row>
    <row r="1488" spans="1:15" x14ac:dyDescent="0.25">
      <c r="A1488" t="str">
        <f>$A$372</f>
        <v xml:space="preserve">                    EDEKA ZENTRALE Stiftung &amp; Co K</v>
      </c>
      <c r="B1488" t="str">
        <f>$B$372</f>
        <v>EDEK GR Equity</v>
      </c>
      <c r="C1488" t="str">
        <f>$C$372</f>
        <v>F0946</v>
      </c>
      <c r="D1488" t="str">
        <f>$D$372</f>
        <v>TOTAL_GHG_CO2_EMISSIONS</v>
      </c>
      <c r="E1488" t="str">
        <f>$E$372</f>
        <v>Dynamic</v>
      </c>
      <c r="F1488" t="str">
        <f ca="1">_xll.BDH($B$372,$C$372,$B$1130,$B$1131,CONCATENATE("Per=",$B$1128),"Dts=H","Dir=H",CONCATENATE("Points=",$B$1129),"Sort=R","Days=A","Fill=B",CONCATENATE("FX=", $B$1127) )</f>
        <v/>
      </c>
      <c r="K1488" t="str">
        <f>""</f>
        <v/>
      </c>
      <c r="L1488" t="str">
        <f>""</f>
        <v/>
      </c>
      <c r="M1488" t="str">
        <f>""</f>
        <v/>
      </c>
      <c r="N1488" t="str">
        <f>""</f>
        <v/>
      </c>
      <c r="O1488" t="str">
        <f>""</f>
        <v/>
      </c>
    </row>
    <row r="1489" spans="1:15" x14ac:dyDescent="0.25">
      <c r="A1489" t="str">
        <f>$A$373</f>
        <v xml:space="preserve">                    El Corte Ingles SA</v>
      </c>
      <c r="B1489" t="str">
        <f>$B$373</f>
        <v>1082Z SM Equity</v>
      </c>
      <c r="C1489" t="str">
        <f>$C$373</f>
        <v>F0946</v>
      </c>
      <c r="D1489" t="str">
        <f>$D$373</f>
        <v>TOTAL_GHG_CO2_EMISSIONS</v>
      </c>
      <c r="E1489" t="str">
        <f>$E$373</f>
        <v>Dynamic</v>
      </c>
      <c r="F1489" t="str">
        <f ca="1">_xll.BDH($B$373,$C$373,$B$1130,$B$1131,CONCATENATE("Per=",$B$1128),"Dts=H","Dir=H",CONCATENATE("Points=",$B$1129),"Sort=R","Days=A","Fill=B",CONCATENATE("FX=", $B$1127) )</f>
        <v/>
      </c>
      <c r="K1489" t="str">
        <f>""</f>
        <v/>
      </c>
      <c r="L1489" t="str">
        <f>""</f>
        <v/>
      </c>
      <c r="M1489" t="str">
        <f>""</f>
        <v/>
      </c>
      <c r="N1489" t="str">
        <f>""</f>
        <v/>
      </c>
      <c r="O1489" t="str">
        <f>""</f>
        <v/>
      </c>
    </row>
    <row r="1490" spans="1:15" x14ac:dyDescent="0.25">
      <c r="A1490" t="str">
        <f>$A$374</f>
        <v xml:space="preserve">                    Eroski S Coop</v>
      </c>
      <c r="B1490" t="str">
        <f>$B$374</f>
        <v>1855Z SM Equity</v>
      </c>
      <c r="C1490" t="str">
        <f>$C$374</f>
        <v>F0946</v>
      </c>
      <c r="D1490" t="str">
        <f>$D$374</f>
        <v>TOTAL_GHG_CO2_EMISSIONS</v>
      </c>
      <c r="E1490" t="str">
        <f>$E$374</f>
        <v>Dynamic</v>
      </c>
      <c r="F1490" t="str">
        <f ca="1">_xll.BDH($B$374,$C$374,$B$1130,$B$1131,CONCATENATE("Per=",$B$1128),"Dts=H","Dir=H",CONCATENATE("Points=",$B$1129),"Sort=R","Days=A","Fill=B",CONCATENATE("FX=", $B$1127) )</f>
        <v/>
      </c>
      <c r="K1490" t="str">
        <f>""</f>
        <v/>
      </c>
      <c r="L1490" t="str">
        <f>""</f>
        <v/>
      </c>
      <c r="M1490" t="str">
        <f>""</f>
        <v/>
      </c>
      <c r="N1490" t="str">
        <f>""</f>
        <v/>
      </c>
      <c r="O1490" t="str">
        <f>""</f>
        <v/>
      </c>
    </row>
    <row r="1491" spans="1:15" x14ac:dyDescent="0.25">
      <c r="A1491" t="str">
        <f>$A$375</f>
        <v xml:space="preserve">                    Eurocash SA</v>
      </c>
      <c r="B1491" t="str">
        <f>$B$375</f>
        <v>EUR PW Equity</v>
      </c>
      <c r="C1491" t="str">
        <f>$C$375</f>
        <v>F0946</v>
      </c>
      <c r="D1491" t="str">
        <f>$D$375</f>
        <v>TOTAL_GHG_CO2_EMISSIONS</v>
      </c>
      <c r="E1491" t="str">
        <f>$E$375</f>
        <v>Dynamic</v>
      </c>
      <c r="F1491" t="str">
        <f ca="1">_xll.BDH($B$375,$C$375,$B$1130,$B$1131,CONCATENATE("Per=",$B$1128),"Dts=H","Dir=H",CONCATENATE("Points=",$B$1129),"Sort=R","Days=A","Fill=B",CONCATENATE("FX=", $B$1127),"cols=5;rows=1")</f>
        <v/>
      </c>
      <c r="G1491">
        <v>0.1424</v>
      </c>
      <c r="H1491">
        <v>0.1671</v>
      </c>
      <c r="I1491">
        <v>7.2999999999999995E-2</v>
      </c>
      <c r="J1491">
        <v>7.0900000000000005E-2</v>
      </c>
      <c r="K1491" t="str">
        <f>""</f>
        <v/>
      </c>
      <c r="L1491" t="str">
        <f>""</f>
        <v/>
      </c>
      <c r="M1491" t="str">
        <f>""</f>
        <v/>
      </c>
      <c r="N1491" t="str">
        <f>""</f>
        <v/>
      </c>
      <c r="O1491" t="str">
        <f>""</f>
        <v/>
      </c>
    </row>
    <row r="1492" spans="1:15" x14ac:dyDescent="0.25">
      <c r="A1492" t="str">
        <f>$A$376</f>
        <v xml:space="preserve">                    Empire Co Ltd</v>
      </c>
      <c r="B1492" t="str">
        <f>$B$376</f>
        <v>EMP/A CN Equity</v>
      </c>
      <c r="C1492" t="str">
        <f>$C$376</f>
        <v>F0946</v>
      </c>
      <c r="D1492" t="str">
        <f>$D$376</f>
        <v>TOTAL_GHG_CO2_EMISSIONS</v>
      </c>
      <c r="E1492" t="str">
        <f>$E$376</f>
        <v>Dynamic</v>
      </c>
      <c r="F1492" t="str">
        <f ca="1">_xll.BDH($B$376,$C$376,$B$1130,$B$1131,CONCATENATE("Per=",$B$1128),"Dts=H","Dir=H",CONCATENATE("Points=",$B$1129),"Sort=R","Days=A","Fill=B",CONCATENATE("FX=", $B$1127),"cols=5;rows=1")</f>
        <v/>
      </c>
      <c r="H1492">
        <v>0.67430000000000001</v>
      </c>
      <c r="K1492" t="str">
        <f>""</f>
        <v/>
      </c>
      <c r="L1492" t="str">
        <f>""</f>
        <v/>
      </c>
      <c r="M1492" t="str">
        <f>""</f>
        <v/>
      </c>
      <c r="N1492" t="str">
        <f>""</f>
        <v/>
      </c>
      <c r="O1492" t="str">
        <f>""</f>
        <v/>
      </c>
    </row>
    <row r="1493" spans="1:15" x14ac:dyDescent="0.25">
      <c r="A1493" t="str">
        <f>$A$377</f>
        <v xml:space="preserve">                    Future Enterprises Ltd</v>
      </c>
      <c r="B1493" t="str">
        <f>$B$377</f>
        <v>FEL IN Equity</v>
      </c>
      <c r="C1493" t="str">
        <f>$C$377</f>
        <v>F0946</v>
      </c>
      <c r="D1493" t="str">
        <f>$D$377</f>
        <v>TOTAL_GHG_CO2_EMISSIONS</v>
      </c>
      <c r="E1493" t="str">
        <f>$E$377</f>
        <v>Dynamic</v>
      </c>
      <c r="F1493" t="str">
        <f ca="1">_xll.BDH($B$377,$C$377,$B$1130,$B$1131,CONCATENATE("Per=",$B$1128),"Dts=H","Dir=H",CONCATENATE("Points=",$B$1129),"Sort=R","Days=A","Fill=B",CONCATENATE("FX=", $B$1127) )</f>
        <v/>
      </c>
      <c r="K1493" t="str">
        <f>""</f>
        <v/>
      </c>
      <c r="L1493" t="str">
        <f>""</f>
        <v/>
      </c>
      <c r="M1493" t="str">
        <f>""</f>
        <v/>
      </c>
      <c r="N1493" t="str">
        <f>""</f>
        <v/>
      </c>
      <c r="O1493" t="str">
        <f>""</f>
        <v/>
      </c>
    </row>
    <row r="1494" spans="1:15" x14ac:dyDescent="0.25">
      <c r="A1494" t="str">
        <f>$A$378</f>
        <v xml:space="preserve">                    Fuji Co Ltd/Ehime</v>
      </c>
      <c r="B1494" t="str">
        <f>$B$378</f>
        <v>8278 JP Equity</v>
      </c>
      <c r="C1494" t="str">
        <f>$C$378</f>
        <v>F0946</v>
      </c>
      <c r="D1494" t="str">
        <f>$D$378</f>
        <v>TOTAL_GHG_CO2_EMISSIONS</v>
      </c>
      <c r="E1494" t="str">
        <f>$E$378</f>
        <v>Dynamic</v>
      </c>
      <c r="F1494" t="str">
        <f ca="1">_xll.BDH($B$378,$C$378,$B$1130,$B$1131,CONCATENATE("Per=",$B$1128),"Dts=H","Dir=H",CONCATENATE("Points=",$B$1129),"Sort=R","Days=A","Fill=B",CONCATENATE("FX=", $B$1127) )</f>
        <v/>
      </c>
      <c r="K1494" t="str">
        <f>""</f>
        <v/>
      </c>
      <c r="L1494" t="str">
        <f>""</f>
        <v/>
      </c>
      <c r="M1494" t="str">
        <f>""</f>
        <v/>
      </c>
      <c r="N1494" t="str">
        <f>""</f>
        <v/>
      </c>
      <c r="O1494" t="str">
        <f>""</f>
        <v/>
      </c>
    </row>
    <row r="1495" spans="1:15" x14ac:dyDescent="0.25">
      <c r="A1495" t="str">
        <f>$A$379</f>
        <v xml:space="preserve">                    GS Retail Co Ltd</v>
      </c>
      <c r="B1495" t="str">
        <f>$B$379</f>
        <v>007070 KS Equity</v>
      </c>
      <c r="C1495" t="str">
        <f>$C$379</f>
        <v>F0946</v>
      </c>
      <c r="D1495" t="str">
        <f>$D$379</f>
        <v>TOTAL_GHG_CO2_EMISSIONS</v>
      </c>
      <c r="E1495" t="str">
        <f>$E$379</f>
        <v>Dynamic</v>
      </c>
      <c r="F1495" t="str">
        <f ca="1">_xll.BDH($B$379,$C$379,$B$1130,$B$1131,CONCATENATE("Per=",$B$1128),"Dts=H","Dir=H",CONCATENATE("Points=",$B$1129),"Sort=R","Days=A","Fill=B",CONCATENATE("FX=", $B$1127),"cols=5;rows=1")</f>
        <v/>
      </c>
      <c r="G1495">
        <v>0.1216</v>
      </c>
      <c r="H1495">
        <v>0.11559999999999999</v>
      </c>
      <c r="I1495">
        <v>0.1216</v>
      </c>
      <c r="K1495" t="str">
        <f>""</f>
        <v/>
      </c>
      <c r="L1495" t="str">
        <f>""</f>
        <v/>
      </c>
      <c r="M1495" t="str">
        <f>""</f>
        <v/>
      </c>
      <c r="N1495" t="str">
        <f>""</f>
        <v/>
      </c>
      <c r="O1495" t="str">
        <f>""</f>
        <v/>
      </c>
    </row>
    <row r="1496" spans="1:15" x14ac:dyDescent="0.25">
      <c r="A1496" t="str">
        <f>$A$380</f>
        <v xml:space="preserve">                    Giant Eagle Inc</v>
      </c>
      <c r="B1496" t="str">
        <f>$B$380</f>
        <v>275512Z US Equity</v>
      </c>
      <c r="C1496" t="str">
        <f>$C$380</f>
        <v>F0946</v>
      </c>
      <c r="D1496" t="str">
        <f>$D$380</f>
        <v>TOTAL_GHG_CO2_EMISSIONS</v>
      </c>
      <c r="E1496" t="str">
        <f>$E$380</f>
        <v>Dynamic</v>
      </c>
      <c r="F1496" t="str">
        <f ca="1">_xll.BDH($B$380,$C$380,$B$1130,$B$1131,CONCATENATE("Per=",$B$1128),"Dts=H","Dir=H",CONCATENATE("Points=",$B$1129),"Sort=R","Days=A","Fill=B",CONCATENATE("FX=", $B$1127) )</f>
        <v/>
      </c>
      <c r="K1496" t="str">
        <f>""</f>
        <v/>
      </c>
      <c r="L1496" t="str">
        <f>""</f>
        <v/>
      </c>
      <c r="M1496" t="str">
        <f>""</f>
        <v/>
      </c>
      <c r="N1496" t="str">
        <f>""</f>
        <v/>
      </c>
      <c r="O1496" t="str">
        <f>""</f>
        <v/>
      </c>
    </row>
    <row r="1497" spans="1:15" x14ac:dyDescent="0.25">
      <c r="A1497" t="str">
        <f>$A$381</f>
        <v xml:space="preserve">                    Greggs PLC</v>
      </c>
      <c r="B1497" t="str">
        <f>$B$381</f>
        <v>GRG LN Equity</v>
      </c>
      <c r="C1497" t="str">
        <f>$C$381</f>
        <v>F0946</v>
      </c>
      <c r="D1497" t="str">
        <f>$D$381</f>
        <v>TOTAL_GHG_CO2_EMISSIONS</v>
      </c>
      <c r="E1497" t="str">
        <f>$E$381</f>
        <v>Dynamic</v>
      </c>
      <c r="F1497">
        <f ca="1">_xll.BDH($B$381,$C$381,$B$1130,$B$1131,CONCATENATE("Per=",$B$1128),"Dts=H","Dir=H",CONCATENATE("Points=",$B$1129),"Sort=R","Days=A","Fill=B",CONCATENATE("FX=", $B$1127),"cols=5;rows=1")</f>
        <v>8.7499999999999994E-2</v>
      </c>
      <c r="G1497">
        <v>8.2299999999999998E-2</v>
      </c>
      <c r="H1497">
        <v>6.7500000000000004E-2</v>
      </c>
      <c r="I1497">
        <v>9.6000000000000002E-2</v>
      </c>
      <c r="J1497">
        <v>0.10150000000000001</v>
      </c>
      <c r="K1497" t="str">
        <f>""</f>
        <v/>
      </c>
      <c r="L1497" t="str">
        <f>""</f>
        <v/>
      </c>
      <c r="M1497" t="str">
        <f>""</f>
        <v/>
      </c>
      <c r="N1497" t="str">
        <f>""</f>
        <v/>
      </c>
      <c r="O1497" t="str">
        <f>""</f>
        <v/>
      </c>
    </row>
    <row r="1498" spans="1:15" x14ac:dyDescent="0.25">
      <c r="A1498" t="str">
        <f>$A$382</f>
        <v xml:space="preserve">                    Grupo Mateus SA</v>
      </c>
      <c r="B1498" t="str">
        <f>$B$382</f>
        <v>GMAT3 BZ Equity</v>
      </c>
      <c r="C1498" t="str">
        <f>$C$382</f>
        <v>F0946</v>
      </c>
      <c r="D1498" t="str">
        <f>$D$382</f>
        <v>TOTAL_GHG_CO2_EMISSIONS</v>
      </c>
      <c r="E1498" t="str">
        <f>$E$382</f>
        <v>Dynamic</v>
      </c>
      <c r="F1498" t="str">
        <f ca="1">_xll.BDH($B$382,$C$382,$B$1130,$B$1131,CONCATENATE("Per=",$B$1128),"Dts=H","Dir=H",CONCATENATE("Points=",$B$1129),"Sort=R","Days=A","Fill=B",CONCATENATE("FX=", $B$1127) )</f>
        <v/>
      </c>
      <c r="K1498" t="str">
        <f>""</f>
        <v/>
      </c>
      <c r="L1498" t="str">
        <f>""</f>
        <v/>
      </c>
      <c r="M1498" t="str">
        <f>""</f>
        <v/>
      </c>
      <c r="N1498" t="str">
        <f>""</f>
        <v/>
      </c>
      <c r="O1498" t="str">
        <f>""</f>
        <v/>
      </c>
    </row>
    <row r="1499" spans="1:15" x14ac:dyDescent="0.25">
      <c r="A1499" t="str">
        <f>$A$383</f>
        <v xml:space="preserve">                    H E Butt Grocery Co</v>
      </c>
      <c r="B1499" t="str">
        <f>$B$383</f>
        <v>9786238Z US Equity</v>
      </c>
      <c r="C1499" t="str">
        <f>$C$383</f>
        <v>F0946</v>
      </c>
      <c r="D1499" t="str">
        <f>$D$383</f>
        <v>TOTAL_GHG_CO2_EMISSIONS</v>
      </c>
      <c r="E1499" t="str">
        <f>$E$383</f>
        <v>Dynamic</v>
      </c>
      <c r="F1499" t="str">
        <f ca="1">_xll.BDH($B$383,$C$383,$B$1130,$B$1131,CONCATENATE("Per=",$B$1128),"Dts=H","Dir=H",CONCATENATE("Points=",$B$1129),"Sort=R","Days=A","Fill=B",CONCATENATE("FX=", $B$1127) )</f>
        <v/>
      </c>
      <c r="K1499" t="str">
        <f>""</f>
        <v/>
      </c>
      <c r="L1499" t="str">
        <f>""</f>
        <v/>
      </c>
      <c r="M1499" t="str">
        <f>""</f>
        <v/>
      </c>
      <c r="N1499" t="str">
        <f>""</f>
        <v/>
      </c>
      <c r="O1499" t="str">
        <f>""</f>
        <v/>
      </c>
    </row>
    <row r="1500" spans="1:15" x14ac:dyDescent="0.25">
      <c r="A1500" t="str">
        <f>$A$384</f>
        <v xml:space="preserve">                    H2O Retailing Corp</v>
      </c>
      <c r="B1500" t="str">
        <f>$B$384</f>
        <v>8242 JP Equity</v>
      </c>
      <c r="C1500" t="str">
        <f>$C$384</f>
        <v>F0946</v>
      </c>
      <c r="D1500" t="str">
        <f>$D$384</f>
        <v>TOTAL_GHG_CO2_EMISSIONS</v>
      </c>
      <c r="E1500" t="str">
        <f>$E$384</f>
        <v>Dynamic</v>
      </c>
      <c r="F1500" t="str">
        <f ca="1">_xll.BDH($B$384,$C$384,$B$1130,$B$1131,CONCATENATE("Per=",$B$1128),"Dts=H","Dir=H",CONCATENATE("Points=",$B$1129),"Sort=R","Days=A","Fill=B",CONCATENATE("FX=", $B$1127),"cols=5;rows=1")</f>
        <v/>
      </c>
      <c r="G1500">
        <v>0.215</v>
      </c>
      <c r="H1500">
        <v>0.2132</v>
      </c>
      <c r="I1500">
        <v>0.19159999999999999</v>
      </c>
      <c r="J1500">
        <v>0.1976</v>
      </c>
      <c r="K1500" t="str">
        <f>""</f>
        <v/>
      </c>
      <c r="L1500" t="str">
        <f>""</f>
        <v/>
      </c>
      <c r="M1500" t="str">
        <f>""</f>
        <v/>
      </c>
      <c r="N1500" t="str">
        <f>""</f>
        <v/>
      </c>
      <c r="O1500" t="str">
        <f>""</f>
        <v/>
      </c>
    </row>
    <row r="1501" spans="1:15" x14ac:dyDescent="0.25">
      <c r="A1501" t="str">
        <f>$A$385</f>
        <v xml:space="preserve">                    HOK-Elanto Liiketoiminta Oy</v>
      </c>
      <c r="B1501" t="str">
        <f>$B$385</f>
        <v>6795917Z FH Equity</v>
      </c>
      <c r="C1501" t="str">
        <f>$C$385</f>
        <v>F0946</v>
      </c>
      <c r="D1501" t="str">
        <f>$D$385</f>
        <v>TOTAL_GHG_CO2_EMISSIONS</v>
      </c>
      <c r="E1501" t="str">
        <f>$E$385</f>
        <v>Dynamic</v>
      </c>
      <c r="F1501" t="str">
        <f ca="1">_xll.BDH($B$385,$C$385,$B$1130,$B$1131,CONCATENATE("Per=",$B$1128),"Dts=H","Dir=H",CONCATENATE("Points=",$B$1129),"Sort=R","Days=A","Fill=B",CONCATENATE("FX=", $B$1127) )</f>
        <v/>
      </c>
      <c r="K1501" t="str">
        <f>""</f>
        <v/>
      </c>
      <c r="L1501" t="str">
        <f>""</f>
        <v/>
      </c>
      <c r="M1501" t="str">
        <f>""</f>
        <v/>
      </c>
      <c r="N1501" t="str">
        <f>""</f>
        <v/>
      </c>
      <c r="O1501" t="str">
        <f>""</f>
        <v/>
      </c>
    </row>
    <row r="1502" spans="1:15" x14ac:dyDescent="0.25">
      <c r="A1502" t="str">
        <f>$A$386</f>
        <v xml:space="preserve">                    Hy-Vee Inc</v>
      </c>
      <c r="B1502" t="str">
        <f>$B$386</f>
        <v>233987Z US Equity</v>
      </c>
      <c r="C1502" t="str">
        <f>$C$386</f>
        <v>F0946</v>
      </c>
      <c r="D1502" t="str">
        <f>$D$386</f>
        <v>TOTAL_GHG_CO2_EMISSIONS</v>
      </c>
      <c r="E1502" t="str">
        <f>$E$386</f>
        <v>Dynamic</v>
      </c>
      <c r="F1502" t="str">
        <f ca="1">_xll.BDH($B$386,$C$386,$B$1130,$B$1131,CONCATENATE("Per=",$B$1128),"Dts=H","Dir=H",CONCATENATE("Points=",$B$1129),"Sort=R","Days=A","Fill=B",CONCATENATE("FX=", $B$1127) )</f>
        <v/>
      </c>
      <c r="K1502" t="str">
        <f>""</f>
        <v/>
      </c>
      <c r="L1502" t="str">
        <f>""</f>
        <v/>
      </c>
      <c r="M1502" t="str">
        <f>""</f>
        <v/>
      </c>
      <c r="N1502" t="str">
        <f>""</f>
        <v/>
      </c>
      <c r="O1502" t="str">
        <f>""</f>
        <v/>
      </c>
    </row>
    <row r="1503" spans="1:15" x14ac:dyDescent="0.25">
      <c r="A1503" t="str">
        <f>$A$387</f>
        <v xml:space="preserve">                    Heiwado Co Ltd</v>
      </c>
      <c r="B1503" t="str">
        <f>$B$387</f>
        <v>8276 JP Equity</v>
      </c>
      <c r="C1503" t="str">
        <f>$C$387</f>
        <v>F0946</v>
      </c>
      <c r="D1503" t="str">
        <f>$D$387</f>
        <v>TOTAL_GHG_CO2_EMISSIONS</v>
      </c>
      <c r="E1503" t="str">
        <f>$E$387</f>
        <v>Dynamic</v>
      </c>
      <c r="F1503" t="str">
        <f ca="1">_xll.BDH($B$387,$C$387,$B$1130,$B$1131,CONCATENATE("Per=",$B$1128),"Dts=H","Dir=H",CONCATENATE("Points=",$B$1129),"Sort=R","Days=A","Fill=B",CONCATENATE("FX=", $B$1127),"cols=5;rows=1")</f>
        <v/>
      </c>
      <c r="H1503">
        <v>0.16639999999999999</v>
      </c>
      <c r="K1503" t="str">
        <f>""</f>
        <v/>
      </c>
      <c r="L1503" t="str">
        <f>""</f>
        <v/>
      </c>
      <c r="M1503" t="str">
        <f>""</f>
        <v/>
      </c>
      <c r="N1503" t="str">
        <f>""</f>
        <v/>
      </c>
      <c r="O1503" t="str">
        <f>""</f>
        <v/>
      </c>
    </row>
    <row r="1504" spans="1:15" x14ac:dyDescent="0.25">
      <c r="A1504" t="str">
        <f>$A$388</f>
        <v xml:space="preserve">                    ICA AB</v>
      </c>
      <c r="B1504" t="str">
        <f>$B$388</f>
        <v>ICAG SS Equity</v>
      </c>
      <c r="C1504" t="str">
        <f>$C$388</f>
        <v>F0946</v>
      </c>
      <c r="D1504" t="str">
        <f>$D$388</f>
        <v>TOTAL_GHG_CO2_EMISSIONS</v>
      </c>
      <c r="E1504" t="str">
        <f>$E$388</f>
        <v>Dynamic</v>
      </c>
      <c r="F1504" t="str">
        <f ca="1">_xll.BDH($B$388,$C$388,$B$1130,$B$1131,CONCATENATE("Per=",$B$1128),"Dts=H","Dir=H",CONCATENATE("Points=",$B$1129),"Sort=R","Days=A","Fill=B",CONCATENATE("FX=", $B$1127) )</f>
        <v/>
      </c>
      <c r="K1504" t="str">
        <f>""</f>
        <v/>
      </c>
      <c r="L1504" t="str">
        <f>""</f>
        <v/>
      </c>
      <c r="M1504" t="str">
        <f>""</f>
        <v/>
      </c>
      <c r="N1504" t="str">
        <f>""</f>
        <v/>
      </c>
      <c r="O1504" t="str">
        <f>""</f>
        <v/>
      </c>
    </row>
    <row r="1505" spans="1:15" x14ac:dyDescent="0.25">
      <c r="A1505" t="str">
        <f>$A$389</f>
        <v xml:space="preserve">                    Inageya Co Ltd</v>
      </c>
      <c r="B1505" t="str">
        <f>$B$389</f>
        <v>8182 JP Equity</v>
      </c>
      <c r="C1505" t="str">
        <f>$C$389</f>
        <v>F0946</v>
      </c>
      <c r="D1505" t="str">
        <f>$D$389</f>
        <v>TOTAL_GHG_CO2_EMISSIONS</v>
      </c>
      <c r="E1505" t="str">
        <f>$E$389</f>
        <v>Dynamic</v>
      </c>
      <c r="F1505" t="str">
        <f ca="1">_xll.BDH($B$389,$C$389,$B$1130,$B$1131,CONCATENATE("Per=",$B$1128),"Dts=H","Dir=H",CONCATENATE("Points=",$B$1129),"Sort=R","Days=A","Fill=B",CONCATENATE("FX=", $B$1127),"cols=5;rows=1")</f>
        <v/>
      </c>
      <c r="H1505">
        <v>8.4500000000000006E-2</v>
      </c>
      <c r="I1505">
        <v>8.6699999999999999E-2</v>
      </c>
      <c r="J1505">
        <v>8.4699999999999998E-2</v>
      </c>
      <c r="K1505" t="str">
        <f>""</f>
        <v/>
      </c>
      <c r="L1505" t="str">
        <f>""</f>
        <v/>
      </c>
      <c r="M1505" t="str">
        <f>""</f>
        <v/>
      </c>
      <c r="N1505" t="str">
        <f>""</f>
        <v/>
      </c>
      <c r="O1505" t="str">
        <f>""</f>
        <v/>
      </c>
    </row>
    <row r="1506" spans="1:15" x14ac:dyDescent="0.25">
      <c r="A1506" t="str">
        <f>$A$390</f>
        <v xml:space="preserve">                    Ingles Markets Inc</v>
      </c>
      <c r="B1506" t="str">
        <f>$B$390</f>
        <v>IMKTA US Equity</v>
      </c>
      <c r="C1506" t="str">
        <f>$C$390</f>
        <v>F0946</v>
      </c>
      <c r="D1506" t="str">
        <f>$D$390</f>
        <v>TOTAL_GHG_CO2_EMISSIONS</v>
      </c>
      <c r="E1506" t="str">
        <f>$E$390</f>
        <v>Dynamic</v>
      </c>
      <c r="F1506" t="str">
        <f ca="1">_xll.BDH($B$390,$C$390,$B$1130,$B$1131,CONCATENATE("Per=",$B$1128),"Dts=H","Dir=H",CONCATENATE("Points=",$B$1129),"Sort=R","Days=A","Fill=B",CONCATENATE("FX=", $B$1127) )</f>
        <v/>
      </c>
      <c r="K1506" t="str">
        <f>""</f>
        <v/>
      </c>
      <c r="L1506" t="str">
        <f>""</f>
        <v/>
      </c>
      <c r="M1506" t="str">
        <f>""</f>
        <v/>
      </c>
      <c r="N1506" t="str">
        <f>""</f>
        <v/>
      </c>
      <c r="O1506" t="str">
        <f>""</f>
        <v/>
      </c>
    </row>
    <row r="1507" spans="1:15" x14ac:dyDescent="0.25">
      <c r="A1507" t="str">
        <f>$A$391</f>
        <v xml:space="preserve">                    Izumi Co Ltd</v>
      </c>
      <c r="B1507" t="str">
        <f>$B$391</f>
        <v>8273 JP Equity</v>
      </c>
      <c r="C1507" t="str">
        <f>$C$391</f>
        <v>F0946</v>
      </c>
      <c r="D1507" t="str">
        <f>$D$391</f>
        <v>TOTAL_GHG_CO2_EMISSIONS</v>
      </c>
      <c r="E1507" t="str">
        <f>$E$391</f>
        <v>Dynamic</v>
      </c>
      <c r="F1507" t="str">
        <f ca="1">_xll.BDH($B$391,$C$391,$B$1130,$B$1131,CONCATENATE("Per=",$B$1128),"Dts=H","Dir=H",CONCATENATE("Points=",$B$1129),"Sort=R","Days=A","Fill=B",CONCATENATE("FX=", $B$1127) )</f>
        <v/>
      </c>
      <c r="K1507" t="str">
        <f>""</f>
        <v/>
      </c>
      <c r="L1507" t="str">
        <f>""</f>
        <v/>
      </c>
      <c r="M1507" t="str">
        <f>""</f>
        <v/>
      </c>
      <c r="N1507" t="str">
        <f>""</f>
        <v/>
      </c>
      <c r="O1507" t="str">
        <f>""</f>
        <v/>
      </c>
    </row>
    <row r="1508" spans="1:15" x14ac:dyDescent="0.25">
      <c r="A1508" t="str">
        <f>$A$392</f>
        <v xml:space="preserve">                    J Front Retailing Co Ltd</v>
      </c>
      <c r="B1508" t="str">
        <f>$B$392</f>
        <v>3086 JP Equity</v>
      </c>
      <c r="C1508" t="str">
        <f>$C$392</f>
        <v>F0946</v>
      </c>
      <c r="D1508" t="str">
        <f>$D$392</f>
        <v>TOTAL_GHG_CO2_EMISSIONS</v>
      </c>
      <c r="E1508" t="str">
        <f>$E$392</f>
        <v>Dynamic</v>
      </c>
      <c r="F1508" t="str">
        <f ca="1">_xll.BDH($B$392,$C$392,$B$1130,$B$1131,CONCATENATE("Per=",$B$1128),"Dts=H","Dir=H",CONCATENATE("Points=",$B$1129),"Sort=R","Days=A","Fill=B",CONCATENATE("FX=", $B$1127),"cols=5;rows=1")</f>
        <v/>
      </c>
      <c r="G1508">
        <v>0.16370000000000001</v>
      </c>
      <c r="H1508">
        <v>0.1477</v>
      </c>
      <c r="I1508">
        <v>0.1893</v>
      </c>
      <c r="J1508">
        <v>0.1804</v>
      </c>
      <c r="K1508" t="str">
        <f>""</f>
        <v/>
      </c>
      <c r="L1508" t="str">
        <f>""</f>
        <v/>
      </c>
      <c r="M1508" t="str">
        <f>""</f>
        <v/>
      </c>
      <c r="N1508" t="str">
        <f>""</f>
        <v/>
      </c>
      <c r="O1508" t="str">
        <f>""</f>
        <v/>
      </c>
    </row>
    <row r="1509" spans="1:15" x14ac:dyDescent="0.25">
      <c r="A1509" t="str">
        <f>$A$393</f>
        <v xml:space="preserve">                    J Sainsbury PLC</v>
      </c>
      <c r="B1509" t="str">
        <f>$B$393</f>
        <v>SBRY LN Equity</v>
      </c>
      <c r="C1509" t="str">
        <f>$C$393</f>
        <v>F0946</v>
      </c>
      <c r="D1509" t="str">
        <f>$D$393</f>
        <v>TOTAL_GHG_CO2_EMISSIONS</v>
      </c>
      <c r="E1509" t="str">
        <f>$E$393</f>
        <v>Dynamic</v>
      </c>
      <c r="F1509" t="str">
        <f ca="1">_xll.BDH($B$393,$C$393,$B$1130,$B$1131,CONCATENATE("Per=",$B$1128),"Dts=H","Dir=H",CONCATENATE("Points=",$B$1129),"Sort=R","Days=A","Fill=B",CONCATENATE("FX=", $B$1127),"cols=5;rows=1")</f>
        <v/>
      </c>
      <c r="G1509">
        <v>0.77610000000000001</v>
      </c>
      <c r="H1509">
        <v>0.85660000000000003</v>
      </c>
      <c r="I1509">
        <v>0.90780000000000005</v>
      </c>
      <c r="J1509">
        <v>1.0146999999999999</v>
      </c>
      <c r="K1509" t="str">
        <f>""</f>
        <v/>
      </c>
      <c r="L1509" t="str">
        <f>""</f>
        <v/>
      </c>
      <c r="M1509" t="str">
        <f>""</f>
        <v/>
      </c>
      <c r="N1509" t="str">
        <f>""</f>
        <v/>
      </c>
      <c r="O1509" t="str">
        <f>""</f>
        <v/>
      </c>
    </row>
    <row r="1510" spans="1:15" x14ac:dyDescent="0.25">
      <c r="A1510" t="str">
        <f>$A$394</f>
        <v xml:space="preserve">                    John Lewis Partnership PLC</v>
      </c>
      <c r="B1510" t="str">
        <f>$B$394</f>
        <v>6097Z LN Equity</v>
      </c>
      <c r="C1510" t="str">
        <f>$C$394</f>
        <v>F0946</v>
      </c>
      <c r="D1510" t="str">
        <f>$D$394</f>
        <v>TOTAL_GHG_CO2_EMISSIONS</v>
      </c>
      <c r="E1510" t="str">
        <f>$E$394</f>
        <v>Dynamic</v>
      </c>
      <c r="F1510" t="str">
        <f ca="1">_xll.BDH($B$394,$C$394,$B$1130,$B$1131,CONCATENATE("Per=",$B$1128),"Dts=H","Dir=H",CONCATENATE("Points=",$B$1129),"Sort=R","Days=A","Fill=B",CONCATENATE("FX=", $B$1127) )</f>
        <v/>
      </c>
      <c r="K1510" t="str">
        <f>""</f>
        <v/>
      </c>
      <c r="L1510" t="str">
        <f>""</f>
        <v/>
      </c>
      <c r="M1510" t="str">
        <f>""</f>
        <v/>
      </c>
      <c r="N1510" t="str">
        <f>""</f>
        <v/>
      </c>
      <c r="O1510" t="str">
        <f>""</f>
        <v/>
      </c>
    </row>
    <row r="1511" spans="1:15" x14ac:dyDescent="0.25">
      <c r="A1511" t="str">
        <f>$A$395</f>
        <v xml:space="preserve">                    JUMBO Groep Holding BV</v>
      </c>
      <c r="B1511" t="str">
        <f>$B$395</f>
        <v>3239926Z NA Equity</v>
      </c>
      <c r="C1511" t="str">
        <f>$C$395</f>
        <v>F0946</v>
      </c>
      <c r="D1511" t="str">
        <f>$D$395</f>
        <v>TOTAL_GHG_CO2_EMISSIONS</v>
      </c>
      <c r="E1511" t="str">
        <f>$E$395</f>
        <v>Dynamic</v>
      </c>
      <c r="F1511" t="str">
        <f ca="1">_xll.BDH($B$395,$C$395,$B$1130,$B$1131,CONCATENATE("Per=",$B$1128),"Dts=H","Dir=H",CONCATENATE("Points=",$B$1129),"Sort=R","Days=A","Fill=B",CONCATENATE("FX=", $B$1127) )</f>
        <v/>
      </c>
      <c r="K1511" t="str">
        <f>""</f>
        <v/>
      </c>
      <c r="L1511" t="str">
        <f>""</f>
        <v/>
      </c>
      <c r="M1511" t="str">
        <f>""</f>
        <v/>
      </c>
      <c r="N1511" t="str">
        <f>""</f>
        <v/>
      </c>
      <c r="O1511" t="str">
        <f>""</f>
        <v/>
      </c>
    </row>
    <row r="1512" spans="1:15" x14ac:dyDescent="0.25">
      <c r="A1512" t="str">
        <f>$A$396</f>
        <v xml:space="preserve">                    Jeronimo Martins SGPS SA</v>
      </c>
      <c r="B1512" t="str">
        <f>$B$396</f>
        <v>JMT PL Equity</v>
      </c>
      <c r="C1512" t="str">
        <f>$C$396</f>
        <v>F0946</v>
      </c>
      <c r="D1512" t="str">
        <f>$D$396</f>
        <v>TOTAL_GHG_CO2_EMISSIONS</v>
      </c>
      <c r="E1512" t="str">
        <f>$E$396</f>
        <v>Dynamic</v>
      </c>
      <c r="F1512">
        <f ca="1">_xll.BDH($B$396,$C$396,$B$1130,$B$1131,CONCATENATE("Per=",$B$1128),"Dts=H","Dir=H",CONCATENATE("Points=",$B$1129),"Sort=R","Days=A","Fill=B",CONCATENATE("FX=", $B$1127),"cols=5;rows=1")</f>
        <v>0.9778</v>
      </c>
      <c r="G1512">
        <v>1.034</v>
      </c>
      <c r="H1512">
        <v>1.0618000000000001</v>
      </c>
      <c r="I1512">
        <v>1.0605</v>
      </c>
      <c r="J1512">
        <v>1.0791999999999999</v>
      </c>
      <c r="K1512" t="str">
        <f>""</f>
        <v/>
      </c>
      <c r="L1512" t="str">
        <f>""</f>
        <v/>
      </c>
      <c r="M1512" t="str">
        <f>""</f>
        <v/>
      </c>
      <c r="N1512" t="str">
        <f>""</f>
        <v/>
      </c>
      <c r="O1512" t="str">
        <f>""</f>
        <v/>
      </c>
    </row>
    <row r="1513" spans="1:15" x14ac:dyDescent="0.25">
      <c r="A1513" t="str">
        <f>$A$397</f>
        <v xml:space="preserve">                    Koninklijke Ahold Delhaize NV</v>
      </c>
      <c r="B1513" t="str">
        <f>$B$397</f>
        <v>AD NA Equity</v>
      </c>
      <c r="C1513" t="str">
        <f>$C$397</f>
        <v>F0946</v>
      </c>
      <c r="D1513" t="str">
        <f>$D$397</f>
        <v>TOTAL_GHG_CO2_EMISSIONS</v>
      </c>
      <c r="E1513" t="str">
        <f>$E$397</f>
        <v>Dynamic</v>
      </c>
      <c r="F1513">
        <f ca="1">_xll.BDH($B$397,$C$397,$B$1130,$B$1131,CONCATENATE("Per=",$B$1128),"Dts=H","Dir=H",CONCATENATE("Points=",$B$1129),"Sort=R","Days=A","Fill=B",CONCATENATE("FX=", $B$1127),"cols=5;rows=1")</f>
        <v>3.4910000000000001</v>
      </c>
      <c r="G1513">
        <v>3.476</v>
      </c>
      <c r="H1513">
        <v>3.399</v>
      </c>
      <c r="I1513">
        <v>3.625</v>
      </c>
      <c r="J1513">
        <v>3.766</v>
      </c>
      <c r="K1513" t="str">
        <f>""</f>
        <v/>
      </c>
      <c r="L1513" t="str">
        <f>""</f>
        <v/>
      </c>
      <c r="M1513" t="str">
        <f>""</f>
        <v/>
      </c>
      <c r="N1513" t="str">
        <f>""</f>
        <v/>
      </c>
      <c r="O1513" t="str">
        <f>""</f>
        <v/>
      </c>
    </row>
    <row r="1514" spans="1:15" x14ac:dyDescent="0.25">
      <c r="A1514" t="str">
        <f>$A$398</f>
        <v xml:space="preserve">                    Kesko Oyj</v>
      </c>
      <c r="B1514" t="str">
        <f>$B$398</f>
        <v>KESKOB FH Equity</v>
      </c>
      <c r="C1514" t="str">
        <f>$C$398</f>
        <v>F0946</v>
      </c>
      <c r="D1514" t="str">
        <f>$D$398</f>
        <v>TOTAL_GHG_CO2_EMISSIONS</v>
      </c>
      <c r="E1514" t="str">
        <f>$E$398</f>
        <v>Dynamic</v>
      </c>
      <c r="F1514">
        <f ca="1">_xll.BDH($B$398,$C$398,$B$1130,$B$1131,CONCATENATE("Per=",$B$1128),"Dts=H","Dir=H",CONCATENATE("Points=",$B$1129),"Sort=R","Days=A","Fill=B",CONCATENATE("FX=", $B$1127),"cols=5;rows=1")</f>
        <v>7.5499999999999998E-2</v>
      </c>
      <c r="G1514">
        <v>9.4200000000000006E-2</v>
      </c>
      <c r="H1514">
        <v>8.8999999999999996E-2</v>
      </c>
      <c r="I1514">
        <v>0.1973</v>
      </c>
      <c r="J1514">
        <v>0.2069</v>
      </c>
      <c r="K1514" t="str">
        <f>""</f>
        <v/>
      </c>
      <c r="L1514" t="str">
        <f>""</f>
        <v/>
      </c>
      <c r="M1514" t="str">
        <f>""</f>
        <v/>
      </c>
      <c r="N1514" t="str">
        <f>""</f>
        <v/>
      </c>
      <c r="O1514" t="str">
        <f>""</f>
        <v/>
      </c>
    </row>
    <row r="1515" spans="1:15" x14ac:dyDescent="0.25">
      <c r="A1515" t="str">
        <f>$A$399</f>
        <v xml:space="preserve">                    Kroger Co/The</v>
      </c>
      <c r="B1515" t="str">
        <f>$B$399</f>
        <v>KR US Equity</v>
      </c>
      <c r="C1515" t="str">
        <f>$C$399</f>
        <v>F0946</v>
      </c>
      <c r="D1515" t="str">
        <f>$D$399</f>
        <v>TOTAL_GHG_CO2_EMISSIONS</v>
      </c>
      <c r="E1515" t="str">
        <f>$E$399</f>
        <v>Dynamic</v>
      </c>
      <c r="F1515" t="str">
        <f ca="1">_xll.BDH($B$399,$C$399,$B$1130,$B$1131,CONCATENATE("Per=",$B$1128),"Dts=H","Dir=H",CONCATENATE("Points=",$B$1129),"Sort=R","Days=A","Fill=B",CONCATENATE("FX=", $B$1127),"cols=5;rows=1")</f>
        <v/>
      </c>
      <c r="G1515">
        <v>5.0506000000000002</v>
      </c>
      <c r="H1515">
        <v>5.0903999999999998</v>
      </c>
      <c r="I1515">
        <v>5.7497999999999996</v>
      </c>
      <c r="J1515">
        <v>5.9173999999999998</v>
      </c>
      <c r="K1515" t="str">
        <f>""</f>
        <v/>
      </c>
      <c r="L1515" t="str">
        <f>""</f>
        <v/>
      </c>
      <c r="M1515" t="str">
        <f>""</f>
        <v/>
      </c>
      <c r="N1515" t="str">
        <f>""</f>
        <v/>
      </c>
      <c r="O1515" t="str">
        <f>""</f>
        <v/>
      </c>
    </row>
    <row r="1516" spans="1:15" x14ac:dyDescent="0.25">
      <c r="A1516" t="str">
        <f>$A$400</f>
        <v xml:space="preserve">                    Lawson Inc</v>
      </c>
      <c r="B1516" t="str">
        <f>$B$400</f>
        <v>2651 JP Equity</v>
      </c>
      <c r="C1516" t="str">
        <f>$C$400</f>
        <v>F0946</v>
      </c>
      <c r="D1516" t="str">
        <f>$D$400</f>
        <v>TOTAL_GHG_CO2_EMISSIONS</v>
      </c>
      <c r="E1516" t="str">
        <f>$E$400</f>
        <v>Dynamic</v>
      </c>
      <c r="F1516" t="str">
        <f ca="1">_xll.BDH($B$400,$C$400,$B$1130,$B$1131,CONCATENATE("Per=",$B$1128),"Dts=H","Dir=H",CONCATENATE("Points=",$B$1129),"Sort=R","Days=A","Fill=B",CONCATENATE("FX=", $B$1127),"cols=5;rows=1")</f>
        <v/>
      </c>
      <c r="G1516">
        <v>1.0313000000000001</v>
      </c>
      <c r="H1516">
        <v>0.98499999999999999</v>
      </c>
      <c r="I1516">
        <v>2.7699999999999999E-2</v>
      </c>
      <c r="J1516">
        <v>3.1199999999999999E-2</v>
      </c>
      <c r="K1516" t="str">
        <f>""</f>
        <v/>
      </c>
      <c r="L1516" t="str">
        <f>""</f>
        <v/>
      </c>
      <c r="M1516" t="str">
        <f>""</f>
        <v/>
      </c>
      <c r="N1516" t="str">
        <f>""</f>
        <v/>
      </c>
      <c r="O1516" t="str">
        <f>""</f>
        <v/>
      </c>
    </row>
    <row r="1517" spans="1:15" x14ac:dyDescent="0.25">
      <c r="A1517" t="str">
        <f>$A$401</f>
        <v xml:space="preserve">                    Lenta International Co PJSC</v>
      </c>
      <c r="B1517" t="str">
        <f>$B$401</f>
        <v>LNTA LI Equity</v>
      </c>
      <c r="C1517" t="str">
        <f>$C$401</f>
        <v>F0946</v>
      </c>
      <c r="D1517" t="str">
        <f>$D$401</f>
        <v>TOTAL_GHG_CO2_EMISSIONS</v>
      </c>
      <c r="E1517" t="str">
        <f>$E$401</f>
        <v>Dynamic</v>
      </c>
      <c r="F1517" t="str">
        <f ca="1">_xll.BDH($B$401,$C$401,$B$1130,$B$1131,CONCATENATE("Per=",$B$1128),"Dts=H","Dir=H",CONCATENATE("Points=",$B$1129),"Sort=R","Days=A","Fill=B",CONCATENATE("FX=", $B$1127) )</f>
        <v/>
      </c>
      <c r="K1517" t="str">
        <f>""</f>
        <v/>
      </c>
      <c r="L1517" t="str">
        <f>""</f>
        <v/>
      </c>
      <c r="M1517" t="str">
        <f>""</f>
        <v/>
      </c>
      <c r="N1517" t="str">
        <f>""</f>
        <v/>
      </c>
      <c r="O1517" t="str">
        <f>""</f>
        <v/>
      </c>
    </row>
    <row r="1518" spans="1:15" x14ac:dyDescent="0.25">
      <c r="A1518" t="str">
        <f>$A$402</f>
        <v xml:space="preserve">                    Lianhua Supermarket Holdings C</v>
      </c>
      <c r="B1518" t="str">
        <f>$B$402</f>
        <v>980 HK Equity</v>
      </c>
      <c r="C1518" t="str">
        <f>$C$402</f>
        <v>F0946</v>
      </c>
      <c r="D1518" t="str">
        <f>$D$402</f>
        <v>TOTAL_GHG_CO2_EMISSIONS</v>
      </c>
      <c r="E1518" t="str">
        <f>$E$402</f>
        <v>Dynamic</v>
      </c>
      <c r="F1518">
        <f ca="1">_xll.BDH($B$402,$C$402,$B$1130,$B$1131,CONCATENATE("Per=",$B$1128),"Dts=H","Dir=H",CONCATENATE("Points=",$B$1129),"Sort=R","Days=A","Fill=B",CONCATENATE("FX=", $B$1127),"cols=5;rows=1")</f>
        <v>0.24690000000000001</v>
      </c>
      <c r="G1518">
        <v>0.28050000000000003</v>
      </c>
      <c r="H1518">
        <v>0.36420000000000002</v>
      </c>
      <c r="J1518">
        <v>0.2656</v>
      </c>
      <c r="K1518" t="str">
        <f>""</f>
        <v/>
      </c>
      <c r="L1518" t="str">
        <f>""</f>
        <v/>
      </c>
      <c r="M1518" t="str">
        <f>""</f>
        <v/>
      </c>
      <c r="N1518" t="str">
        <f>""</f>
        <v/>
      </c>
      <c r="O1518" t="str">
        <f>""</f>
        <v/>
      </c>
    </row>
    <row r="1519" spans="1:15" x14ac:dyDescent="0.25">
      <c r="A1519" t="str">
        <f>$A$403</f>
        <v xml:space="preserve">                    Lotte Shopping Co Ltd</v>
      </c>
      <c r="B1519" t="str">
        <f>$B$403</f>
        <v>023530 KS Equity</v>
      </c>
      <c r="C1519" t="str">
        <f>$C$403</f>
        <v>F0946</v>
      </c>
      <c r="D1519" t="str">
        <f>$D$403</f>
        <v>TOTAL_GHG_CO2_EMISSIONS</v>
      </c>
      <c r="E1519" t="str">
        <f>$E$403</f>
        <v>Dynamic</v>
      </c>
      <c r="F1519" t="str">
        <f ca="1">_xll.BDH($B$403,$C$403,$B$1130,$B$1131,CONCATENATE("Per=",$B$1128),"Dts=H","Dir=H",CONCATENATE("Points=",$B$1129),"Sort=R","Days=A","Fill=B",CONCATENATE("FX=", $B$1127) )</f>
        <v/>
      </c>
      <c r="K1519" t="str">
        <f>""</f>
        <v/>
      </c>
      <c r="L1519" t="str">
        <f>""</f>
        <v/>
      </c>
      <c r="M1519" t="str">
        <f>""</f>
        <v/>
      </c>
      <c r="N1519" t="str">
        <f>""</f>
        <v/>
      </c>
      <c r="O1519" t="str">
        <f>""</f>
        <v/>
      </c>
    </row>
    <row r="1520" spans="1:15" x14ac:dyDescent="0.25">
      <c r="A1520" t="str">
        <f>$A$404</f>
        <v xml:space="preserve">                    Life Corp</v>
      </c>
      <c r="B1520" t="str">
        <f>$B$404</f>
        <v>8194 JP Equity</v>
      </c>
      <c r="C1520" t="str">
        <f>$C$404</f>
        <v>F0946</v>
      </c>
      <c r="D1520" t="str">
        <f>$D$404</f>
        <v>TOTAL_GHG_CO2_EMISSIONS</v>
      </c>
      <c r="E1520" t="str">
        <f>$E$404</f>
        <v>Dynamic</v>
      </c>
      <c r="F1520" t="str">
        <f ca="1">_xll.BDH($B$404,$C$404,$B$1130,$B$1131,CONCATENATE("Per=",$B$1128),"Dts=H","Dir=H",CONCATENATE("Points=",$B$1129),"Sort=R","Days=A","Fill=B",CONCATENATE("FX=", $B$1127) )</f>
        <v/>
      </c>
      <c r="K1520" t="str">
        <f>""</f>
        <v/>
      </c>
      <c r="L1520" t="str">
        <f>""</f>
        <v/>
      </c>
      <c r="M1520" t="str">
        <f>""</f>
        <v/>
      </c>
      <c r="N1520" t="str">
        <f>""</f>
        <v/>
      </c>
      <c r="O1520" t="str">
        <f>""</f>
        <v/>
      </c>
    </row>
    <row r="1521" spans="1:15" x14ac:dyDescent="0.25">
      <c r="A1521" t="str">
        <f>$A$405</f>
        <v xml:space="preserve">                    Loblaw Cos Ltd</v>
      </c>
      <c r="B1521" t="str">
        <f>$B$405</f>
        <v>L CN Equity</v>
      </c>
      <c r="C1521" t="str">
        <f>$C$405</f>
        <v>F0946</v>
      </c>
      <c r="D1521" t="str">
        <f>$D$405</f>
        <v>TOTAL_GHG_CO2_EMISSIONS</v>
      </c>
      <c r="E1521" t="str">
        <f>$E$405</f>
        <v>Dynamic</v>
      </c>
      <c r="F1521">
        <f ca="1">_xll.BDH($B$405,$C$405,$B$1130,$B$1131,CONCATENATE("Per=",$B$1128),"Dts=H","Dir=H",CONCATENATE("Points=",$B$1129),"Sort=R","Days=A","Fill=B",CONCATENATE("FX=", $B$1127),"cols=5;rows=1")</f>
        <v>1.0327999999999999</v>
      </c>
      <c r="G1521">
        <v>0.66579999999999995</v>
      </c>
      <c r="H1521">
        <v>0.72140000000000004</v>
      </c>
      <c r="I1521">
        <v>0.7288</v>
      </c>
      <c r="J1521">
        <v>0.76890000000000003</v>
      </c>
      <c r="K1521" t="str">
        <f>""</f>
        <v/>
      </c>
      <c r="L1521" t="str">
        <f>""</f>
        <v/>
      </c>
      <c r="M1521" t="str">
        <f>""</f>
        <v/>
      </c>
      <c r="N1521" t="str">
        <f>""</f>
        <v/>
      </c>
      <c r="O1521" t="str">
        <f>""</f>
        <v/>
      </c>
    </row>
    <row r="1522" spans="1:15" x14ac:dyDescent="0.25">
      <c r="A1522" t="str">
        <f>$A$406</f>
        <v xml:space="preserve">                    Majid Al Futtaim Holding LLC</v>
      </c>
      <c r="B1522" t="str">
        <f>$B$406</f>
        <v>924669Z UH Equity</v>
      </c>
      <c r="C1522" t="str">
        <f>$C$406</f>
        <v>F0946</v>
      </c>
      <c r="D1522" t="str">
        <f>$D$406</f>
        <v>TOTAL_GHG_CO2_EMISSIONS</v>
      </c>
      <c r="E1522" t="str">
        <f>$E$406</f>
        <v>Dynamic</v>
      </c>
      <c r="F1522">
        <f ca="1">_xll.BDH($B$406,$C$406,$B$1130,$B$1131,CONCATENATE("Per=",$B$1128),"Dts=H","Dir=H",CONCATENATE("Points=",$B$1129),"Sort=R","Days=A","Fill=B",CONCATENATE("FX=", $B$1127),"cols=5;rows=1")</f>
        <v>0.83709999999999996</v>
      </c>
      <c r="G1522">
        <v>0.81379999999999997</v>
      </c>
      <c r="H1522">
        <v>0.80940000000000001</v>
      </c>
      <c r="I1522">
        <v>0.91990000000000005</v>
      </c>
      <c r="J1522">
        <v>0.76419999999999999</v>
      </c>
      <c r="K1522" t="str">
        <f>""</f>
        <v/>
      </c>
      <c r="L1522" t="str">
        <f>""</f>
        <v/>
      </c>
      <c r="M1522" t="str">
        <f>""</f>
        <v/>
      </c>
      <c r="N1522" t="str">
        <f>""</f>
        <v/>
      </c>
      <c r="O1522" t="str">
        <f>""</f>
        <v/>
      </c>
    </row>
    <row r="1523" spans="1:15" x14ac:dyDescent="0.25">
      <c r="A1523" t="str">
        <f>$A$407</f>
        <v xml:space="preserve">                    Mercadona SA</v>
      </c>
      <c r="B1523" t="str">
        <f>$B$407</f>
        <v>897482Z SM Equity</v>
      </c>
      <c r="C1523" t="str">
        <f>$C$407</f>
        <v>F0946</v>
      </c>
      <c r="D1523" t="str">
        <f>$D$407</f>
        <v>TOTAL_GHG_CO2_EMISSIONS</v>
      </c>
      <c r="E1523" t="str">
        <f>$E$407</f>
        <v>Dynamic</v>
      </c>
      <c r="F1523" t="str">
        <f ca="1">_xll.BDH($B$407,$C$407,$B$1130,$B$1131,CONCATENATE("Per=",$B$1128),"Dts=H","Dir=H",CONCATENATE("Points=",$B$1129),"Sort=R","Days=A","Fill=B",CONCATENATE("FX=", $B$1127) )</f>
        <v/>
      </c>
      <c r="K1523" t="str">
        <f>""</f>
        <v/>
      </c>
      <c r="L1523" t="str">
        <f>""</f>
        <v/>
      </c>
      <c r="M1523" t="str">
        <f>""</f>
        <v/>
      </c>
      <c r="N1523" t="str">
        <f>""</f>
        <v/>
      </c>
      <c r="O1523" t="str">
        <f>""</f>
        <v/>
      </c>
    </row>
    <row r="1524" spans="1:15" x14ac:dyDescent="0.25">
      <c r="A1524" t="str">
        <f>$A$408</f>
        <v xml:space="preserve">                    METRO AG</v>
      </c>
      <c r="B1524" t="str">
        <f>$B$408</f>
        <v>B4B GR Equity</v>
      </c>
      <c r="C1524" t="str">
        <f>$C$408</f>
        <v>F0946</v>
      </c>
      <c r="D1524" t="str">
        <f>$D$408</f>
        <v>TOTAL_GHG_CO2_EMISSIONS</v>
      </c>
      <c r="E1524" t="str">
        <f>$E$408</f>
        <v>Dynamic</v>
      </c>
      <c r="F1524">
        <f ca="1">_xll.BDH($B$408,$C$408,$B$1130,$B$1131,CONCATENATE("Per=",$B$1128),"Dts=H","Dir=H",CONCATENATE("Points=",$B$1129),"Sort=R","Days=A","Fill=B",CONCATENATE("FX=", $B$1127),"cols=5;rows=1")</f>
        <v>1.0871999999999999</v>
      </c>
      <c r="G1524">
        <v>1.0886</v>
      </c>
      <c r="H1524">
        <v>1.1453</v>
      </c>
      <c r="I1524">
        <v>1.1967000000000001</v>
      </c>
      <c r="J1524">
        <v>1.7272000000000001</v>
      </c>
      <c r="K1524" t="str">
        <f>""</f>
        <v/>
      </c>
      <c r="L1524" t="str">
        <f>""</f>
        <v/>
      </c>
      <c r="M1524" t="str">
        <f>""</f>
        <v/>
      </c>
      <c r="N1524" t="str">
        <f>""</f>
        <v/>
      </c>
      <c r="O1524" t="str">
        <f>""</f>
        <v/>
      </c>
    </row>
    <row r="1525" spans="1:15" x14ac:dyDescent="0.25">
      <c r="A1525" t="str">
        <f>$A$409</f>
        <v xml:space="preserve">                    Metro Inc/CN</v>
      </c>
      <c r="B1525" t="str">
        <f>$B$409</f>
        <v>MRU CN Equity</v>
      </c>
      <c r="C1525" t="str">
        <f>$C$409</f>
        <v>F0946</v>
      </c>
      <c r="D1525" t="str">
        <f>$D$409</f>
        <v>TOTAL_GHG_CO2_EMISSIONS</v>
      </c>
      <c r="E1525" t="str">
        <f>$E$409</f>
        <v>Dynamic</v>
      </c>
      <c r="F1525">
        <f ca="1">_xll.BDH($B$409,$C$409,$B$1130,$B$1131,CONCATENATE("Per=",$B$1128),"Dts=H","Dir=H",CONCATENATE("Points=",$B$1129),"Sort=R","Days=A","Fill=B",CONCATENATE("FX=", $B$1127),"cols=5;rows=1")</f>
        <v>0.28139999999999998</v>
      </c>
      <c r="G1525">
        <v>0.27929999999999999</v>
      </c>
      <c r="H1525">
        <v>0.28860000000000002</v>
      </c>
      <c r="K1525" t="str">
        <f>""</f>
        <v/>
      </c>
      <c r="L1525" t="str">
        <f>""</f>
        <v/>
      </c>
      <c r="M1525" t="str">
        <f>""</f>
        <v/>
      </c>
      <c r="N1525" t="str">
        <f>""</f>
        <v/>
      </c>
      <c r="O1525" t="str">
        <f>""</f>
        <v/>
      </c>
    </row>
    <row r="1526" spans="1:15" x14ac:dyDescent="0.25">
      <c r="A1526" t="str">
        <f>$A$410</f>
        <v xml:space="preserve">                    Migros Ticaret AS</v>
      </c>
      <c r="B1526" t="str">
        <f>$B$410</f>
        <v>MGROSTRY EO Equity</v>
      </c>
      <c r="C1526" t="str">
        <f>$C$410</f>
        <v>F0946</v>
      </c>
      <c r="D1526" t="str">
        <f>$D$410</f>
        <v>TOTAL_GHG_CO2_EMISSIONS</v>
      </c>
      <c r="E1526" t="str">
        <f>$E$410</f>
        <v>Dynamic</v>
      </c>
      <c r="F1526" t="str">
        <f ca="1">_xll.BDH($B$410,$C$410,$B$1130,$B$1131,CONCATENATE("Per=",$B$1128),"Dts=H","Dir=H",CONCATENATE("Points=",$B$1129),"Sort=R","Days=A","Fill=B",CONCATENATE("FX=", $B$1127),"cols=5;rows=1")</f>
        <v/>
      </c>
      <c r="G1526">
        <v>0.50890000000000002</v>
      </c>
      <c r="H1526">
        <v>0.504</v>
      </c>
      <c r="I1526">
        <v>0.50870000000000004</v>
      </c>
      <c r="J1526">
        <v>0.44679999999999997</v>
      </c>
      <c r="K1526" t="str">
        <f>""</f>
        <v/>
      </c>
      <c r="L1526" t="str">
        <f>""</f>
        <v/>
      </c>
      <c r="M1526" t="str">
        <f>""</f>
        <v/>
      </c>
      <c r="N1526" t="str">
        <f>""</f>
        <v/>
      </c>
      <c r="O1526" t="str">
        <f>""</f>
        <v/>
      </c>
    </row>
    <row r="1527" spans="1:15" x14ac:dyDescent="0.25">
      <c r="A1527" t="str">
        <f>$A$411</f>
        <v xml:space="preserve">                    Magnit PJSC</v>
      </c>
      <c r="B1527" t="str">
        <f>$B$411</f>
        <v>MGNT RM Equity</v>
      </c>
      <c r="C1527" t="str">
        <f>$C$411</f>
        <v>F0946</v>
      </c>
      <c r="D1527" t="str">
        <f>$D$411</f>
        <v>TOTAL_GHG_CO2_EMISSIONS</v>
      </c>
      <c r="E1527" t="str">
        <f>$E$411</f>
        <v>Dynamic</v>
      </c>
      <c r="F1527" t="str">
        <f ca="1">_xll.BDH($B$411,$C$411,$B$1130,$B$1131,CONCATENATE("Per=",$B$1128),"Dts=H","Dir=H",CONCATENATE("Points=",$B$1129),"Sort=R","Days=A","Fill=B",CONCATENATE("FX=", $B$1127),"cols=5;rows=1")</f>
        <v/>
      </c>
      <c r="H1527">
        <v>2.6</v>
      </c>
      <c r="I1527">
        <v>0.9</v>
      </c>
      <c r="J1527">
        <v>0.8</v>
      </c>
      <c r="K1527" t="str">
        <f>""</f>
        <v/>
      </c>
      <c r="L1527" t="str">
        <f>""</f>
        <v/>
      </c>
      <c r="M1527" t="str">
        <f>""</f>
        <v/>
      </c>
      <c r="N1527" t="str">
        <f>""</f>
        <v/>
      </c>
      <c r="O1527" t="str">
        <f>""</f>
        <v/>
      </c>
    </row>
    <row r="1528" spans="1:15" x14ac:dyDescent="0.25">
      <c r="A1528" t="str">
        <f>$A$412</f>
        <v xml:space="preserve">                    Meijer Inc</v>
      </c>
      <c r="B1528" t="str">
        <f>$B$412</f>
        <v>240163Z US Equity</v>
      </c>
      <c r="C1528" t="str">
        <f>$C$412</f>
        <v>F0946</v>
      </c>
      <c r="D1528" t="str">
        <f>$D$412</f>
        <v>TOTAL_GHG_CO2_EMISSIONS</v>
      </c>
      <c r="E1528" t="str">
        <f>$E$412</f>
        <v>Dynamic</v>
      </c>
      <c r="F1528" t="str">
        <f ca="1">_xll.BDH($B$412,$C$412,$B$1130,$B$1131,CONCATENATE("Per=",$B$1128),"Dts=H","Dir=H",CONCATENATE("Points=",$B$1129),"Sort=R","Days=A","Fill=B",CONCATENATE("FX=", $B$1127) )</f>
        <v/>
      </c>
      <c r="K1528" t="str">
        <f>""</f>
        <v/>
      </c>
      <c r="L1528" t="str">
        <f>""</f>
        <v/>
      </c>
      <c r="M1528" t="str">
        <f>""</f>
        <v/>
      </c>
      <c r="N1528" t="str">
        <f>""</f>
        <v/>
      </c>
      <c r="O1528" t="str">
        <f>""</f>
        <v/>
      </c>
    </row>
    <row r="1529" spans="1:15" x14ac:dyDescent="0.25">
      <c r="A1529" t="str">
        <f>$A$413</f>
        <v xml:space="preserve">                    Metcash Ltd</v>
      </c>
      <c r="B1529" t="str">
        <f>$B$413</f>
        <v>MTS AU Equity</v>
      </c>
      <c r="C1529" t="str">
        <f>$C$413</f>
        <v>F0946</v>
      </c>
      <c r="D1529" t="str">
        <f>$D$413</f>
        <v>TOTAL_GHG_CO2_EMISSIONS</v>
      </c>
      <c r="E1529" t="str">
        <f>$E$413</f>
        <v>Dynamic</v>
      </c>
      <c r="F1529" t="str">
        <f ca="1">_xll.BDH($B$413,$C$413,$B$1130,$B$1131,CONCATENATE("Per=",$B$1128),"Dts=H","Dir=H",CONCATENATE("Points=",$B$1129),"Sort=R","Days=A","Fill=B",CONCATENATE("FX=", $B$1127),"cols=5;rows=1")</f>
        <v/>
      </c>
      <c r="G1529">
        <v>7.7700000000000005E-2</v>
      </c>
      <c r="H1529">
        <v>8.0600000000000005E-2</v>
      </c>
      <c r="I1529">
        <v>8.5199999999999998E-2</v>
      </c>
      <c r="J1529">
        <v>8.7800000000000003E-2</v>
      </c>
      <c r="K1529" t="str">
        <f>""</f>
        <v/>
      </c>
      <c r="L1529" t="str">
        <f>""</f>
        <v/>
      </c>
      <c r="M1529" t="str">
        <f>""</f>
        <v/>
      </c>
      <c r="N1529" t="str">
        <f>""</f>
        <v/>
      </c>
      <c r="O1529" t="str">
        <f>""</f>
        <v/>
      </c>
    </row>
    <row r="1530" spans="1:15" x14ac:dyDescent="0.25">
      <c r="A1530" t="str">
        <f>$A$414</f>
        <v xml:space="preserve">                    North West Co Inc/The</v>
      </c>
      <c r="B1530" t="str">
        <f>$B$414</f>
        <v>NWC CN Equity</v>
      </c>
      <c r="C1530" t="str">
        <f>$C$414</f>
        <v>F0946</v>
      </c>
      <c r="D1530" t="str">
        <f>$D$414</f>
        <v>TOTAL_GHG_CO2_EMISSIONS</v>
      </c>
      <c r="E1530" t="str">
        <f>$E$414</f>
        <v>Dynamic</v>
      </c>
      <c r="F1530" t="str">
        <f ca="1">_xll.BDH($B$414,$C$414,$B$1130,$B$1131,CONCATENATE("Per=",$B$1128),"Dts=H","Dir=H",CONCATENATE("Points=",$B$1129),"Sort=R","Days=A","Fill=B",CONCATENATE("FX=", $B$1127) )</f>
        <v/>
      </c>
      <c r="K1530" t="str">
        <f>""</f>
        <v/>
      </c>
      <c r="L1530" t="str">
        <f>""</f>
        <v/>
      </c>
      <c r="M1530" t="str">
        <f>""</f>
        <v/>
      </c>
      <c r="N1530" t="str">
        <f>""</f>
        <v/>
      </c>
      <c r="O1530" t="str">
        <f>""</f>
        <v/>
      </c>
    </row>
    <row r="1531" spans="1:15" x14ac:dyDescent="0.25">
      <c r="A1531" t="str">
        <f>$A$415</f>
        <v xml:space="preserve">                    Natural Grocers by Vitamin Cot</v>
      </c>
      <c r="B1531" t="str">
        <f>$B$415</f>
        <v>NGVC US Equity</v>
      </c>
      <c r="C1531" t="str">
        <f>$C$415</f>
        <v>F0946</v>
      </c>
      <c r="D1531" t="str">
        <f>$D$415</f>
        <v>TOTAL_GHG_CO2_EMISSIONS</v>
      </c>
      <c r="E1531" t="str">
        <f>$E$415</f>
        <v>Dynamic</v>
      </c>
      <c r="F1531" t="str">
        <f ca="1">_xll.BDH($B$415,$C$415,$B$1130,$B$1131,CONCATENATE("Per=",$B$1128),"Dts=H","Dir=H",CONCATENATE("Points=",$B$1129),"Sort=R","Days=A","Fill=B",CONCATENATE("FX=", $B$1127) )</f>
        <v/>
      </c>
      <c r="K1531" t="str">
        <f>""</f>
        <v/>
      </c>
      <c r="L1531" t="str">
        <f>""</f>
        <v/>
      </c>
      <c r="M1531" t="str">
        <f>""</f>
        <v/>
      </c>
      <c r="N1531" t="str">
        <f>""</f>
        <v/>
      </c>
      <c r="O1531" t="str">
        <f>""</f>
        <v/>
      </c>
    </row>
    <row r="1532" spans="1:15" x14ac:dyDescent="0.25">
      <c r="A1532" t="str">
        <f>$A$416</f>
        <v xml:space="preserve">                    O'Key Group SA</v>
      </c>
      <c r="B1532" t="str">
        <f>$B$416</f>
        <v>OKEY LI Equity</v>
      </c>
      <c r="C1532" t="str">
        <f>$C$416</f>
        <v>F0946</v>
      </c>
      <c r="D1532" t="str">
        <f>$D$416</f>
        <v>TOTAL_GHG_CO2_EMISSIONS</v>
      </c>
      <c r="E1532" t="str">
        <f>$E$416</f>
        <v>Dynamic</v>
      </c>
      <c r="F1532" t="str">
        <f ca="1">_xll.BDH($B$416,$C$416,$B$1130,$B$1131,CONCATENATE("Per=",$B$1128),"Dts=H","Dir=H",CONCATENATE("Points=",$B$1129),"Sort=R","Days=A","Fill=B",CONCATENATE("FX=", $B$1127) )</f>
        <v/>
      </c>
      <c r="K1532" t="str">
        <f>""</f>
        <v/>
      </c>
      <c r="L1532" t="str">
        <f>""</f>
        <v/>
      </c>
      <c r="M1532" t="str">
        <f>""</f>
        <v/>
      </c>
      <c r="N1532" t="str">
        <f>""</f>
        <v/>
      </c>
      <c r="O1532" t="str">
        <f>""</f>
        <v/>
      </c>
    </row>
    <row r="1533" spans="1:15" x14ac:dyDescent="0.25">
      <c r="A1533" t="str">
        <f>$A$417</f>
        <v xml:space="preserve">                    Ocado Group PLC</v>
      </c>
      <c r="B1533" t="str">
        <f>$B$417</f>
        <v>OCDO LN Equity</v>
      </c>
      <c r="C1533" t="str">
        <f>$C$417</f>
        <v>F0946</v>
      </c>
      <c r="D1533" t="str">
        <f>$D$417</f>
        <v>TOTAL_GHG_CO2_EMISSIONS</v>
      </c>
      <c r="E1533" t="str">
        <f>$E$417</f>
        <v>Dynamic</v>
      </c>
      <c r="F1533">
        <f ca="1">_xll.BDH($B$417,$C$417,$B$1130,$B$1131,CONCATENATE("Per=",$B$1128),"Dts=H","Dir=H",CONCATENATE("Points=",$B$1129),"Sort=R","Days=A","Fill=B",CONCATENATE("FX=", $B$1127),"cols=5;rows=1")</f>
        <v>0.11749999999999999</v>
      </c>
      <c r="G1533">
        <v>0.11749999999999999</v>
      </c>
      <c r="H1533">
        <v>0.1087</v>
      </c>
      <c r="I1533">
        <v>0.10929999999999999</v>
      </c>
      <c r="J1533">
        <v>0.11269999999999999</v>
      </c>
      <c r="K1533" t="str">
        <f>""</f>
        <v/>
      </c>
      <c r="L1533" t="str">
        <f>""</f>
        <v/>
      </c>
      <c r="M1533" t="str">
        <f>""</f>
        <v/>
      </c>
      <c r="N1533" t="str">
        <f>""</f>
        <v/>
      </c>
      <c r="O1533" t="str">
        <f>""</f>
        <v/>
      </c>
    </row>
    <row r="1534" spans="1:15" x14ac:dyDescent="0.25">
      <c r="A1534" t="str">
        <f>$A$418</f>
        <v xml:space="preserve">                    Pan Pacific International Hold</v>
      </c>
      <c r="B1534" t="str">
        <f>$B$418</f>
        <v>7532 JP Equity</v>
      </c>
      <c r="C1534" t="str">
        <f>$C$418</f>
        <v>F0946</v>
      </c>
      <c r="D1534" t="str">
        <f>$D$418</f>
        <v>TOTAL_GHG_CO2_EMISSIONS</v>
      </c>
      <c r="E1534" t="str">
        <f>$E$418</f>
        <v>Dynamic</v>
      </c>
      <c r="F1534" t="str">
        <f ca="1">_xll.BDH($B$418,$C$418,$B$1130,$B$1131,CONCATENATE("Per=",$B$1128),"Dts=H","Dir=H",CONCATENATE("Points=",$B$1129),"Sort=R","Days=A","Fill=B",CONCATENATE("FX=", $B$1127),"cols=5;rows=1")</f>
        <v/>
      </c>
      <c r="G1534">
        <v>0.54749999999999999</v>
      </c>
      <c r="H1534">
        <v>0.5554</v>
      </c>
      <c r="I1534">
        <v>0.58660000000000001</v>
      </c>
      <c r="J1534">
        <v>0.36480000000000001</v>
      </c>
      <c r="K1534" t="str">
        <f>""</f>
        <v/>
      </c>
      <c r="L1534" t="str">
        <f>""</f>
        <v/>
      </c>
      <c r="M1534" t="str">
        <f>""</f>
        <v/>
      </c>
      <c r="N1534" t="str">
        <f>""</f>
        <v/>
      </c>
      <c r="O1534" t="str">
        <f>""</f>
        <v/>
      </c>
    </row>
    <row r="1535" spans="1:15" x14ac:dyDescent="0.25">
      <c r="A1535" t="str">
        <f>$A$419</f>
        <v xml:space="preserve">                    President Chain Store Corp</v>
      </c>
      <c r="B1535" t="str">
        <f>$B$419</f>
        <v>2912 TT Equity</v>
      </c>
      <c r="C1535" t="str">
        <f>$C$419</f>
        <v>F0946</v>
      </c>
      <c r="D1535" t="str">
        <f>$D$419</f>
        <v>TOTAL_GHG_CO2_EMISSIONS</v>
      </c>
      <c r="E1535" t="str">
        <f>$E$419</f>
        <v>Dynamic</v>
      </c>
      <c r="F1535" t="str">
        <f ca="1">_xll.BDH($B$419,$C$419,$B$1130,$B$1131,CONCATENATE("Per=",$B$1128),"Dts=H","Dir=H",CONCATENATE("Points=",$B$1129),"Sort=R","Days=A","Fill=B",CONCATENATE("FX=", $B$1127),"cols=5;rows=1")</f>
        <v/>
      </c>
      <c r="G1535">
        <v>0.49619999999999997</v>
      </c>
      <c r="H1535">
        <v>0.50329999999999997</v>
      </c>
      <c r="I1535">
        <v>0.4768</v>
      </c>
      <c r="J1535">
        <v>0.60189999999999999</v>
      </c>
      <c r="K1535" t="str">
        <f>""</f>
        <v/>
      </c>
      <c r="L1535" t="str">
        <f>""</f>
        <v/>
      </c>
      <c r="M1535" t="str">
        <f>""</f>
        <v/>
      </c>
      <c r="N1535" t="str">
        <f>""</f>
        <v/>
      </c>
      <c r="O1535" t="str">
        <f>""</f>
        <v/>
      </c>
    </row>
    <row r="1536" spans="1:15" x14ac:dyDescent="0.25">
      <c r="A1536" t="str">
        <f>$A$420</f>
        <v xml:space="preserve">                    Puljanka dd Pula</v>
      </c>
      <c r="B1536" t="str">
        <f>$B$420</f>
        <v>PLJKRA CZ Equity</v>
      </c>
      <c r="C1536" t="str">
        <f>$C$420</f>
        <v>F0946</v>
      </c>
      <c r="D1536" t="str">
        <f>$D$420</f>
        <v>TOTAL_GHG_CO2_EMISSIONS</v>
      </c>
      <c r="E1536" t="str">
        <f>$E$420</f>
        <v>Dynamic</v>
      </c>
      <c r="F1536" t="str">
        <f ca="1">_xll.BDH($B$420,$C$420,$B$1130,$B$1131,CONCATENATE("Per=",$B$1128),"Dts=H","Dir=H",CONCATENATE("Points=",$B$1129),"Sort=R","Days=A","Fill=B",CONCATENATE("FX=", $B$1127) )</f>
        <v/>
      </c>
      <c r="K1536" t="str">
        <f>""</f>
        <v/>
      </c>
      <c r="L1536" t="str">
        <f>""</f>
        <v/>
      </c>
      <c r="M1536" t="str">
        <f>""</f>
        <v/>
      </c>
      <c r="N1536" t="str">
        <f>""</f>
        <v/>
      </c>
      <c r="O1536" t="str">
        <f>""</f>
        <v/>
      </c>
    </row>
    <row r="1537" spans="1:15" x14ac:dyDescent="0.25">
      <c r="A1537" t="str">
        <f>$A$421</f>
        <v xml:space="preserve">                    Pick n Pay Stores Ltd</v>
      </c>
      <c r="B1537" t="str">
        <f>$B$421</f>
        <v>PIK SJ Equity</v>
      </c>
      <c r="C1537" t="str">
        <f>$C$421</f>
        <v>F0946</v>
      </c>
      <c r="D1537" t="str">
        <f>$D$421</f>
        <v>TOTAL_GHG_CO2_EMISSIONS</v>
      </c>
      <c r="E1537" t="str">
        <f>$E$421</f>
        <v>Dynamic</v>
      </c>
      <c r="F1537">
        <f ca="1">_xll.BDH($B$421,$C$421,$B$1130,$B$1131,CONCATENATE("Per=",$B$1128),"Dts=H","Dir=H",CONCATENATE("Points=",$B$1129),"Sort=R","Days=A","Fill=B",CONCATENATE("FX=", $B$1127),"cols=5;rows=1")</f>
        <v>1.1433</v>
      </c>
      <c r="G1537">
        <v>0.97140000000000004</v>
      </c>
      <c r="H1537">
        <v>0.88959999999999995</v>
      </c>
      <c r="I1537">
        <v>0.98719999999999997</v>
      </c>
      <c r="J1537">
        <v>0.8266</v>
      </c>
      <c r="K1537" t="str">
        <f>""</f>
        <v/>
      </c>
      <c r="L1537" t="str">
        <f>""</f>
        <v/>
      </c>
      <c r="M1537" t="str">
        <f>""</f>
        <v/>
      </c>
      <c r="N1537" t="str">
        <f>""</f>
        <v/>
      </c>
      <c r="O1537" t="str">
        <f>""</f>
        <v/>
      </c>
    </row>
    <row r="1538" spans="1:15" x14ac:dyDescent="0.25">
      <c r="A1538" t="str">
        <f>$A$422</f>
        <v xml:space="preserve">                    Renrenle Commercial Group Co L</v>
      </c>
      <c r="B1538" t="str">
        <f>$B$422</f>
        <v>002336 CH Equity</v>
      </c>
      <c r="C1538" t="str">
        <f>$C$422</f>
        <v>F0946</v>
      </c>
      <c r="D1538" t="str">
        <f>$D$422</f>
        <v>TOTAL_GHG_CO2_EMISSIONS</v>
      </c>
      <c r="E1538" t="str">
        <f>$E$422</f>
        <v>Dynamic</v>
      </c>
      <c r="F1538" t="str">
        <f ca="1">_xll.BDH($B$422,$C$422,$B$1130,$B$1131,CONCATENATE("Per=",$B$1128),"Dts=H","Dir=H",CONCATENATE("Points=",$B$1129),"Sort=R","Days=A","Fill=B",CONCATENATE("FX=", $B$1127) )</f>
        <v/>
      </c>
      <c r="K1538" t="str">
        <f>""</f>
        <v/>
      </c>
      <c r="L1538" t="str">
        <f>""</f>
        <v/>
      </c>
      <c r="M1538" t="str">
        <f>""</f>
        <v/>
      </c>
      <c r="N1538" t="str">
        <f>""</f>
        <v/>
      </c>
      <c r="O1538" t="str">
        <f>""</f>
        <v/>
      </c>
    </row>
    <row r="1539" spans="1:15" x14ac:dyDescent="0.25">
      <c r="A1539" t="str">
        <f>$A$423</f>
        <v xml:space="preserve">                    REWE-Handelsgruppe Gmbh</v>
      </c>
      <c r="B1539" t="str">
        <f>$B$423</f>
        <v>1002Z GR Equity</v>
      </c>
      <c r="C1539" t="str">
        <f>$C$423</f>
        <v>F0946</v>
      </c>
      <c r="D1539" t="str">
        <f>$D$423</f>
        <v>TOTAL_GHG_CO2_EMISSIONS</v>
      </c>
      <c r="E1539" t="str">
        <f>$E$423</f>
        <v>Dynamic</v>
      </c>
      <c r="F1539" t="str">
        <f ca="1">_xll.BDH($B$423,$C$423,$B$1130,$B$1131,CONCATENATE("Per=",$B$1128),"Dts=H","Dir=H",CONCATENATE("Points=",$B$1129),"Sort=R","Days=A","Fill=B",CONCATENATE("FX=", $B$1127) )</f>
        <v/>
      </c>
      <c r="K1539" t="str">
        <f>""</f>
        <v/>
      </c>
      <c r="L1539" t="str">
        <f>""</f>
        <v/>
      </c>
      <c r="M1539" t="str">
        <f>""</f>
        <v/>
      </c>
      <c r="N1539" t="str">
        <f>""</f>
        <v/>
      </c>
      <c r="O1539" t="str">
        <f>""</f>
        <v/>
      </c>
    </row>
    <row r="1540" spans="1:15" x14ac:dyDescent="0.25">
      <c r="A1540" t="str">
        <f>$A$424</f>
        <v xml:space="preserve">                    Robinsons Retail Holdings Inc</v>
      </c>
      <c r="B1540" t="str">
        <f>$B$424</f>
        <v>RRHI PM Equity</v>
      </c>
      <c r="C1540" t="str">
        <f>$C$424</f>
        <v>F0946</v>
      </c>
      <c r="D1540" t="str">
        <f>$D$424</f>
        <v>TOTAL_GHG_CO2_EMISSIONS</v>
      </c>
      <c r="E1540" t="str">
        <f>$E$424</f>
        <v>Dynamic</v>
      </c>
      <c r="F1540" t="str">
        <f ca="1">_xll.BDH($B$424,$C$424,$B$1130,$B$1131,CONCATENATE("Per=",$B$1128),"Dts=H","Dir=H",CONCATENATE("Points=",$B$1129),"Sort=R","Days=A","Fill=B",CONCATENATE("FX=", $B$1127),"cols=5;rows=1")</f>
        <v/>
      </c>
      <c r="G1540">
        <v>0.36919999999999997</v>
      </c>
      <c r="J1540">
        <v>0.17319999999999999</v>
      </c>
      <c r="K1540" t="str">
        <f>""</f>
        <v/>
      </c>
      <c r="L1540" t="str">
        <f>""</f>
        <v/>
      </c>
      <c r="M1540" t="str">
        <f>""</f>
        <v/>
      </c>
      <c r="N1540" t="str">
        <f>""</f>
        <v/>
      </c>
      <c r="O1540" t="str">
        <f>""</f>
        <v/>
      </c>
    </row>
    <row r="1541" spans="1:15" x14ac:dyDescent="0.25">
      <c r="A1541" t="str">
        <f>$A$425</f>
        <v xml:space="preserve">                    Roundy's Inc</v>
      </c>
      <c r="B1541" t="str">
        <f>$B$425</f>
        <v>RNDY US Equity</v>
      </c>
      <c r="C1541" t="str">
        <f>$C$425</f>
        <v>F0946</v>
      </c>
      <c r="D1541" t="str">
        <f>$D$425</f>
        <v>TOTAL_GHG_CO2_EMISSIONS</v>
      </c>
      <c r="E1541" t="str">
        <f>$E$425</f>
        <v>Dynamic</v>
      </c>
      <c r="F1541" t="str">
        <f ca="1">_xll.BDH($B$425,$C$425,$B$1130,$B$1131,CONCATENATE("Per=",$B$1128),"Dts=H","Dir=H",CONCATENATE("Points=",$B$1129),"Sort=R","Days=A","Fill=B",CONCATENATE("FX=", $B$1127) )</f>
        <v/>
      </c>
      <c r="K1541" t="str">
        <f>""</f>
        <v/>
      </c>
      <c r="L1541" t="str">
        <f>""</f>
        <v/>
      </c>
      <c r="M1541" t="str">
        <f>""</f>
        <v/>
      </c>
      <c r="N1541" t="str">
        <f>""</f>
        <v/>
      </c>
      <c r="O1541" t="str">
        <f>""</f>
        <v/>
      </c>
    </row>
    <row r="1542" spans="1:15" x14ac:dyDescent="0.25">
      <c r="A1542" t="str">
        <f>$A$426</f>
        <v xml:space="preserve">                    Sendas Distribuidora S/A</v>
      </c>
      <c r="B1542" t="str">
        <f>$B$426</f>
        <v>ASAI3 BZ Equity</v>
      </c>
      <c r="C1542" t="str">
        <f>$C$426</f>
        <v>F0946</v>
      </c>
      <c r="D1542" t="str">
        <f>$D$426</f>
        <v>TOTAL_GHG_CO2_EMISSIONS</v>
      </c>
      <c r="E1542" t="str">
        <f>$E$426</f>
        <v>Dynamic</v>
      </c>
      <c r="F1542">
        <f ca="1">_xll.BDH($B$426,$C$426,$B$1130,$B$1131,CONCATENATE("Per=",$B$1128),"Dts=H","Dir=H",CONCATENATE("Points=",$B$1129),"Sort=R","Days=A","Fill=B",CONCATENATE("FX=", $B$1127),"cols=5;rows=1")</f>
        <v>0.11360000000000001</v>
      </c>
      <c r="G1542">
        <v>0.15709999999999999</v>
      </c>
      <c r="H1542">
        <v>0.1411</v>
      </c>
      <c r="K1542" t="str">
        <f>""</f>
        <v/>
      </c>
      <c r="L1542" t="str">
        <f>""</f>
        <v/>
      </c>
      <c r="M1542" t="str">
        <f>""</f>
        <v/>
      </c>
      <c r="N1542" t="str">
        <f>""</f>
        <v/>
      </c>
      <c r="O1542" t="str">
        <f>""</f>
        <v/>
      </c>
    </row>
    <row r="1543" spans="1:15" x14ac:dyDescent="0.25">
      <c r="A1543" t="str">
        <f>$A$427</f>
        <v xml:space="preserve">                    Shanghai Bailian Group Co Ltd</v>
      </c>
      <c r="B1543" t="str">
        <f>$B$427</f>
        <v>900923 CH Equity</v>
      </c>
      <c r="C1543" t="str">
        <f>$C$427</f>
        <v>F0946</v>
      </c>
      <c r="D1543" t="str">
        <f>$D$427</f>
        <v>TOTAL_GHG_CO2_EMISSIONS</v>
      </c>
      <c r="E1543" t="str">
        <f>$E$427</f>
        <v>Dynamic</v>
      </c>
      <c r="F1543" t="str">
        <f ca="1">_xll.BDH($B$427,$C$427,$B$1130,$B$1131,CONCATENATE("Per=",$B$1128),"Dts=H","Dir=H",CONCATENATE("Points=",$B$1129),"Sort=R","Days=A","Fill=B",CONCATENATE("FX=", $B$1127) )</f>
        <v/>
      </c>
      <c r="K1543" t="str">
        <f>""</f>
        <v/>
      </c>
      <c r="L1543" t="str">
        <f>""</f>
        <v/>
      </c>
      <c r="M1543" t="str">
        <f>""</f>
        <v/>
      </c>
      <c r="N1543" t="str">
        <f>""</f>
        <v/>
      </c>
      <c r="O1543" t="str">
        <f>""</f>
        <v/>
      </c>
    </row>
    <row r="1544" spans="1:15" x14ac:dyDescent="0.25">
      <c r="A1544" t="str">
        <f>$A$428</f>
        <v xml:space="preserve">                    Shanghai Bailian Group Co Ltd</v>
      </c>
      <c r="B1544" t="str">
        <f>$B$428</f>
        <v>600827 CH Equity</v>
      </c>
      <c r="C1544" t="str">
        <f>$C$428</f>
        <v>F0946</v>
      </c>
      <c r="D1544" t="str">
        <f>$D$428</f>
        <v>TOTAL_GHG_CO2_EMISSIONS</v>
      </c>
      <c r="E1544" t="str">
        <f>$E$428</f>
        <v>Dynamic</v>
      </c>
      <c r="F1544" t="str">
        <f ca="1">_xll.BDH($B$428,$C$428,$B$1130,$B$1131,CONCATENATE("Per=",$B$1128),"Dts=H","Dir=H",CONCATENATE("Points=",$B$1129),"Sort=R","Days=A","Fill=B",CONCATENATE("FX=", $B$1127) )</f>
        <v/>
      </c>
      <c r="K1544" t="str">
        <f>""</f>
        <v/>
      </c>
      <c r="L1544" t="str">
        <f>""</f>
        <v/>
      </c>
      <c r="M1544" t="str">
        <f>""</f>
        <v/>
      </c>
      <c r="N1544" t="str">
        <f>""</f>
        <v/>
      </c>
      <c r="O1544" t="str">
        <f>""</f>
        <v/>
      </c>
    </row>
    <row r="1545" spans="1:15" x14ac:dyDescent="0.25">
      <c r="A1545" t="str">
        <f>$A$429</f>
        <v xml:space="preserve">                    Shoprite Holdings Ltd</v>
      </c>
      <c r="B1545" t="str">
        <f>$B$429</f>
        <v>SHP SJ Equity</v>
      </c>
      <c r="C1545" t="str">
        <f>$C$429</f>
        <v>F0946</v>
      </c>
      <c r="D1545" t="str">
        <f>$D$429</f>
        <v>TOTAL_GHG_CO2_EMISSIONS</v>
      </c>
      <c r="E1545" t="str">
        <f>$E$429</f>
        <v>Dynamic</v>
      </c>
      <c r="F1545" t="str">
        <f ca="1">_xll.BDH($B$429,$C$429,$B$1130,$B$1131,CONCATENATE("Per=",$B$1128),"Dts=H","Dir=H",CONCATENATE("Points=",$B$1129),"Sort=R","Days=A","Fill=B",CONCATENATE("FX=", $B$1127),"cols=5;rows=1")</f>
        <v/>
      </c>
      <c r="G1545">
        <v>2.4609000000000001</v>
      </c>
      <c r="H1545">
        <v>2.4420999999999999</v>
      </c>
      <c r="I1545">
        <v>2.5697000000000001</v>
      </c>
      <c r="J1545">
        <v>2.2824</v>
      </c>
      <c r="K1545" t="str">
        <f>""</f>
        <v/>
      </c>
      <c r="L1545" t="str">
        <f>""</f>
        <v/>
      </c>
      <c r="M1545" t="str">
        <f>""</f>
        <v/>
      </c>
      <c r="N1545" t="str">
        <f>""</f>
        <v/>
      </c>
      <c r="O1545" t="str">
        <f>""</f>
        <v/>
      </c>
    </row>
    <row r="1546" spans="1:15" x14ac:dyDescent="0.25">
      <c r="A1546" t="str">
        <f>$A$430</f>
        <v xml:space="preserve">                    Siam Makro PCL</v>
      </c>
      <c r="B1546" t="str">
        <f>$B$430</f>
        <v>MAKRO TB Equity</v>
      </c>
      <c r="C1546" t="str">
        <f>$C$430</f>
        <v>F0946</v>
      </c>
      <c r="D1546" t="str">
        <f>$D$430</f>
        <v>TOTAL_GHG_CO2_EMISSIONS</v>
      </c>
      <c r="E1546" t="str">
        <f>$E$430</f>
        <v>Dynamic</v>
      </c>
      <c r="F1546">
        <f ca="1">_xll.BDH($B$430,$C$430,$B$1130,$B$1131,CONCATENATE("Per=",$B$1128),"Dts=H","Dir=H",CONCATENATE("Points=",$B$1129),"Sort=R","Days=A","Fill=B",CONCATENATE("FX=", $B$1127),"cols=5;rows=1")</f>
        <v>0.71809999999999996</v>
      </c>
      <c r="G1546">
        <v>0.2515</v>
      </c>
      <c r="H1546">
        <v>0.23350000000000001</v>
      </c>
      <c r="I1546">
        <v>0.26290000000000002</v>
      </c>
      <c r="J1546">
        <v>0.2596</v>
      </c>
      <c r="K1546" t="str">
        <f>""</f>
        <v/>
      </c>
      <c r="L1546" t="str">
        <f>""</f>
        <v/>
      </c>
      <c r="M1546" t="str">
        <f>""</f>
        <v/>
      </c>
      <c r="N1546" t="str">
        <f>""</f>
        <v/>
      </c>
      <c r="O1546" t="str">
        <f>""</f>
        <v/>
      </c>
    </row>
    <row r="1547" spans="1:15" x14ac:dyDescent="0.25">
      <c r="A1547" t="str">
        <f>$A$431</f>
        <v xml:space="preserve">                    SpartanNash Co</v>
      </c>
      <c r="B1547" t="str">
        <f>$B$431</f>
        <v>SPTN US Equity</v>
      </c>
      <c r="C1547" t="str">
        <f>$C$431</f>
        <v>F0946</v>
      </c>
      <c r="D1547" t="str">
        <f>$D$431</f>
        <v>TOTAL_GHG_CO2_EMISSIONS</v>
      </c>
      <c r="E1547" t="str">
        <f>$E$431</f>
        <v>Dynamic</v>
      </c>
      <c r="F1547" t="str">
        <f ca="1">_xll.BDH($B$431,$C$431,$B$1130,$B$1131,CONCATENATE("Per=",$B$1128),"Dts=H","Dir=H",CONCATENATE("Points=",$B$1129),"Sort=R","Days=A","Fill=B",CONCATENATE("FX=", $B$1127) )</f>
        <v/>
      </c>
      <c r="K1547" t="str">
        <f>""</f>
        <v/>
      </c>
      <c r="L1547" t="str">
        <f>""</f>
        <v/>
      </c>
      <c r="M1547" t="str">
        <f>""</f>
        <v/>
      </c>
      <c r="N1547" t="str">
        <f>""</f>
        <v/>
      </c>
      <c r="O1547" t="str">
        <f>""</f>
        <v/>
      </c>
    </row>
    <row r="1548" spans="1:15" x14ac:dyDescent="0.25">
      <c r="A1548" t="str">
        <f>$A$432</f>
        <v xml:space="preserve">                    Sumber Alfaria Trijaya Tbk PT</v>
      </c>
      <c r="B1548" t="str">
        <f>$B$432</f>
        <v>AMRT IJ Equity</v>
      </c>
      <c r="C1548" t="str">
        <f>$C$432</f>
        <v>F0946</v>
      </c>
      <c r="D1548" t="str">
        <f>$D$432</f>
        <v>TOTAL_GHG_CO2_EMISSIONS</v>
      </c>
      <c r="E1548" t="str">
        <f>$E$432</f>
        <v>Dynamic</v>
      </c>
      <c r="F1548">
        <f ca="1">_xll.BDH($B$432,$C$432,$B$1130,$B$1131,CONCATENATE("Per=",$B$1128),"Dts=H","Dir=H",CONCATENATE("Points=",$B$1129),"Sort=R","Days=A","Fill=B",CONCATENATE("FX=", $B$1127),"cols=5;rows=1")</f>
        <v>6.7999999999999996E-3</v>
      </c>
      <c r="G1548">
        <v>6.3E-3</v>
      </c>
      <c r="H1548">
        <v>6.4000000000000003E-3</v>
      </c>
      <c r="K1548" t="str">
        <f>""</f>
        <v/>
      </c>
      <c r="L1548" t="str">
        <f>""</f>
        <v/>
      </c>
      <c r="M1548" t="str">
        <f>""</f>
        <v/>
      </c>
      <c r="N1548" t="str">
        <f>""</f>
        <v/>
      </c>
      <c r="O1548" t="str">
        <f>""</f>
        <v/>
      </c>
    </row>
    <row r="1549" spans="1:15" x14ac:dyDescent="0.25">
      <c r="A1549" t="str">
        <f>$A$433</f>
        <v xml:space="preserve">                    Sun Art Retail Group Ltd</v>
      </c>
      <c r="B1549" t="str">
        <f>$B$433</f>
        <v>6808 HK Equity</v>
      </c>
      <c r="C1549" t="str">
        <f>$C$433</f>
        <v>F0946</v>
      </c>
      <c r="D1549" t="str">
        <f>$D$433</f>
        <v>TOTAL_GHG_CO2_EMISSIONS</v>
      </c>
      <c r="E1549" t="str">
        <f>$E$433</f>
        <v>Dynamic</v>
      </c>
      <c r="F1549" t="str">
        <f ca="1">_xll.BDH($B$433,$C$433,$B$1130,$B$1131,CONCATENATE("Per=",$B$1128),"Dts=H","Dir=H",CONCATENATE("Points=",$B$1129),"Sort=R","Days=A","Fill=B",CONCATENATE("FX=", $B$1127),"cols=5;rows=1")</f>
        <v/>
      </c>
      <c r="H1549">
        <v>2.1553</v>
      </c>
      <c r="I1549">
        <v>2.5607000000000002</v>
      </c>
      <c r="J1549">
        <v>2.419</v>
      </c>
      <c r="K1549" t="str">
        <f>""</f>
        <v/>
      </c>
      <c r="L1549" t="str">
        <f>""</f>
        <v/>
      </c>
      <c r="M1549" t="str">
        <f>""</f>
        <v/>
      </c>
      <c r="N1549" t="str">
        <f>""</f>
        <v/>
      </c>
      <c r="O1549" t="str">
        <f>""</f>
        <v/>
      </c>
    </row>
    <row r="1550" spans="1:15" x14ac:dyDescent="0.25">
      <c r="A1550" t="str">
        <f>$A$434</f>
        <v xml:space="preserve">                    Sonae SGPS SA</v>
      </c>
      <c r="B1550" t="str">
        <f>$B$434</f>
        <v>SON PL Equity</v>
      </c>
      <c r="C1550" t="str">
        <f>$C$434</f>
        <v>F0946</v>
      </c>
      <c r="D1550" t="str">
        <f>$D$434</f>
        <v>TOTAL_GHG_CO2_EMISSIONS</v>
      </c>
      <c r="E1550" t="str">
        <f>$E$434</f>
        <v>Dynamic</v>
      </c>
      <c r="F1550">
        <f ca="1">_xll.BDH($B$434,$C$434,$B$1130,$B$1131,CONCATENATE("Per=",$B$1128),"Dts=H","Dir=H",CONCATENATE("Points=",$B$1129),"Sort=R","Days=A","Fill=B",CONCATENATE("FX=", $B$1127),"cols=5;rows=1")</f>
        <v>0.2162</v>
      </c>
      <c r="G1550">
        <v>0.13450000000000001</v>
      </c>
      <c r="H1550">
        <v>0.1633</v>
      </c>
      <c r="I1550">
        <v>0.20069999999999999</v>
      </c>
      <c r="J1550">
        <v>0.24529999999999999</v>
      </c>
      <c r="K1550" t="str">
        <f>""</f>
        <v/>
      </c>
      <c r="L1550" t="str">
        <f>""</f>
        <v/>
      </c>
      <c r="M1550" t="str">
        <f>""</f>
        <v/>
      </c>
      <c r="N1550" t="str">
        <f>""</f>
        <v/>
      </c>
      <c r="O1550" t="str">
        <f>""</f>
        <v/>
      </c>
    </row>
    <row r="1551" spans="1:15" x14ac:dyDescent="0.25">
      <c r="A1551" t="str">
        <f>$A$435</f>
        <v xml:space="preserve">                    Stater Bros Holdings Inc</v>
      </c>
      <c r="B1551" t="str">
        <f>$B$435</f>
        <v>5733Z US Equity</v>
      </c>
      <c r="C1551" t="str">
        <f>$C$435</f>
        <v>F0946</v>
      </c>
      <c r="D1551" t="str">
        <f>$D$435</f>
        <v>TOTAL_GHG_CO2_EMISSIONS</v>
      </c>
      <c r="E1551" t="str">
        <f>$E$435</f>
        <v>Dynamic</v>
      </c>
      <c r="F1551" t="str">
        <f ca="1">_xll.BDH($B$435,$C$435,$B$1130,$B$1131,CONCATENATE("Per=",$B$1128),"Dts=H","Dir=H",CONCATENATE("Points=",$B$1129),"Sort=R","Days=A","Fill=B",CONCATENATE("FX=", $B$1127) )</f>
        <v/>
      </c>
      <c r="K1551" t="str">
        <f>""</f>
        <v/>
      </c>
      <c r="L1551" t="str">
        <f>""</f>
        <v/>
      </c>
      <c r="M1551" t="str">
        <f>""</f>
        <v/>
      </c>
      <c r="N1551" t="str">
        <f>""</f>
        <v/>
      </c>
      <c r="O1551" t="str">
        <f>""</f>
        <v/>
      </c>
    </row>
    <row r="1552" spans="1:15" x14ac:dyDescent="0.25">
      <c r="A1552" t="str">
        <f>$A$436</f>
        <v xml:space="preserve">                    Tallinna Kaubamaja Grupp AS</v>
      </c>
      <c r="B1552" t="str">
        <f>$B$436</f>
        <v>TKM1T ET Equity</v>
      </c>
      <c r="C1552" t="str">
        <f>$C$436</f>
        <v>F0946</v>
      </c>
      <c r="D1552" t="str">
        <f>$D$436</f>
        <v>TOTAL_GHG_CO2_EMISSIONS</v>
      </c>
      <c r="E1552" t="str">
        <f>$E$436</f>
        <v>Dynamic</v>
      </c>
      <c r="F1552">
        <f ca="1">_xll.BDH($B$436,$C$436,$B$1130,$B$1131,CONCATENATE("Per=",$B$1128),"Dts=H","Dir=H",CONCATENATE("Points=",$B$1129),"Sort=R","Days=A","Fill=B",CONCATENATE("FX=", $B$1127),"cols=5;rows=1")</f>
        <v>5.28E-2</v>
      </c>
      <c r="G1552">
        <v>5.5599999999999997E-2</v>
      </c>
      <c r="H1552">
        <v>8.1199999999999994E-2</v>
      </c>
      <c r="I1552">
        <v>7.1800000000000003E-2</v>
      </c>
      <c r="J1552">
        <v>9.4799999999999995E-2</v>
      </c>
      <c r="K1552" t="str">
        <f>""</f>
        <v/>
      </c>
      <c r="L1552" t="str">
        <f>""</f>
        <v/>
      </c>
      <c r="M1552" t="str">
        <f>""</f>
        <v/>
      </c>
      <c r="N1552" t="str">
        <f>""</f>
        <v/>
      </c>
      <c r="O1552" t="str">
        <f>""</f>
        <v/>
      </c>
    </row>
    <row r="1553" spans="1:15" x14ac:dyDescent="0.25">
      <c r="A1553" t="str">
        <f>$A$437</f>
        <v xml:space="preserve">                    Target Corp</v>
      </c>
      <c r="B1553" t="str">
        <f>$B$437</f>
        <v>TGT US Equity</v>
      </c>
      <c r="C1553" t="str">
        <f>$C$437</f>
        <v>F0946</v>
      </c>
      <c r="D1553" t="str">
        <f>$D$437</f>
        <v>TOTAL_GHG_CO2_EMISSIONS</v>
      </c>
      <c r="E1553" t="str">
        <f>$E$437</f>
        <v>Dynamic</v>
      </c>
      <c r="F1553" t="str">
        <f ca="1">_xll.BDH($B$437,$C$437,$B$1130,$B$1131,CONCATENATE("Per=",$B$1128),"Dts=H","Dir=H",CONCATENATE("Points=",$B$1129),"Sort=R","Days=A","Fill=B",CONCATENATE("FX=", $B$1127),"cols=5;rows=1")</f>
        <v/>
      </c>
      <c r="G1553">
        <v>2.1595</v>
      </c>
      <c r="H1553">
        <v>2.1920999999999999</v>
      </c>
      <c r="I1553">
        <v>2.4331999999999998</v>
      </c>
      <c r="J1553">
        <v>2.9176000000000002</v>
      </c>
      <c r="K1553" t="str">
        <f>""</f>
        <v/>
      </c>
      <c r="L1553" t="str">
        <f>""</f>
        <v/>
      </c>
      <c r="M1553" t="str">
        <f>""</f>
        <v/>
      </c>
      <c r="N1553" t="str">
        <f>""</f>
        <v/>
      </c>
      <c r="O1553" t="str">
        <f>""</f>
        <v/>
      </c>
    </row>
    <row r="1554" spans="1:15" x14ac:dyDescent="0.25">
      <c r="A1554" t="str">
        <f>$A$438</f>
        <v xml:space="preserve">                    Tops Holding LLC/DE</v>
      </c>
      <c r="B1554" t="str">
        <f>$B$438</f>
        <v>3867081Z US Equity</v>
      </c>
      <c r="C1554" t="str">
        <f>$C$438</f>
        <v>F0946</v>
      </c>
      <c r="D1554" t="str">
        <f>$D$438</f>
        <v>TOTAL_GHG_CO2_EMISSIONS</v>
      </c>
      <c r="E1554" t="str">
        <f>$E$438</f>
        <v>Dynamic</v>
      </c>
      <c r="F1554" t="str">
        <f ca="1">_xll.BDH($B$438,$C$438,$B$1130,$B$1131,CONCATENATE("Per=",$B$1128),"Dts=H","Dir=H",CONCATENATE("Points=",$B$1129),"Sort=R","Days=A","Fill=B",CONCATENATE("FX=", $B$1127) )</f>
        <v/>
      </c>
      <c r="K1554" t="str">
        <f>""</f>
        <v/>
      </c>
      <c r="L1554" t="str">
        <f>""</f>
        <v/>
      </c>
      <c r="M1554" t="str">
        <f>""</f>
        <v/>
      </c>
      <c r="N1554" t="str">
        <f>""</f>
        <v/>
      </c>
      <c r="O1554" t="str">
        <f>""</f>
        <v/>
      </c>
    </row>
    <row r="1555" spans="1:15" x14ac:dyDescent="0.25">
      <c r="A1555" t="str">
        <f>$A$439</f>
        <v xml:space="preserve">                    Tengelmann Warenhandelsgesells</v>
      </c>
      <c r="B1555" t="str">
        <f>$B$439</f>
        <v>TGLW GR Equity</v>
      </c>
      <c r="C1555" t="str">
        <f>$C$439</f>
        <v>F0946</v>
      </c>
      <c r="D1555" t="str">
        <f>$D$439</f>
        <v>TOTAL_GHG_CO2_EMISSIONS</v>
      </c>
      <c r="E1555" t="str">
        <f>$E$439</f>
        <v>Dynamic</v>
      </c>
      <c r="F1555" t="str">
        <f ca="1">_xll.BDH($B$439,$C$439,$B$1130,$B$1131,CONCATENATE("Per=",$B$1128),"Dts=H","Dir=H",CONCATENATE("Points=",$B$1129),"Sort=R","Days=A","Fill=B",CONCATENATE("FX=", $B$1127) )</f>
        <v/>
      </c>
      <c r="K1555" t="str">
        <f>""</f>
        <v/>
      </c>
      <c r="L1555" t="str">
        <f>""</f>
        <v/>
      </c>
      <c r="M1555" t="str">
        <f>""</f>
        <v/>
      </c>
      <c r="N1555" t="str">
        <f>""</f>
        <v/>
      </c>
      <c r="O1555" t="str">
        <f>""</f>
        <v/>
      </c>
    </row>
    <row r="1556" spans="1:15" x14ac:dyDescent="0.25">
      <c r="A1556" t="str">
        <f>$A$440</f>
        <v xml:space="preserve">                    Tesco PLC</v>
      </c>
      <c r="B1556" t="str">
        <f>$B$440</f>
        <v>TSCO LN Equity</v>
      </c>
      <c r="C1556" t="str">
        <f>$C$440</f>
        <v>F0946</v>
      </c>
      <c r="D1556" t="str">
        <f>$D$440</f>
        <v>TOTAL_GHG_CO2_EMISSIONS</v>
      </c>
      <c r="E1556" t="str">
        <f>$E$440</f>
        <v>Dynamic</v>
      </c>
      <c r="F1556">
        <f ca="1">_xll.BDH($B$440,$C$440,$B$1130,$B$1131,CONCATENATE("Per=",$B$1128),"Dts=H","Dir=H",CONCATENATE("Points=",$B$1129),"Sort=R","Days=A","Fill=B",CONCATENATE("FX=", $B$1127),"cols=5;rows=1")</f>
        <v>1.6148</v>
      </c>
      <c r="G1556">
        <v>1.7524</v>
      </c>
      <c r="H1556">
        <v>1.7714000000000001</v>
      </c>
      <c r="I1556">
        <v>2.8492000000000002</v>
      </c>
      <c r="J1556">
        <v>3.1604000000000001</v>
      </c>
      <c r="K1556" t="str">
        <f>""</f>
        <v/>
      </c>
      <c r="L1556" t="str">
        <f>""</f>
        <v/>
      </c>
      <c r="M1556" t="str">
        <f>""</f>
        <v/>
      </c>
      <c r="N1556" t="str">
        <f>""</f>
        <v/>
      </c>
      <c r="O1556" t="str">
        <f>""</f>
        <v/>
      </c>
    </row>
    <row r="1557" spans="1:15" x14ac:dyDescent="0.25">
      <c r="A1557" t="str">
        <f>$A$441</f>
        <v xml:space="preserve">                    Valor Holdings Co Ltd</v>
      </c>
      <c r="B1557" t="str">
        <f>$B$441</f>
        <v>9956 JP Equity</v>
      </c>
      <c r="C1557" t="str">
        <f>$C$441</f>
        <v>F0946</v>
      </c>
      <c r="D1557" t="str">
        <f>$D$441</f>
        <v>TOTAL_GHG_CO2_EMISSIONS</v>
      </c>
      <c r="E1557" t="str">
        <f>$E$441</f>
        <v>Dynamic</v>
      </c>
      <c r="F1557" t="str">
        <f ca="1">_xll.BDH($B$441,$C$441,$B$1130,$B$1131,CONCATENATE("Per=",$B$1128),"Dts=H","Dir=H",CONCATENATE("Points=",$B$1129),"Sort=R","Days=A","Fill=B",CONCATENATE("FX=", $B$1127) )</f>
        <v/>
      </c>
      <c r="K1557" t="str">
        <f>""</f>
        <v/>
      </c>
      <c r="L1557" t="str">
        <f>""</f>
        <v/>
      </c>
      <c r="M1557" t="str">
        <f>""</f>
        <v/>
      </c>
      <c r="N1557" t="str">
        <f>""</f>
        <v/>
      </c>
      <c r="O1557" t="str">
        <f>""</f>
        <v/>
      </c>
    </row>
    <row r="1558" spans="1:15" x14ac:dyDescent="0.25">
      <c r="A1558" t="str">
        <f>$A$442</f>
        <v xml:space="preserve">                    Village Super Market Inc</v>
      </c>
      <c r="B1558" t="str">
        <f>$B$442</f>
        <v>VLGEA US Equity</v>
      </c>
      <c r="C1558" t="str">
        <f>$C$442</f>
        <v>F0946</v>
      </c>
      <c r="D1558" t="str">
        <f>$D$442</f>
        <v>TOTAL_GHG_CO2_EMISSIONS</v>
      </c>
      <c r="E1558" t="str">
        <f>$E$442</f>
        <v>Dynamic</v>
      </c>
      <c r="F1558" t="str">
        <f ca="1">_xll.BDH($B$442,$C$442,$B$1130,$B$1131,CONCATENATE("Per=",$B$1128),"Dts=H","Dir=H",CONCATENATE("Points=",$B$1129),"Sort=R","Days=A","Fill=B",CONCATENATE("FX=", $B$1127) )</f>
        <v/>
      </c>
      <c r="K1558" t="str">
        <f>""</f>
        <v/>
      </c>
      <c r="L1558" t="str">
        <f>""</f>
        <v/>
      </c>
      <c r="M1558" t="str">
        <f>""</f>
        <v/>
      </c>
      <c r="N1558" t="str">
        <f>""</f>
        <v/>
      </c>
      <c r="O1558" t="str">
        <f>""</f>
        <v/>
      </c>
    </row>
    <row r="1559" spans="1:15" x14ac:dyDescent="0.25">
      <c r="A1559" t="str">
        <f>$A$443</f>
        <v xml:space="preserve">                    Wal-Mart de Mexico SAB de CV</v>
      </c>
      <c r="B1559" t="str">
        <f>$B$443</f>
        <v>WALMEX* MM Equity</v>
      </c>
      <c r="C1559" t="str">
        <f>$C$443</f>
        <v>F0946</v>
      </c>
      <c r="D1559" t="str">
        <f>$D$443</f>
        <v>TOTAL_GHG_CO2_EMISSIONS</v>
      </c>
      <c r="E1559" t="str">
        <f>$E$443</f>
        <v>Dynamic</v>
      </c>
      <c r="F1559">
        <f ca="1">_xll.BDH($B$443,$C$443,$B$1130,$B$1131,CONCATENATE("Per=",$B$1128),"Dts=H","Dir=H",CONCATENATE("Points=",$B$1129),"Sort=R","Days=A","Fill=B",CONCATENATE("FX=", $B$1127),"cols=5;rows=1")</f>
        <v>1.333</v>
      </c>
      <c r="G1559">
        <v>1.41</v>
      </c>
      <c r="H1559">
        <v>1.4661</v>
      </c>
      <c r="I1559">
        <v>1.6319999999999999</v>
      </c>
      <c r="J1559">
        <v>1.8045</v>
      </c>
      <c r="K1559" t="str">
        <f>""</f>
        <v/>
      </c>
      <c r="L1559" t="str">
        <f>""</f>
        <v/>
      </c>
      <c r="M1559" t="str">
        <f>""</f>
        <v/>
      </c>
      <c r="N1559" t="str">
        <f>""</f>
        <v/>
      </c>
      <c r="O1559" t="str">
        <f>""</f>
        <v/>
      </c>
    </row>
    <row r="1560" spans="1:15" x14ac:dyDescent="0.25">
      <c r="A1560" t="str">
        <f>$A$444</f>
        <v xml:space="preserve">                    Walmart Inc</v>
      </c>
      <c r="B1560" t="str">
        <f>$B$444</f>
        <v>WMT US Equity</v>
      </c>
      <c r="C1560" t="str">
        <f>$C$444</f>
        <v>F0946</v>
      </c>
      <c r="D1560" t="str">
        <f>$D$444</f>
        <v>TOTAL_GHG_CO2_EMISSIONS</v>
      </c>
      <c r="E1560" t="str">
        <f>$E$444</f>
        <v>Dynamic</v>
      </c>
      <c r="F1560" t="str">
        <f ca="1">_xll.BDH($B$444,$C$444,$B$1130,$B$1131,CONCATENATE("Per=",$B$1128),"Dts=H","Dir=H",CONCATENATE("Points=",$B$1129),"Sort=R","Days=A","Fill=B",CONCATENATE("FX=", $B$1127),"cols=5;rows=1")</f>
        <v/>
      </c>
      <c r="G1560">
        <v>16.787400000000002</v>
      </c>
      <c r="H1560">
        <v>18.2683</v>
      </c>
      <c r="I1560">
        <v>18.6755</v>
      </c>
      <c r="J1560">
        <v>19.158999999999999</v>
      </c>
      <c r="K1560" t="str">
        <f>""</f>
        <v/>
      </c>
      <c r="L1560" t="str">
        <f>""</f>
        <v/>
      </c>
      <c r="M1560" t="str">
        <f>""</f>
        <v/>
      </c>
      <c r="N1560" t="str">
        <f>""</f>
        <v/>
      </c>
      <c r="O1560" t="str">
        <f>""</f>
        <v/>
      </c>
    </row>
    <row r="1561" spans="1:15" x14ac:dyDescent="0.25">
      <c r="A1561" t="str">
        <f>$A$445</f>
        <v xml:space="preserve">                    Wegmans Food Markets Inc</v>
      </c>
      <c r="B1561" t="str">
        <f>$B$445</f>
        <v>4449Z US Equity</v>
      </c>
      <c r="C1561" t="str">
        <f>$C$445</f>
        <v>F0946</v>
      </c>
      <c r="D1561" t="str">
        <f>$D$445</f>
        <v>TOTAL_GHG_CO2_EMISSIONS</v>
      </c>
      <c r="E1561" t="str">
        <f>$E$445</f>
        <v>Dynamic</v>
      </c>
      <c r="F1561" t="str">
        <f ca="1">_xll.BDH($B$445,$C$445,$B$1130,$B$1131,CONCATENATE("Per=",$B$1128),"Dts=H","Dir=H",CONCATENATE("Points=",$B$1129),"Sort=R","Days=A","Fill=B",CONCATENATE("FX=", $B$1127) )</f>
        <v/>
      </c>
      <c r="K1561" t="str">
        <f>""</f>
        <v/>
      </c>
      <c r="L1561" t="str">
        <f>""</f>
        <v/>
      </c>
      <c r="M1561" t="str">
        <f>""</f>
        <v/>
      </c>
      <c r="N1561" t="str">
        <f>""</f>
        <v/>
      </c>
      <c r="O1561" t="str">
        <f>""</f>
        <v/>
      </c>
    </row>
    <row r="1562" spans="1:15" x14ac:dyDescent="0.25">
      <c r="A1562" t="str">
        <f>$A$446</f>
        <v xml:space="preserve">                    Woolworths Group Ltd</v>
      </c>
      <c r="B1562" t="str">
        <f>$B$446</f>
        <v>WOW AU Equity</v>
      </c>
      <c r="C1562" t="str">
        <f>$C$446</f>
        <v>F0946</v>
      </c>
      <c r="D1562" t="str">
        <f>$D$446</f>
        <v>TOTAL_GHG_CO2_EMISSIONS</v>
      </c>
      <c r="E1562" t="str">
        <f>$E$446</f>
        <v>Dynamic</v>
      </c>
      <c r="F1562" t="str">
        <f ca="1">_xll.BDH($B$446,$C$446,$B$1130,$B$1131,CONCATENATE("Per=",$B$1128),"Dts=H","Dir=H",CONCATENATE("Points=",$B$1129),"Sort=R","Days=A","Fill=B",CONCATENATE("FX=", $B$1127),"cols=5;rows=1")</f>
        <v/>
      </c>
      <c r="G1562">
        <v>2.0099999999999998</v>
      </c>
      <c r="H1562">
        <v>2.3374999999999999</v>
      </c>
      <c r="I1562">
        <v>2.5552000000000001</v>
      </c>
      <c r="J1562">
        <v>2.8010000000000002</v>
      </c>
      <c r="K1562" t="str">
        <f>""</f>
        <v/>
      </c>
      <c r="L1562" t="str">
        <f>""</f>
        <v/>
      </c>
      <c r="M1562" t="str">
        <f>""</f>
        <v/>
      </c>
      <c r="N1562" t="str">
        <f>""</f>
        <v/>
      </c>
      <c r="O1562" t="str">
        <f>""</f>
        <v/>
      </c>
    </row>
    <row r="1563" spans="1:15" x14ac:dyDescent="0.25">
      <c r="A1563" t="str">
        <f>$A$447</f>
        <v xml:space="preserve">                    Woolworths Holdings Ltd/South</v>
      </c>
      <c r="B1563" t="str">
        <f>$B$447</f>
        <v>WHL SJ Equity</v>
      </c>
      <c r="C1563" t="str">
        <f>$C$447</f>
        <v>F0946</v>
      </c>
      <c r="D1563" t="str">
        <f>$D$447</f>
        <v>TOTAL_GHG_CO2_EMISSIONS</v>
      </c>
      <c r="E1563" t="str">
        <f>$E$447</f>
        <v>Dynamic</v>
      </c>
      <c r="F1563" t="str">
        <f ca="1">_xll.BDH($B$447,$C$447,$B$1130,$B$1131,CONCATENATE("Per=",$B$1128),"Dts=H","Dir=H",CONCATENATE("Points=",$B$1129),"Sort=R","Days=A","Fill=B",CONCATENATE("FX=", $B$1127),"cols=5;rows=1")</f>
        <v/>
      </c>
      <c r="H1563">
        <v>0.47110000000000002</v>
      </c>
      <c r="I1563">
        <v>0.498</v>
      </c>
      <c r="J1563">
        <v>0.53659999999999997</v>
      </c>
      <c r="K1563" t="str">
        <f>""</f>
        <v/>
      </c>
      <c r="L1563" t="str">
        <f>""</f>
        <v/>
      </c>
      <c r="M1563" t="str">
        <f>""</f>
        <v/>
      </c>
      <c r="N1563" t="str">
        <f>""</f>
        <v/>
      </c>
      <c r="O1563" t="str">
        <f>""</f>
        <v/>
      </c>
    </row>
    <row r="1564" spans="1:15" x14ac:dyDescent="0.25">
      <c r="A1564" t="str">
        <f>$A$448</f>
        <v xml:space="preserve">                    Weis Markets Inc</v>
      </c>
      <c r="B1564" t="str">
        <f>$B$448</f>
        <v>WMK US Equity</v>
      </c>
      <c r="C1564" t="str">
        <f>$C$448</f>
        <v>F0946</v>
      </c>
      <c r="D1564" t="str">
        <f>$D$448</f>
        <v>TOTAL_GHG_CO2_EMISSIONS</v>
      </c>
      <c r="E1564" t="str">
        <f>$E$448</f>
        <v>Dynamic</v>
      </c>
      <c r="F1564" t="str">
        <f ca="1">_xll.BDH($B$448,$C$448,$B$1130,$B$1131,CONCATENATE("Per=",$B$1128),"Dts=H","Dir=H",CONCATENATE("Points=",$B$1129),"Sort=R","Days=A","Fill=B",CONCATENATE("FX=", $B$1127),"cols=5;rows=1")</f>
        <v/>
      </c>
      <c r="G1564">
        <v>0.25290000000000001</v>
      </c>
      <c r="H1564">
        <v>0.26329999999999998</v>
      </c>
      <c r="I1564">
        <v>0.26619999999999999</v>
      </c>
      <c r="J1564">
        <v>0.29010000000000002</v>
      </c>
      <c r="K1564" t="str">
        <f>""</f>
        <v/>
      </c>
      <c r="L1564" t="str">
        <f>""</f>
        <v/>
      </c>
      <c r="M1564" t="str">
        <f>""</f>
        <v/>
      </c>
      <c r="N1564" t="str">
        <f>""</f>
        <v/>
      </c>
      <c r="O1564" t="str">
        <f>""</f>
        <v/>
      </c>
    </row>
    <row r="1565" spans="1:15" x14ac:dyDescent="0.25">
      <c r="A1565" t="str">
        <f>$A$449</f>
        <v xml:space="preserve">                    Wesfarmers Ltd</v>
      </c>
      <c r="B1565" t="str">
        <f>$B$449</f>
        <v>WES AU Equity</v>
      </c>
      <c r="C1565" t="str">
        <f>$C$449</f>
        <v>F0946</v>
      </c>
      <c r="D1565" t="str">
        <f>$D$449</f>
        <v>TOTAL_GHG_CO2_EMISSIONS</v>
      </c>
      <c r="E1565" t="str">
        <f>$E$449</f>
        <v>Dynamic</v>
      </c>
      <c r="F1565" t="str">
        <f ca="1">_xll.BDH($B$449,$C$449,$B$1130,$B$1131,CONCATENATE("Per=",$B$1128),"Dts=H","Dir=H",CONCATENATE("Points=",$B$1129),"Sort=R","Days=A","Fill=B",CONCATENATE("FX=", $B$1127),"cols=5;rows=1")</f>
        <v/>
      </c>
      <c r="G1565">
        <v>1.3680000000000001</v>
      </c>
      <c r="H1565">
        <v>1.476</v>
      </c>
      <c r="I1565">
        <v>1.6017999999999999</v>
      </c>
      <c r="J1565">
        <v>1.5580000000000001</v>
      </c>
      <c r="K1565" t="str">
        <f>""</f>
        <v/>
      </c>
      <c r="L1565" t="str">
        <f>""</f>
        <v/>
      </c>
      <c r="M1565" t="str">
        <f>""</f>
        <v/>
      </c>
      <c r="N1565" t="str">
        <f>""</f>
        <v/>
      </c>
      <c r="O1565" t="str">
        <f>""</f>
        <v/>
      </c>
    </row>
    <row r="1566" spans="1:15" x14ac:dyDescent="0.25">
      <c r="A1566" t="str">
        <f>$A$450</f>
        <v xml:space="preserve">                    X5 Retail Group NV</v>
      </c>
      <c r="B1566" t="str">
        <f>$B$450</f>
        <v>FIVE LI Equity</v>
      </c>
      <c r="C1566" t="str">
        <f>$C$450</f>
        <v>F0946</v>
      </c>
      <c r="D1566" t="str">
        <f>$D$450</f>
        <v>TOTAL_GHG_CO2_EMISSIONS</v>
      </c>
      <c r="E1566" t="str">
        <f>$E$450</f>
        <v>Dynamic</v>
      </c>
      <c r="F1566">
        <f ca="1">_xll.BDH($B$450,$C$450,$B$1130,$B$1131,CONCATENATE("Per=",$B$1128),"Dts=H","Dir=H",CONCATENATE("Points=",$B$1129),"Sort=R","Days=A","Fill=B",CONCATENATE("FX=", $B$1127),"cols=5;rows=1")</f>
        <v>3.5287000000000002</v>
      </c>
      <c r="G1566">
        <v>3.5510999999999999</v>
      </c>
      <c r="H1566">
        <v>2.8086000000000002</v>
      </c>
      <c r="I1566">
        <v>2.8740000000000001</v>
      </c>
      <c r="J1566">
        <v>2.5830000000000002</v>
      </c>
      <c r="K1566" t="str">
        <f>""</f>
        <v/>
      </c>
      <c r="L1566" t="str">
        <f>""</f>
        <v/>
      </c>
      <c r="M1566" t="str">
        <f>""</f>
        <v/>
      </c>
      <c r="N1566" t="str">
        <f>""</f>
        <v/>
      </c>
      <c r="O1566" t="str">
        <f>""</f>
        <v/>
      </c>
    </row>
    <row r="1567" spans="1:15" x14ac:dyDescent="0.25">
      <c r="A1567" t="str">
        <f>$A$451</f>
        <v xml:space="preserve">                    Yaoko Co Ltd</v>
      </c>
      <c r="B1567" t="str">
        <f>$B$451</f>
        <v>8279 JP Equity</v>
      </c>
      <c r="C1567" t="str">
        <f>$C$451</f>
        <v>F0946</v>
      </c>
      <c r="D1567" t="str">
        <f>$D$451</f>
        <v>TOTAL_GHG_CO2_EMISSIONS</v>
      </c>
      <c r="E1567" t="str">
        <f>$E$451</f>
        <v>Dynamic</v>
      </c>
      <c r="F1567" t="str">
        <f ca="1">_xll.BDH($B$451,$C$451,$B$1130,$B$1131,CONCATENATE("Per=",$B$1128),"Dts=H","Dir=H",CONCATENATE("Points=",$B$1129),"Sort=R","Days=A","Fill=B",CONCATENATE("FX=", $B$1127) )</f>
        <v/>
      </c>
      <c r="K1567" t="str">
        <f>""</f>
        <v/>
      </c>
      <c r="L1567" t="str">
        <f>""</f>
        <v/>
      </c>
      <c r="M1567" t="str">
        <f>""</f>
        <v/>
      </c>
      <c r="N1567" t="str">
        <f>""</f>
        <v/>
      </c>
      <c r="O1567" t="str">
        <f>""</f>
        <v/>
      </c>
    </row>
    <row r="1568" spans="1:15" x14ac:dyDescent="0.25">
      <c r="A1568" t="str">
        <f>$A$452</f>
        <v xml:space="preserve">                    Yonghui Superstores Co Ltd</v>
      </c>
      <c r="B1568" t="str">
        <f>$B$452</f>
        <v>601933 CH Equity</v>
      </c>
      <c r="C1568" t="str">
        <f>$C$452</f>
        <v>F0946</v>
      </c>
      <c r="D1568" t="str">
        <f>$D$452</f>
        <v>TOTAL_GHG_CO2_EMISSIONS</v>
      </c>
      <c r="E1568" t="str">
        <f>$E$452</f>
        <v>Dynamic</v>
      </c>
      <c r="F1568" t="str">
        <f ca="1">_xll.BDH($B$452,$C$452,$B$1130,$B$1131,CONCATENATE("Per=",$B$1128),"Dts=H","Dir=H",CONCATENATE("Points=",$B$1129),"Sort=R","Days=A","Fill=B",CONCATENATE("FX=", $B$1127) )</f>
        <v/>
      </c>
      <c r="K1568" t="str">
        <f>""</f>
        <v/>
      </c>
      <c r="L1568" t="str">
        <f>""</f>
        <v/>
      </c>
      <c r="M1568" t="str">
        <f>""</f>
        <v/>
      </c>
      <c r="N1568" t="str">
        <f>""</f>
        <v/>
      </c>
      <c r="O1568" t="str">
        <f>""</f>
        <v/>
      </c>
    </row>
    <row r="1569" spans="1:15" x14ac:dyDescent="0.25">
      <c r="A1569" t="str">
        <f>$A$453</f>
        <v xml:space="preserve">                    Zhongbai Holdings Group Co Ltd</v>
      </c>
      <c r="B1569" t="str">
        <f>$B$453</f>
        <v>000759 CH Equity</v>
      </c>
      <c r="C1569" t="str">
        <f>$C$453</f>
        <v>F0946</v>
      </c>
      <c r="D1569" t="str">
        <f>$D$453</f>
        <v>TOTAL_GHG_CO2_EMISSIONS</v>
      </c>
      <c r="E1569" t="str">
        <f>$E$453</f>
        <v>Dynamic</v>
      </c>
      <c r="F1569" t="str">
        <f ca="1">_xll.BDH($B$453,$C$453,$B$1130,$B$1131,CONCATENATE("Per=",$B$1128),"Dts=H","Dir=H",CONCATENATE("Points=",$B$1129),"Sort=R","Days=A","Fill=B",CONCATENATE("FX=", $B$1127) )</f>
        <v/>
      </c>
      <c r="K1569" t="str">
        <f>""</f>
        <v/>
      </c>
      <c r="L1569" t="str">
        <f>""</f>
        <v/>
      </c>
      <c r="M1569" t="str">
        <f>""</f>
        <v/>
      </c>
      <c r="N1569" t="str">
        <f>""</f>
        <v/>
      </c>
      <c r="O1569" t="str">
        <f>""</f>
        <v/>
      </c>
    </row>
    <row r="1570" spans="1:15" x14ac:dyDescent="0.25">
      <c r="A1570" t="str">
        <f>$A$459</f>
        <v xml:space="preserve">                    Banco Santander SA</v>
      </c>
      <c r="B1570" t="str">
        <f>$B$459</f>
        <v>SAN SM Equity</v>
      </c>
      <c r="C1570" t="str">
        <f>$C$459</f>
        <v>F0946</v>
      </c>
      <c r="D1570" t="str">
        <f>$D$459</f>
        <v>TOTAL_GHG_CO2_EMISSIONS</v>
      </c>
      <c r="E1570" t="str">
        <f>$E$459</f>
        <v>Dynamic</v>
      </c>
      <c r="F1570">
        <f ca="1">_xll.BDH($B$459,$C$459,$B$1130,$B$1131,CONCATENATE("Per=",$B$1128),"Dts=H","Dir=H",CONCATENATE("Points=",$B$1129),"Sort=R","Days=A","Fill=B",CONCATENATE("FX=", $B$1127),"cols=5;rows=1")</f>
        <v>0.2399</v>
      </c>
      <c r="G1570">
        <v>0.29530000000000001</v>
      </c>
      <c r="H1570">
        <v>0.307</v>
      </c>
      <c r="I1570">
        <v>0.34470000000000001</v>
      </c>
      <c r="J1570">
        <v>0.39589999999999997</v>
      </c>
      <c r="K1570" t="str">
        <f>""</f>
        <v/>
      </c>
      <c r="L1570" t="str">
        <f>""</f>
        <v/>
      </c>
      <c r="M1570" t="str">
        <f>""</f>
        <v/>
      </c>
      <c r="N1570" t="str">
        <f>""</f>
        <v/>
      </c>
      <c r="O1570" t="str">
        <f>""</f>
        <v/>
      </c>
    </row>
    <row r="1571" spans="1:15" x14ac:dyDescent="0.25">
      <c r="A1571" t="str">
        <f>$A$460</f>
        <v xml:space="preserve">                    Bank of America Corp</v>
      </c>
      <c r="B1571" t="str">
        <f>$B$460</f>
        <v>BAC US Equity</v>
      </c>
      <c r="C1571" t="str">
        <f>$C$460</f>
        <v>F0946</v>
      </c>
      <c r="D1571" t="str">
        <f>$D$460</f>
        <v>TOTAL_GHG_CO2_EMISSIONS</v>
      </c>
      <c r="E1571" t="str">
        <f>$E$460</f>
        <v>Dynamic</v>
      </c>
      <c r="F1571" t="str">
        <f ca="1">_xll.BDH($B$460,$C$460,$B$1130,$B$1131,CONCATENATE("Per=",$B$1128),"Dts=H","Dir=H",CONCATENATE("Points=",$B$1129),"Sort=R","Days=A","Fill=B",CONCATENATE("FX=", $B$1127),"cols=5;rows=1")</f>
        <v/>
      </c>
      <c r="G1571">
        <v>0.65900000000000003</v>
      </c>
      <c r="H1571">
        <v>0.71099999999999997</v>
      </c>
      <c r="I1571">
        <v>0.79139999999999999</v>
      </c>
      <c r="J1571">
        <v>0.87629999999999997</v>
      </c>
      <c r="K1571" t="str">
        <f>""</f>
        <v/>
      </c>
      <c r="L1571" t="str">
        <f>""</f>
        <v/>
      </c>
      <c r="M1571" t="str">
        <f>""</f>
        <v/>
      </c>
      <c r="N1571" t="str">
        <f>""</f>
        <v/>
      </c>
      <c r="O1571" t="str">
        <f>""</f>
        <v/>
      </c>
    </row>
    <row r="1572" spans="1:15" x14ac:dyDescent="0.25">
      <c r="A1572" t="str">
        <f>$A$461</f>
        <v xml:space="preserve">                    Barclays PLC</v>
      </c>
      <c r="B1572" t="str">
        <f>$B$461</f>
        <v>BARC LN Equity</v>
      </c>
      <c r="C1572" t="str">
        <f>$C$461</f>
        <v>F0946</v>
      </c>
      <c r="D1572" t="str">
        <f>$D$461</f>
        <v>TOTAL_GHG_CO2_EMISSIONS</v>
      </c>
      <c r="E1572" t="str">
        <f>$E$461</f>
        <v>Dynamic</v>
      </c>
      <c r="F1572">
        <f ca="1">_xll.BDH($B$461,$C$461,$B$1130,$B$1131,CONCATENATE("Per=",$B$1128),"Dts=H","Dir=H",CONCATENATE("Points=",$B$1129),"Sort=R","Days=A","Fill=B",CONCATENATE("FX=", $B$1127),"cols=5;rows=1")</f>
        <v>0.1234</v>
      </c>
      <c r="G1572">
        <v>0.1462</v>
      </c>
      <c r="H1572">
        <v>0.1784</v>
      </c>
      <c r="I1572">
        <v>0.21</v>
      </c>
      <c r="J1572">
        <v>0.22289999999999999</v>
      </c>
      <c r="K1572" t="str">
        <f>""</f>
        <v/>
      </c>
      <c r="L1572" t="str">
        <f>""</f>
        <v/>
      </c>
      <c r="M1572" t="str">
        <f>""</f>
        <v/>
      </c>
      <c r="N1572" t="str">
        <f>""</f>
        <v/>
      </c>
      <c r="O1572" t="str">
        <f>""</f>
        <v/>
      </c>
    </row>
    <row r="1573" spans="1:15" x14ac:dyDescent="0.25">
      <c r="A1573" t="str">
        <f>$A$462</f>
        <v xml:space="preserve">                    BNP Paribas SA</v>
      </c>
      <c r="B1573" t="str">
        <f>$B$462</f>
        <v>BNP FP Equity</v>
      </c>
      <c r="C1573" t="str">
        <f>$C$462</f>
        <v>F0946</v>
      </c>
      <c r="D1573" t="str">
        <f>$D$462</f>
        <v>TOTAL_GHG_CO2_EMISSIONS</v>
      </c>
      <c r="E1573" t="str">
        <f>$E$462</f>
        <v>Dynamic</v>
      </c>
      <c r="F1573">
        <f ca="1">_xll.BDH($B$462,$C$462,$B$1130,$B$1131,CONCATENATE("Per=",$B$1128),"Dts=H","Dir=H",CONCATENATE("Points=",$B$1129),"Sort=R","Days=A","Fill=B",CONCATENATE("FX=", $B$1127),"cols=5;rows=1")</f>
        <v>0.24260000000000001</v>
      </c>
      <c r="G1573">
        <v>0.25159999999999999</v>
      </c>
      <c r="H1573">
        <v>0.28289999999999998</v>
      </c>
      <c r="I1573">
        <v>0.34200000000000003</v>
      </c>
      <c r="J1573">
        <v>0.35110000000000002</v>
      </c>
      <c r="K1573" t="str">
        <f>""</f>
        <v/>
      </c>
      <c r="L1573" t="str">
        <f>""</f>
        <v/>
      </c>
      <c r="M1573" t="str">
        <f>""</f>
        <v/>
      </c>
      <c r="N1573" t="str">
        <f>""</f>
        <v/>
      </c>
      <c r="O1573" t="str">
        <f>""</f>
        <v/>
      </c>
    </row>
    <row r="1574" spans="1:15" x14ac:dyDescent="0.25">
      <c r="A1574" t="str">
        <f>$A$463</f>
        <v xml:space="preserve">                    Citigroup Inc</v>
      </c>
      <c r="B1574" t="str">
        <f>$B$463</f>
        <v>C US Equity</v>
      </c>
      <c r="C1574" t="str">
        <f>$C$463</f>
        <v>F0946</v>
      </c>
      <c r="D1574" t="str">
        <f>$D$463</f>
        <v>TOTAL_GHG_CO2_EMISSIONS</v>
      </c>
      <c r="E1574" t="str">
        <f>$E$463</f>
        <v>Dynamic</v>
      </c>
      <c r="F1574">
        <f ca="1">_xll.BDH($B$463,$C$463,$B$1130,$B$1131,CONCATENATE("Per=",$B$1128),"Dts=H","Dir=H",CONCATENATE("Points=",$B$1129),"Sort=R","Days=A","Fill=B",CONCATENATE("FX=", $B$1127),"cols=5;rows=1")</f>
        <v>0.51060000000000005</v>
      </c>
      <c r="G1574">
        <v>0.50800000000000001</v>
      </c>
      <c r="H1574">
        <v>0.52649999999999997</v>
      </c>
      <c r="I1574">
        <v>0.6169</v>
      </c>
      <c r="J1574">
        <v>0.65769999999999995</v>
      </c>
      <c r="K1574" t="str">
        <f>""</f>
        <v/>
      </c>
      <c r="L1574" t="str">
        <f>""</f>
        <v/>
      </c>
      <c r="M1574" t="str">
        <f>""</f>
        <v/>
      </c>
      <c r="N1574" t="str">
        <f>""</f>
        <v/>
      </c>
      <c r="O1574" t="str">
        <f>""</f>
        <v/>
      </c>
    </row>
    <row r="1575" spans="1:15" x14ac:dyDescent="0.25">
      <c r="A1575" t="str">
        <f>$A$464</f>
        <v xml:space="preserve">                    Credit Suisse Group AG</v>
      </c>
      <c r="B1575" t="str">
        <f>$B$464</f>
        <v>CSGN SW Equity</v>
      </c>
      <c r="C1575" t="str">
        <f>$C$464</f>
        <v>F0946</v>
      </c>
      <c r="D1575" t="str">
        <f>$D$464</f>
        <v>TOTAL_GHG_CO2_EMISSIONS</v>
      </c>
      <c r="E1575" t="str">
        <f>$E$464</f>
        <v>Dynamic</v>
      </c>
      <c r="F1575">
        <f ca="1">_xll.BDH($B$464,$C$464,$B$1130,$B$1131,CONCATENATE("Per=",$B$1128),"Dts=H","Dir=H",CONCATENATE("Points=",$B$1129),"Sort=R","Days=A","Fill=B",CONCATENATE("FX=", $B$1127),"cols=5;rows=1")</f>
        <v>8.3099999999999993E-2</v>
      </c>
      <c r="G1575">
        <v>9.2499999999999999E-2</v>
      </c>
      <c r="H1575">
        <v>0.1118</v>
      </c>
      <c r="I1575">
        <v>0.158</v>
      </c>
      <c r="J1575">
        <v>0.1696</v>
      </c>
      <c r="K1575" t="str">
        <f>""</f>
        <v/>
      </c>
      <c r="L1575" t="str">
        <f>""</f>
        <v/>
      </c>
      <c r="M1575" t="str">
        <f>""</f>
        <v/>
      </c>
      <c r="N1575" t="str">
        <f>""</f>
        <v/>
      </c>
      <c r="O1575" t="str">
        <f>""</f>
        <v/>
      </c>
    </row>
    <row r="1576" spans="1:15" x14ac:dyDescent="0.25">
      <c r="A1576" t="str">
        <f>$A$465</f>
        <v xml:space="preserve">                    Deutsche Bank AG</v>
      </c>
      <c r="B1576" t="str">
        <f>$B$465</f>
        <v>DBK GR Equity</v>
      </c>
      <c r="C1576" t="str">
        <f>$C$465</f>
        <v>F0946</v>
      </c>
      <c r="D1576" t="str">
        <f>$D$465</f>
        <v>TOTAL_GHG_CO2_EMISSIONS</v>
      </c>
      <c r="E1576" t="str">
        <f>$E$465</f>
        <v>Dynamic</v>
      </c>
      <c r="F1576">
        <f ca="1">_xll.BDH($B$465,$C$465,$B$1130,$B$1131,CONCATENATE("Per=",$B$1128),"Dts=H","Dir=H",CONCATENATE("Points=",$B$1129),"Sort=R","Days=A","Fill=B",CONCATENATE("FX=", $B$1127),"cols=5;rows=1")</f>
        <v>0.15579999999999999</v>
      </c>
      <c r="G1576">
        <v>0.20019999999999999</v>
      </c>
      <c r="H1576">
        <v>0.2487</v>
      </c>
      <c r="I1576">
        <v>0.30859999999999999</v>
      </c>
      <c r="J1576">
        <v>0.32990000000000003</v>
      </c>
      <c r="K1576" t="str">
        <f>""</f>
        <v/>
      </c>
      <c r="L1576" t="str">
        <f>""</f>
        <v/>
      </c>
      <c r="M1576" t="str">
        <f>""</f>
        <v/>
      </c>
      <c r="N1576" t="str">
        <f>""</f>
        <v/>
      </c>
      <c r="O1576" t="str">
        <f>""</f>
        <v/>
      </c>
    </row>
    <row r="1577" spans="1:15" x14ac:dyDescent="0.25">
      <c r="A1577" t="str">
        <f>$A$466</f>
        <v xml:space="preserve">                    Goldman Sachs Group Inc/The</v>
      </c>
      <c r="B1577" t="str">
        <f>$B$466</f>
        <v>GS US Equity</v>
      </c>
      <c r="C1577" t="str">
        <f>$C$466</f>
        <v>F0946</v>
      </c>
      <c r="D1577" t="str">
        <f>$D$466</f>
        <v>TOTAL_GHG_CO2_EMISSIONS</v>
      </c>
      <c r="E1577" t="str">
        <f>$E$466</f>
        <v>Dynamic</v>
      </c>
      <c r="F1577">
        <f ca="1">_xll.BDH($B$466,$C$466,$B$1130,$B$1131,CONCATENATE("Per=",$B$1128),"Dts=H","Dir=H",CONCATENATE("Points=",$B$1129),"Sort=R","Days=A","Fill=B",CONCATENATE("FX=", $B$1127),"cols=5;rows=1")</f>
        <v>0.1701</v>
      </c>
      <c r="G1577">
        <v>0.156</v>
      </c>
      <c r="H1577">
        <v>0.151</v>
      </c>
      <c r="I1577">
        <v>0.1789</v>
      </c>
      <c r="J1577">
        <v>0.1963</v>
      </c>
      <c r="K1577" t="str">
        <f>""</f>
        <v/>
      </c>
      <c r="L1577" t="str">
        <f>""</f>
        <v/>
      </c>
      <c r="M1577" t="str">
        <f>""</f>
        <v/>
      </c>
      <c r="N1577" t="str">
        <f>""</f>
        <v/>
      </c>
      <c r="O1577" t="str">
        <f>""</f>
        <v/>
      </c>
    </row>
    <row r="1578" spans="1:15" x14ac:dyDescent="0.25">
      <c r="A1578" t="str">
        <f>$A$467</f>
        <v xml:space="preserve">                    HSBC Holdings PLC</v>
      </c>
      <c r="B1578" t="str">
        <f>$B$467</f>
        <v>HSBA LN Equity</v>
      </c>
      <c r="C1578" t="str">
        <f>$C$467</f>
        <v>F0946</v>
      </c>
      <c r="D1578" t="str">
        <f>$D$467</f>
        <v>TOTAL_GHG_CO2_EMISSIONS</v>
      </c>
      <c r="E1578" t="str">
        <f>$E$467</f>
        <v>Dynamic</v>
      </c>
      <c r="F1578">
        <f ca="1">_xll.BDH($B$467,$C$467,$B$1130,$B$1131,CONCATENATE("Per=",$B$1128),"Dts=H","Dir=H",CONCATENATE("Points=",$B$1129),"Sort=R","Days=A","Fill=B",CONCATENATE("FX=", $B$1127),"cols=5;rows=1")</f>
        <v>0.36599999999999999</v>
      </c>
      <c r="G1578">
        <v>0.40799999999999997</v>
      </c>
      <c r="H1578">
        <v>0.41620000000000001</v>
      </c>
      <c r="I1578">
        <v>0.48299999999999998</v>
      </c>
      <c r="J1578">
        <v>0.52039999999999997</v>
      </c>
      <c r="K1578" t="str">
        <f>""</f>
        <v/>
      </c>
      <c r="L1578" t="str">
        <f>""</f>
        <v/>
      </c>
      <c r="M1578" t="str">
        <f>""</f>
        <v/>
      </c>
      <c r="N1578" t="str">
        <f>""</f>
        <v/>
      </c>
      <c r="O1578" t="str">
        <f>""</f>
        <v/>
      </c>
    </row>
    <row r="1579" spans="1:15" x14ac:dyDescent="0.25">
      <c r="A1579" t="str">
        <f>$A$468</f>
        <v xml:space="preserve">                    Itau Unibanco Holding SA</v>
      </c>
      <c r="B1579" t="str">
        <f>$B$468</f>
        <v>ITUB4 BZ Equity</v>
      </c>
      <c r="C1579" t="str">
        <f>$C$468</f>
        <v>F0946</v>
      </c>
      <c r="D1579" t="str">
        <f>$D$468</f>
        <v>TOTAL_GHG_CO2_EMISSIONS</v>
      </c>
      <c r="E1579" t="str">
        <f>$E$468</f>
        <v>Dynamic</v>
      </c>
      <c r="F1579">
        <f ca="1">_xll.BDH($B$468,$C$468,$B$1130,$B$1131,CONCATENATE("Per=",$B$1128),"Dts=H","Dir=H",CONCATENATE("Points=",$B$1129),"Sort=R","Days=A","Fill=B",CONCATENATE("FX=", $B$1127),"cols=5;rows=1")</f>
        <v>3.8100000000000002E-2</v>
      </c>
      <c r="G1579">
        <v>6.8599999999999994E-2</v>
      </c>
      <c r="H1579">
        <v>4.2799999999999998E-2</v>
      </c>
      <c r="I1579">
        <v>5.2900000000000003E-2</v>
      </c>
      <c r="J1579">
        <v>6.0299999999999999E-2</v>
      </c>
      <c r="K1579" t="str">
        <f>""</f>
        <v/>
      </c>
      <c r="L1579" t="str">
        <f>""</f>
        <v/>
      </c>
      <c r="M1579" t="str">
        <f>""</f>
        <v/>
      </c>
      <c r="N1579" t="str">
        <f>""</f>
        <v/>
      </c>
      <c r="O1579" t="str">
        <f>""</f>
        <v/>
      </c>
    </row>
    <row r="1580" spans="1:15" x14ac:dyDescent="0.25">
      <c r="A1580" t="str">
        <f>$A$469</f>
        <v xml:space="preserve">                    JPMorgan Chase &amp; Co</v>
      </c>
      <c r="B1580" t="str">
        <f>$B$469</f>
        <v>JPM US Equity</v>
      </c>
      <c r="C1580" t="str">
        <f>$C$469</f>
        <v>F0946</v>
      </c>
      <c r="D1580" t="str">
        <f>$D$469</f>
        <v>TOTAL_GHG_CO2_EMISSIONS</v>
      </c>
      <c r="E1580" t="str">
        <f>$E$469</f>
        <v>Dynamic</v>
      </c>
      <c r="F1580" t="str">
        <f ca="1">_xll.BDH($B$469,$C$469,$B$1130,$B$1131,CONCATENATE("Per=",$B$1128),"Dts=H","Dir=H",CONCATENATE("Points=",$B$1129),"Sort=R","Days=A","Fill=B",CONCATENATE("FX=", $B$1127),"cols=5;rows=1")</f>
        <v/>
      </c>
      <c r="G1580">
        <v>0.84040000000000004</v>
      </c>
      <c r="H1580">
        <v>0.73019999999999996</v>
      </c>
      <c r="I1580">
        <v>0.77400000000000002</v>
      </c>
      <c r="J1580">
        <v>0.8226</v>
      </c>
      <c r="K1580" t="str">
        <f>""</f>
        <v/>
      </c>
      <c r="L1580" t="str">
        <f>""</f>
        <v/>
      </c>
      <c r="M1580" t="str">
        <f>""</f>
        <v/>
      </c>
      <c r="N1580" t="str">
        <f>""</f>
        <v/>
      </c>
      <c r="O1580" t="str">
        <f>""</f>
        <v/>
      </c>
    </row>
    <row r="1581" spans="1:15" x14ac:dyDescent="0.25">
      <c r="A1581" t="str">
        <f>$A$470</f>
        <v xml:space="preserve">                    Mitsubishi UFJ Financial Group</v>
      </c>
      <c r="B1581" t="str">
        <f>$B$470</f>
        <v>8306 JP Equity</v>
      </c>
      <c r="C1581" t="str">
        <f>$C$470</f>
        <v>F0946</v>
      </c>
      <c r="D1581" t="str">
        <f>$D$470</f>
        <v>TOTAL_GHG_CO2_EMISSIONS</v>
      </c>
      <c r="E1581" t="str">
        <f>$E$470</f>
        <v>Dynamic</v>
      </c>
      <c r="F1581" t="str">
        <f ca="1">_xll.BDH($B$470,$C$470,$B$1130,$B$1131,CONCATENATE("Per=",$B$1128),"Dts=H","Dir=H",CONCATENATE("Points=",$B$1129),"Sort=R","Days=A","Fill=B",CONCATENATE("FX=", $B$1127),"cols=5;rows=1")</f>
        <v/>
      </c>
      <c r="G1581">
        <v>0.2399</v>
      </c>
      <c r="H1581">
        <v>0.2089</v>
      </c>
      <c r="I1581">
        <v>0.23139999999999999</v>
      </c>
      <c r="J1581">
        <v>0.23330000000000001</v>
      </c>
      <c r="K1581" t="str">
        <f>""</f>
        <v/>
      </c>
      <c r="L1581" t="str">
        <f>""</f>
        <v/>
      </c>
      <c r="M1581" t="str">
        <f>""</f>
        <v/>
      </c>
      <c r="N1581" t="str">
        <f>""</f>
        <v/>
      </c>
      <c r="O1581" t="str">
        <f>""</f>
        <v/>
      </c>
    </row>
    <row r="1582" spans="1:15" x14ac:dyDescent="0.25">
      <c r="A1582" t="str">
        <f>$A$471</f>
        <v xml:space="preserve">                    Mizuho Financial Group Inc</v>
      </c>
      <c r="B1582" t="str">
        <f>$B$471</f>
        <v>8411 JP Equity</v>
      </c>
      <c r="C1582" t="str">
        <f>$C$471</f>
        <v>F0946</v>
      </c>
      <c r="D1582" t="str">
        <f>$D$471</f>
        <v>TOTAL_GHG_CO2_EMISSIONS</v>
      </c>
      <c r="E1582" t="str">
        <f>$E$471</f>
        <v>Dynamic</v>
      </c>
      <c r="F1582" t="str">
        <f ca="1">_xll.BDH($B$471,$C$471,$B$1130,$B$1131,CONCATENATE("Per=",$B$1128),"Dts=H","Dir=H",CONCATENATE("Points=",$B$1129),"Sort=R","Days=A","Fill=B",CONCATENATE("FX=", $B$1127),"cols=5;rows=1")</f>
        <v/>
      </c>
      <c r="G1582">
        <v>0.1492</v>
      </c>
      <c r="H1582">
        <v>0.17580000000000001</v>
      </c>
      <c r="I1582">
        <v>0.19189999999999999</v>
      </c>
      <c r="J1582">
        <v>0.22090000000000001</v>
      </c>
      <c r="K1582" t="str">
        <f>""</f>
        <v/>
      </c>
      <c r="L1582" t="str">
        <f>""</f>
        <v/>
      </c>
      <c r="M1582" t="str">
        <f>""</f>
        <v/>
      </c>
      <c r="N1582" t="str">
        <f>""</f>
        <v/>
      </c>
      <c r="O1582" t="str">
        <f>""</f>
        <v/>
      </c>
    </row>
    <row r="1583" spans="1:15" x14ac:dyDescent="0.25">
      <c r="A1583" t="str">
        <f>$A$472</f>
        <v xml:space="preserve">                    Morgan Stanley</v>
      </c>
      <c r="B1583" t="str">
        <f>$B$472</f>
        <v>MS US Equity</v>
      </c>
      <c r="C1583" t="str">
        <f>$C$472</f>
        <v>F0946</v>
      </c>
      <c r="D1583" t="str">
        <f>$D$472</f>
        <v>TOTAL_GHG_CO2_EMISSIONS</v>
      </c>
      <c r="E1583" t="str">
        <f>$E$472</f>
        <v>Dynamic</v>
      </c>
      <c r="F1583" t="str">
        <f ca="1">_xll.BDH($B$472,$C$472,$B$1130,$B$1131,CONCATENATE("Per=",$B$1128),"Dts=H","Dir=H",CONCATENATE("Points=",$B$1129),"Sort=R","Days=A","Fill=B",CONCATENATE("FX=", $B$1127),"cols=5;rows=1")</f>
        <v/>
      </c>
      <c r="G1583">
        <v>0.2112</v>
      </c>
      <c r="H1583">
        <v>0.2034</v>
      </c>
      <c r="I1583">
        <v>0.2281</v>
      </c>
      <c r="J1583">
        <v>0.23910000000000001</v>
      </c>
      <c r="K1583" t="str">
        <f>""</f>
        <v/>
      </c>
      <c r="L1583" t="str">
        <f>""</f>
        <v/>
      </c>
      <c r="M1583" t="str">
        <f>""</f>
        <v/>
      </c>
      <c r="N1583" t="str">
        <f>""</f>
        <v/>
      </c>
      <c r="O1583" t="str">
        <f>""</f>
        <v/>
      </c>
    </row>
    <row r="1584" spans="1:15" x14ac:dyDescent="0.25">
      <c r="A1584" t="str">
        <f>$A$473</f>
        <v xml:space="preserve">                    NatWest Group PLC</v>
      </c>
      <c r="B1584" t="str">
        <f>$B$473</f>
        <v>NWG LN Equity</v>
      </c>
      <c r="C1584" t="str">
        <f>$C$473</f>
        <v>F0946</v>
      </c>
      <c r="D1584" t="str">
        <f>$D$473</f>
        <v>TOTAL_GHG_CO2_EMISSIONS</v>
      </c>
      <c r="E1584" t="str">
        <f>$E$473</f>
        <v>Dynamic</v>
      </c>
      <c r="F1584">
        <f ca="1">_xll.BDH($B$473,$C$473,$B$1130,$B$1131,CONCATENATE("Per=",$B$1128),"Dts=H","Dir=H",CONCATENATE("Points=",$B$1129),"Sort=R","Days=A","Fill=B",CONCATENATE("FX=", $B$1127),"cols=5;rows=1")</f>
        <v>7.9200000000000007E-2</v>
      </c>
      <c r="G1584">
        <v>8.8200000000000001E-2</v>
      </c>
      <c r="H1584">
        <v>0.11210000000000001</v>
      </c>
      <c r="I1584">
        <v>0.1484</v>
      </c>
      <c r="J1584">
        <v>0.1961</v>
      </c>
      <c r="K1584" t="str">
        <f>""</f>
        <v/>
      </c>
      <c r="L1584" t="str">
        <f>""</f>
        <v/>
      </c>
      <c r="M1584" t="str">
        <f>""</f>
        <v/>
      </c>
      <c r="N1584" t="str">
        <f>""</f>
        <v/>
      </c>
      <c r="O1584" t="str">
        <f>""</f>
        <v/>
      </c>
    </row>
    <row r="1585" spans="1:15" x14ac:dyDescent="0.25">
      <c r="A1585" t="str">
        <f>$A$474</f>
        <v xml:space="preserve">                    Nomura Holdings Inc</v>
      </c>
      <c r="B1585" t="str">
        <f>$B$474</f>
        <v>8604 JP Equity</v>
      </c>
      <c r="C1585" t="str">
        <f>$C$474</f>
        <v>F0946</v>
      </c>
      <c r="D1585" t="str">
        <f>$D$474</f>
        <v>TOTAL_GHG_CO2_EMISSIONS</v>
      </c>
      <c r="E1585" t="str">
        <f>$E$474</f>
        <v>Dynamic</v>
      </c>
      <c r="F1585" t="str">
        <f ca="1">_xll.BDH($B$474,$C$474,$B$1130,$B$1131,CONCATENATE("Per=",$B$1128),"Dts=H","Dir=H",CONCATENATE("Points=",$B$1129),"Sort=R","Days=A","Fill=B",CONCATENATE("FX=", $B$1127),"cols=5;rows=1")</f>
        <v/>
      </c>
      <c r="G1585">
        <v>4.41E-2</v>
      </c>
      <c r="H1585">
        <v>4.8500000000000001E-2</v>
      </c>
      <c r="I1585">
        <v>6.1400000000000003E-2</v>
      </c>
      <c r="J1585">
        <v>6.7900000000000002E-2</v>
      </c>
      <c r="K1585" t="str">
        <f>""</f>
        <v/>
      </c>
      <c r="L1585" t="str">
        <f>""</f>
        <v/>
      </c>
      <c r="M1585" t="str">
        <f>""</f>
        <v/>
      </c>
      <c r="N1585" t="str">
        <f>""</f>
        <v/>
      </c>
      <c r="O1585" t="str">
        <f>""</f>
        <v/>
      </c>
    </row>
    <row r="1586" spans="1:15" x14ac:dyDescent="0.25">
      <c r="A1586" t="str">
        <f>$A$475</f>
        <v xml:space="preserve">                    Royal Bank of Canada</v>
      </c>
      <c r="B1586" t="str">
        <f>$B$475</f>
        <v>RY CN Equity</v>
      </c>
      <c r="C1586" t="str">
        <f>$C$475</f>
        <v>F0946</v>
      </c>
      <c r="D1586" t="str">
        <f>$D$475</f>
        <v>TOTAL_GHG_CO2_EMISSIONS</v>
      </c>
      <c r="E1586" t="str">
        <f>$E$475</f>
        <v>Dynamic</v>
      </c>
      <c r="F1586">
        <f ca="1">_xll.BDH($B$475,$C$475,$B$1130,$B$1131,CONCATENATE("Per=",$B$1128),"Dts=H","Dir=H",CONCATENATE("Points=",$B$1129),"Sort=R","Days=A","Fill=B",CONCATENATE("FX=", $B$1127),"cols=5;rows=1")</f>
        <v>8.8400000000000006E-2</v>
      </c>
      <c r="G1586">
        <v>9.1399999999999995E-2</v>
      </c>
      <c r="H1586">
        <v>0.1009</v>
      </c>
      <c r="I1586">
        <v>0.11459999999999999</v>
      </c>
      <c r="J1586">
        <v>0.12620000000000001</v>
      </c>
      <c r="K1586" t="str">
        <f>""</f>
        <v/>
      </c>
      <c r="L1586" t="str">
        <f>""</f>
        <v/>
      </c>
      <c r="M1586" t="str">
        <f>""</f>
        <v/>
      </c>
      <c r="N1586" t="str">
        <f>""</f>
        <v/>
      </c>
      <c r="O1586" t="str">
        <f>""</f>
        <v/>
      </c>
    </row>
    <row r="1587" spans="1:15" x14ac:dyDescent="0.25">
      <c r="A1587" t="str">
        <f>$A$476</f>
        <v xml:space="preserve">                    Societe Generale SA</v>
      </c>
      <c r="B1587" t="str">
        <f>$B$476</f>
        <v>GLE FP Equity</v>
      </c>
      <c r="C1587" t="str">
        <f>$C$476</f>
        <v>F0946</v>
      </c>
      <c r="D1587" t="str">
        <f>$D$476</f>
        <v>TOTAL_GHG_CO2_EMISSIONS</v>
      </c>
      <c r="E1587" t="str">
        <f>$E$476</f>
        <v>Dynamic</v>
      </c>
      <c r="F1587">
        <f ca="1">_xll.BDH($B$476,$C$476,$B$1130,$B$1131,CONCATENATE("Per=",$B$1128),"Dts=H","Dir=H",CONCATENATE("Points=",$B$1129),"Sort=R","Days=A","Fill=B",CONCATENATE("FX=", $B$1127),"cols=5;rows=1")</f>
        <v>0.10050000000000001</v>
      </c>
      <c r="G1587">
        <v>0.13539999999999999</v>
      </c>
      <c r="H1587">
        <v>0.13980000000000001</v>
      </c>
      <c r="I1587">
        <v>0.16950000000000001</v>
      </c>
      <c r="J1587">
        <v>0.20280000000000001</v>
      </c>
      <c r="K1587" t="str">
        <f>""</f>
        <v/>
      </c>
      <c r="L1587" t="str">
        <f>""</f>
        <v/>
      </c>
      <c r="M1587" t="str">
        <f>""</f>
        <v/>
      </c>
      <c r="N1587" t="str">
        <f>""</f>
        <v/>
      </c>
      <c r="O1587" t="str">
        <f>""</f>
        <v/>
      </c>
    </row>
    <row r="1588" spans="1:15" x14ac:dyDescent="0.25">
      <c r="A1588" t="str">
        <f>$A$477</f>
        <v xml:space="preserve">                    Standard Chartered PLC</v>
      </c>
      <c r="B1588" t="str">
        <f>$B$477</f>
        <v>STAN LN Equity</v>
      </c>
      <c r="C1588" t="str">
        <f>$C$477</f>
        <v>F0946</v>
      </c>
      <c r="D1588" t="str">
        <f>$D$477</f>
        <v>TOTAL_GHG_CO2_EMISSIONS</v>
      </c>
      <c r="E1588" t="str">
        <f>$E$477</f>
        <v>Dynamic</v>
      </c>
      <c r="F1588">
        <f ca="1">_xll.BDH($B$477,$C$477,$B$1130,$B$1131,CONCATENATE("Per=",$B$1128),"Dts=H","Dir=H",CONCATENATE("Points=",$B$1129),"Sort=R","Days=A","Fill=B",CONCATENATE("FX=", $B$1127),"cols=5;rows=1")</f>
        <v>4.9399999999999999E-2</v>
      </c>
      <c r="G1588">
        <v>8.5699999999999998E-2</v>
      </c>
      <c r="H1588">
        <v>0.1179</v>
      </c>
      <c r="I1588">
        <v>0.14630000000000001</v>
      </c>
      <c r="J1588">
        <v>0.1479</v>
      </c>
      <c r="K1588" t="str">
        <f>""</f>
        <v/>
      </c>
      <c r="L1588" t="str">
        <f>""</f>
        <v/>
      </c>
      <c r="M1588" t="str">
        <f>""</f>
        <v/>
      </c>
      <c r="N1588" t="str">
        <f>""</f>
        <v/>
      </c>
      <c r="O1588" t="str">
        <f>""</f>
        <v/>
      </c>
    </row>
    <row r="1589" spans="1:15" x14ac:dyDescent="0.25">
      <c r="A1589" t="str">
        <f>$A$478</f>
        <v xml:space="preserve">                    UBS Group AG</v>
      </c>
      <c r="B1589" t="str">
        <f>$B$478</f>
        <v>UBSG SW Equity</v>
      </c>
      <c r="C1589" t="str">
        <f>$C$478</f>
        <v>F0946</v>
      </c>
      <c r="D1589" t="str">
        <f>$D$478</f>
        <v>TOTAL_GHG_CO2_EMISSIONS</v>
      </c>
      <c r="E1589" t="str">
        <f>$E$478</f>
        <v>Dynamic</v>
      </c>
      <c r="F1589">
        <f ca="1">_xll.BDH($B$478,$C$478,$B$1130,$B$1131,CONCATENATE("Per=",$B$1128),"Dts=H","Dir=H",CONCATENATE("Points=",$B$1129),"Sort=R","Days=A","Fill=B",CONCATENATE("FX=", $B$1127),"cols=5;rows=1")</f>
        <v>0.11899999999999999</v>
      </c>
      <c r="G1589">
        <v>0.13550000000000001</v>
      </c>
      <c r="H1589">
        <v>0.14649999999999999</v>
      </c>
      <c r="I1589">
        <v>0.1532</v>
      </c>
      <c r="J1589">
        <v>0.16250000000000001</v>
      </c>
      <c r="K1589" t="str">
        <f>""</f>
        <v/>
      </c>
      <c r="L1589" t="str">
        <f>""</f>
        <v/>
      </c>
      <c r="M1589" t="str">
        <f>""</f>
        <v/>
      </c>
      <c r="N1589" t="str">
        <f>""</f>
        <v/>
      </c>
      <c r="O1589" t="str">
        <f>""</f>
        <v/>
      </c>
    </row>
    <row r="1590" spans="1:15" x14ac:dyDescent="0.25">
      <c r="A1590" t="str">
        <f>$A$482</f>
        <v xml:space="preserve">                    Acadia Realty Trust</v>
      </c>
      <c r="B1590" t="str">
        <f>$B$482</f>
        <v>AKR US Equity</v>
      </c>
      <c r="C1590" t="str">
        <f>$C$482</f>
        <v>F0946</v>
      </c>
      <c r="D1590" t="str">
        <f>$D$482</f>
        <v>TOTAL_GHG_CO2_EMISSIONS</v>
      </c>
      <c r="E1590" t="str">
        <f>$E$482</f>
        <v>Dynamic</v>
      </c>
      <c r="F1590" t="str">
        <f ca="1">_xll.BDH($B$482,$C$482,$B$1130,$B$1131,CONCATENATE("Per=",$B$1128),"Dts=H","Dir=H",CONCATENATE("Points=",$B$1129),"Sort=R","Days=A","Fill=B",CONCATENATE("FX=", $B$1127),"cols=5;rows=1")</f>
        <v/>
      </c>
      <c r="G1590">
        <v>5.3E-3</v>
      </c>
      <c r="H1590">
        <v>5.0000000000000001E-3</v>
      </c>
      <c r="K1590" t="str">
        <f>""</f>
        <v/>
      </c>
      <c r="L1590" t="str">
        <f>""</f>
        <v/>
      </c>
      <c r="M1590" t="str">
        <f>""</f>
        <v/>
      </c>
      <c r="N1590" t="str">
        <f>""</f>
        <v/>
      </c>
      <c r="O1590" t="str">
        <f>""</f>
        <v/>
      </c>
    </row>
    <row r="1591" spans="1:15" x14ac:dyDescent="0.25">
      <c r="A1591" t="str">
        <f>$A$483</f>
        <v xml:space="preserve">                    Agree Realty Corp</v>
      </c>
      <c r="B1591" t="str">
        <f>$B$483</f>
        <v>ADC US Equity</v>
      </c>
      <c r="C1591" t="str">
        <f>$C$483</f>
        <v>F0946</v>
      </c>
      <c r="D1591" t="str">
        <f>$D$483</f>
        <v>TOTAL_GHG_CO2_EMISSIONS</v>
      </c>
      <c r="E1591" t="str">
        <f>$E$483</f>
        <v>Dynamic</v>
      </c>
      <c r="F1591" t="str">
        <f ca="1">_xll.BDH($B$483,$C$483,$B$1130,$B$1131,CONCATENATE("Per=",$B$1128),"Dts=H","Dir=H",CONCATENATE("Points=",$B$1129),"Sort=R","Days=A","Fill=B",CONCATENATE("FX=", $B$1127) )</f>
        <v/>
      </c>
      <c r="K1591" t="str">
        <f>""</f>
        <v/>
      </c>
      <c r="L1591" t="str">
        <f>""</f>
        <v/>
      </c>
      <c r="M1591" t="str">
        <f>""</f>
        <v/>
      </c>
      <c r="N1591" t="str">
        <f>""</f>
        <v/>
      </c>
      <c r="O1591" t="str">
        <f>""</f>
        <v/>
      </c>
    </row>
    <row r="1592" spans="1:15" x14ac:dyDescent="0.25">
      <c r="A1592" t="str">
        <f>$A$484</f>
        <v xml:space="preserve">                    Brixmor Property Group Inc</v>
      </c>
      <c r="B1592" t="str">
        <f>$B$484</f>
        <v>BRX US Equity</v>
      </c>
      <c r="C1592" t="str">
        <f>$C$484</f>
        <v>F0946</v>
      </c>
      <c r="D1592" t="str">
        <f>$D$484</f>
        <v>TOTAL_GHG_CO2_EMISSIONS</v>
      </c>
      <c r="E1592" t="str">
        <f>$E$484</f>
        <v>Dynamic</v>
      </c>
      <c r="F1592" t="str">
        <f ca="1">_xll.BDH($B$484,$C$484,$B$1130,$B$1131,CONCATENATE("Per=",$B$1128),"Dts=H","Dir=H",CONCATENATE("Points=",$B$1129),"Sort=R","Days=A","Fill=B",CONCATENATE("FX=", $B$1127),"cols=5;rows=1")</f>
        <v/>
      </c>
      <c r="G1592">
        <v>2.5600000000000001E-2</v>
      </c>
      <c r="H1592">
        <v>2.64E-2</v>
      </c>
      <c r="I1592">
        <v>3.6799999999999999E-2</v>
      </c>
      <c r="J1592">
        <v>4.4299999999999999E-2</v>
      </c>
      <c r="K1592" t="str">
        <f>""</f>
        <v/>
      </c>
      <c r="L1592" t="str">
        <f>""</f>
        <v/>
      </c>
      <c r="M1592" t="str">
        <f>""</f>
        <v/>
      </c>
      <c r="N1592" t="str">
        <f>""</f>
        <v/>
      </c>
      <c r="O1592" t="str">
        <f>""</f>
        <v/>
      </c>
    </row>
    <row r="1593" spans="1:15" x14ac:dyDescent="0.25">
      <c r="A1593" t="str">
        <f>$A$485</f>
        <v xml:space="preserve">                    CBL &amp; Associates Properties In</v>
      </c>
      <c r="B1593" t="str">
        <f>$B$485</f>
        <v>CBLAQ US Equity</v>
      </c>
      <c r="C1593" t="str">
        <f>$C$485</f>
        <v>F0946</v>
      </c>
      <c r="D1593" t="str">
        <f>$D$485</f>
        <v>TOTAL_GHG_CO2_EMISSIONS</v>
      </c>
      <c r="E1593" t="str">
        <f>$E$485</f>
        <v>Dynamic</v>
      </c>
      <c r="F1593" t="str">
        <f ca="1">_xll.BDH($B$485,$C$485,$B$1130,$B$1131,CONCATENATE("Per=",$B$1128),"Dts=H","Dir=H",CONCATENATE("Points=",$B$1129),"Sort=R","Days=A","Fill=B",CONCATENATE("FX=", $B$1127) )</f>
        <v/>
      </c>
      <c r="K1593" t="str">
        <f>""</f>
        <v/>
      </c>
      <c r="L1593" t="str">
        <f>""</f>
        <v/>
      </c>
      <c r="M1593" t="str">
        <f>""</f>
        <v/>
      </c>
      <c r="N1593" t="str">
        <f>""</f>
        <v/>
      </c>
      <c r="O1593" t="str">
        <f>""</f>
        <v/>
      </c>
    </row>
    <row r="1594" spans="1:15" x14ac:dyDescent="0.25">
      <c r="A1594" t="str">
        <f>$A$486</f>
        <v xml:space="preserve">                    Federal Realty Investment Trus</v>
      </c>
      <c r="B1594" t="str">
        <f>$B$486</f>
        <v>FRT US Equity</v>
      </c>
      <c r="C1594" t="str">
        <f>$C$486</f>
        <v>F0946</v>
      </c>
      <c r="D1594" t="str">
        <f>$D$486</f>
        <v>TOTAL_GHG_CO2_EMISSIONS</v>
      </c>
      <c r="E1594" t="str">
        <f>$E$486</f>
        <v>Dynamic</v>
      </c>
      <c r="F1594" t="str">
        <f ca="1">_xll.BDH($B$486,$C$486,$B$1130,$B$1131,CONCATENATE("Per=",$B$1128),"Dts=H","Dir=H",CONCATENATE("Points=",$B$1129),"Sort=R","Days=A","Fill=B",CONCATENATE("FX=", $B$1127),"cols=5;rows=1")</f>
        <v/>
      </c>
      <c r="G1594">
        <v>1.4800000000000001E-2</v>
      </c>
      <c r="H1594">
        <v>1.7999999999999999E-2</v>
      </c>
      <c r="I1594">
        <v>1.8800000000000001E-2</v>
      </c>
      <c r="K1594" t="str">
        <f>""</f>
        <v/>
      </c>
      <c r="L1594" t="str">
        <f>""</f>
        <v/>
      </c>
      <c r="M1594" t="str">
        <f>""</f>
        <v/>
      </c>
      <c r="N1594" t="str">
        <f>""</f>
        <v/>
      </c>
      <c r="O1594" t="str">
        <f>""</f>
        <v/>
      </c>
    </row>
    <row r="1595" spans="1:15" x14ac:dyDescent="0.25">
      <c r="A1595" t="str">
        <f>$A$487</f>
        <v xml:space="preserve">                    Getty Realty Corp</v>
      </c>
      <c r="B1595" t="str">
        <f>$B$487</f>
        <v>GTY US Equity</v>
      </c>
      <c r="C1595" t="str">
        <f>$C$487</f>
        <v>F0946</v>
      </c>
      <c r="D1595" t="str">
        <f>$D$487</f>
        <v>TOTAL_GHG_CO2_EMISSIONS</v>
      </c>
      <c r="E1595" t="str">
        <f>$E$487</f>
        <v>Dynamic</v>
      </c>
      <c r="F1595" t="str">
        <f ca="1">_xll.BDH($B$487,$C$487,$B$1130,$B$1131,CONCATENATE("Per=",$B$1128),"Dts=H","Dir=H",CONCATENATE("Points=",$B$1129),"Sort=R","Days=A","Fill=B",CONCATENATE("FX=", $B$1127) )</f>
        <v/>
      </c>
      <c r="K1595" t="str">
        <f>""</f>
        <v/>
      </c>
      <c r="L1595" t="str">
        <f>""</f>
        <v/>
      </c>
      <c r="M1595" t="str">
        <f>""</f>
        <v/>
      </c>
      <c r="N1595" t="str">
        <f>""</f>
        <v/>
      </c>
      <c r="O1595" t="str">
        <f>""</f>
        <v/>
      </c>
    </row>
    <row r="1596" spans="1:15" x14ac:dyDescent="0.25">
      <c r="A1596" t="str">
        <f>$A$488</f>
        <v xml:space="preserve">                    Kite Realty Group Trust</v>
      </c>
      <c r="B1596" t="str">
        <f>$B$488</f>
        <v>KRG US Equity</v>
      </c>
      <c r="C1596" t="str">
        <f>$C$488</f>
        <v>F0946</v>
      </c>
      <c r="D1596" t="str">
        <f>$D$488</f>
        <v>TOTAL_GHG_CO2_EMISSIONS</v>
      </c>
      <c r="E1596" t="str">
        <f>$E$488</f>
        <v>Dynamic</v>
      </c>
      <c r="F1596" t="str">
        <f ca="1">_xll.BDH($B$488,$C$488,$B$1130,$B$1131,CONCATENATE("Per=",$B$1128),"Dts=H","Dir=H",CONCATENATE("Points=",$B$1129),"Sort=R","Days=A","Fill=B",CONCATENATE("FX=", $B$1127),"cols=5;rows=1")</f>
        <v/>
      </c>
      <c r="G1596">
        <v>3.0700000000000002E-2</v>
      </c>
      <c r="H1596">
        <v>3.2300000000000002E-2</v>
      </c>
      <c r="K1596" t="str">
        <f>""</f>
        <v/>
      </c>
      <c r="L1596" t="str">
        <f>""</f>
        <v/>
      </c>
      <c r="M1596" t="str">
        <f>""</f>
        <v/>
      </c>
      <c r="N1596" t="str">
        <f>""</f>
        <v/>
      </c>
      <c r="O1596" t="str">
        <f>""</f>
        <v/>
      </c>
    </row>
    <row r="1597" spans="1:15" x14ac:dyDescent="0.25">
      <c r="A1597" t="str">
        <f>$A$489</f>
        <v xml:space="preserve">                    Kimco Realty Corp</v>
      </c>
      <c r="B1597" t="str">
        <f>$B$489</f>
        <v>KIM US Equity</v>
      </c>
      <c r="C1597" t="str">
        <f>$C$489</f>
        <v>F0946</v>
      </c>
      <c r="D1597" t="str">
        <f>$D$489</f>
        <v>TOTAL_GHG_CO2_EMISSIONS</v>
      </c>
      <c r="E1597" t="str">
        <f>$E$489</f>
        <v>Dynamic</v>
      </c>
      <c r="F1597" t="str">
        <f ca="1">_xll.BDH($B$489,$C$489,$B$1130,$B$1131,CONCATENATE("Per=",$B$1128),"Dts=H","Dir=H",CONCATENATE("Points=",$B$1129),"Sort=R","Days=A","Fill=B",CONCATENATE("FX=", $B$1127),"cols=5;rows=1")</f>
        <v/>
      </c>
      <c r="G1597">
        <v>5.0500000000000003E-2</v>
      </c>
      <c r="H1597">
        <v>3.1800000000000002E-2</v>
      </c>
      <c r="I1597">
        <v>3.3399999999999999E-2</v>
      </c>
      <c r="J1597">
        <v>3.9E-2</v>
      </c>
      <c r="K1597" t="str">
        <f>""</f>
        <v/>
      </c>
      <c r="L1597" t="str">
        <f>""</f>
        <v/>
      </c>
      <c r="M1597" t="str">
        <f>""</f>
        <v/>
      </c>
      <c r="N1597" t="str">
        <f>""</f>
        <v/>
      </c>
      <c r="O1597" t="str">
        <f>""</f>
        <v/>
      </c>
    </row>
    <row r="1598" spans="1:15" x14ac:dyDescent="0.25">
      <c r="A1598" t="str">
        <f>$A$490</f>
        <v xml:space="preserve">                    Macerich Co/The</v>
      </c>
      <c r="B1598" t="str">
        <f>$B$490</f>
        <v>MAC US Equity</v>
      </c>
      <c r="C1598" t="str">
        <f>$C$490</f>
        <v>F0946</v>
      </c>
      <c r="D1598" t="str">
        <f>$D$490</f>
        <v>TOTAL_GHG_CO2_EMISSIONS</v>
      </c>
      <c r="E1598" t="str">
        <f>$E$490</f>
        <v>Dynamic</v>
      </c>
      <c r="F1598">
        <f ca="1">_xll.BDH($B$490,$C$490,$B$1130,$B$1131,CONCATENATE("Per=",$B$1128),"Dts=H","Dir=H",CONCATENATE("Points=",$B$1129),"Sort=R","Days=A","Fill=B",CONCATENATE("FX=", $B$1127),"cols=5;rows=1")</f>
        <v>7.2700000000000001E-2</v>
      </c>
      <c r="G1598">
        <v>5.8700000000000002E-2</v>
      </c>
      <c r="H1598">
        <v>5.7000000000000002E-2</v>
      </c>
      <c r="I1598">
        <v>7.3599999999999999E-2</v>
      </c>
      <c r="J1598">
        <v>6.6199999999999995E-2</v>
      </c>
      <c r="K1598" t="str">
        <f>""</f>
        <v/>
      </c>
      <c r="L1598" t="str">
        <f>""</f>
        <v/>
      </c>
      <c r="M1598" t="str">
        <f>""</f>
        <v/>
      </c>
      <c r="N1598" t="str">
        <f>""</f>
        <v/>
      </c>
      <c r="O1598" t="str">
        <f>""</f>
        <v/>
      </c>
    </row>
    <row r="1599" spans="1:15" x14ac:dyDescent="0.25">
      <c r="A1599" t="str">
        <f>$A$491</f>
        <v xml:space="preserve">                    National Retail Properties Inc</v>
      </c>
      <c r="B1599" t="str">
        <f>$B$491</f>
        <v>NNN US Equity</v>
      </c>
      <c r="C1599" t="str">
        <f>$C$491</f>
        <v>F0946</v>
      </c>
      <c r="D1599" t="str">
        <f>$D$491</f>
        <v>TOTAL_GHG_CO2_EMISSIONS</v>
      </c>
      <c r="E1599" t="str">
        <f>$E$491</f>
        <v>Dynamic</v>
      </c>
      <c r="F1599" t="str">
        <f ca="1">_xll.BDH($B$491,$C$491,$B$1130,$B$1131,CONCATENATE("Per=",$B$1128),"Dts=H","Dir=H",CONCATENATE("Points=",$B$1129),"Sort=R","Days=A","Fill=B",CONCATENATE("FX=", $B$1127) )</f>
        <v/>
      </c>
      <c r="K1599" t="str">
        <f>""</f>
        <v/>
      </c>
      <c r="L1599" t="str">
        <f>""</f>
        <v/>
      </c>
      <c r="M1599" t="str">
        <f>""</f>
        <v/>
      </c>
      <c r="N1599" t="str">
        <f>""</f>
        <v/>
      </c>
      <c r="O1599" t="str">
        <f>""</f>
        <v/>
      </c>
    </row>
    <row r="1600" spans="1:15" x14ac:dyDescent="0.25">
      <c r="A1600" t="str">
        <f>$A$492</f>
        <v xml:space="preserve">                    Pennsylvania Real Estate Inves</v>
      </c>
      <c r="B1600" t="str">
        <f>$B$492</f>
        <v>PRET US Equity</v>
      </c>
      <c r="C1600" t="str">
        <f>$C$492</f>
        <v>F0946</v>
      </c>
      <c r="D1600" t="str">
        <f>$D$492</f>
        <v>TOTAL_GHG_CO2_EMISSIONS</v>
      </c>
      <c r="E1600" t="str">
        <f>$E$492</f>
        <v>Dynamic</v>
      </c>
      <c r="F1600" t="str">
        <f ca="1">_xll.BDH($B$492,$C$492,$B$1130,$B$1131,CONCATENATE("Per=",$B$1128),"Dts=H","Dir=H",CONCATENATE("Points=",$B$1129),"Sort=R","Days=A","Fill=B",CONCATENATE("FX=", $B$1127) )</f>
        <v/>
      </c>
      <c r="K1600" t="str">
        <f>""</f>
        <v/>
      </c>
      <c r="L1600" t="str">
        <f>""</f>
        <v/>
      </c>
      <c r="M1600" t="str">
        <f>""</f>
        <v/>
      </c>
      <c r="N1600" t="str">
        <f>""</f>
        <v/>
      </c>
      <c r="O1600" t="str">
        <f>""</f>
        <v/>
      </c>
    </row>
    <row r="1601" spans="1:15" x14ac:dyDescent="0.25">
      <c r="A1601" t="str">
        <f>$A$493</f>
        <v xml:space="preserve">                    Regency Centers Corp</v>
      </c>
      <c r="B1601" t="str">
        <f>$B$493</f>
        <v>REG US Equity</v>
      </c>
      <c r="C1601" t="str">
        <f>$C$493</f>
        <v>F0946</v>
      </c>
      <c r="D1601" t="str">
        <f>$D$493</f>
        <v>TOTAL_GHG_CO2_EMISSIONS</v>
      </c>
      <c r="E1601" t="str">
        <f>$E$493</f>
        <v>Dynamic</v>
      </c>
      <c r="F1601" t="str">
        <f ca="1">_xll.BDH($B$493,$C$493,$B$1130,$B$1131,CONCATENATE("Per=",$B$1128),"Dts=H","Dir=H",CONCATENATE("Points=",$B$1129),"Sort=R","Days=A","Fill=B",CONCATENATE("FX=", $B$1127),"cols=5;rows=1")</f>
        <v/>
      </c>
      <c r="G1601">
        <v>2.5999999999999999E-2</v>
      </c>
      <c r="H1601">
        <v>2.69E-2</v>
      </c>
      <c r="I1601">
        <v>3.1800000000000002E-2</v>
      </c>
      <c r="J1601">
        <v>3.39E-2</v>
      </c>
      <c r="K1601" t="str">
        <f>""</f>
        <v/>
      </c>
      <c r="L1601" t="str">
        <f>""</f>
        <v/>
      </c>
      <c r="M1601" t="str">
        <f>""</f>
        <v/>
      </c>
      <c r="N1601" t="str">
        <f>""</f>
        <v/>
      </c>
      <c r="O1601" t="str">
        <f>""</f>
        <v/>
      </c>
    </row>
    <row r="1602" spans="1:15" x14ac:dyDescent="0.25">
      <c r="A1602" t="str">
        <f>$A$494</f>
        <v xml:space="preserve">                    Retail Opportunity Investments</v>
      </c>
      <c r="B1602" t="str">
        <f>$B$494</f>
        <v>ROIC US Equity</v>
      </c>
      <c r="C1602" t="str">
        <f>$C$494</f>
        <v>F0946</v>
      </c>
      <c r="D1602" t="str">
        <f>$D$494</f>
        <v>TOTAL_GHG_CO2_EMISSIONS</v>
      </c>
      <c r="E1602" t="str">
        <f>$E$494</f>
        <v>Dynamic</v>
      </c>
      <c r="F1602" t="str">
        <f ca="1">_xll.BDH($B$494,$C$494,$B$1130,$B$1131,CONCATENATE("Per=",$B$1128),"Dts=H","Dir=H",CONCATENATE("Points=",$B$1129),"Sort=R","Days=A","Fill=B",CONCATENATE("FX=", $B$1127),"cols=5;rows=1")</f>
        <v/>
      </c>
      <c r="G1602">
        <v>3.3999999999999998E-3</v>
      </c>
      <c r="H1602">
        <v>4.1000000000000003E-3</v>
      </c>
      <c r="I1602">
        <v>4.0000000000000001E-3</v>
      </c>
      <c r="K1602" t="str">
        <f>""</f>
        <v/>
      </c>
      <c r="L1602" t="str">
        <f>""</f>
        <v/>
      </c>
      <c r="M1602" t="str">
        <f>""</f>
        <v/>
      </c>
      <c r="N1602" t="str">
        <f>""</f>
        <v/>
      </c>
      <c r="O1602" t="str">
        <f>""</f>
        <v/>
      </c>
    </row>
    <row r="1603" spans="1:15" x14ac:dyDescent="0.25">
      <c r="A1603" t="str">
        <f>$A$495</f>
        <v xml:space="preserve">                    RioCan Real Estate Investment</v>
      </c>
      <c r="B1603" t="str">
        <f>$B$495</f>
        <v>REI-U CN Equity</v>
      </c>
      <c r="C1603" t="str">
        <f>$C$495</f>
        <v>F0946</v>
      </c>
      <c r="D1603" t="str">
        <f>$D$495</f>
        <v>TOTAL_GHG_CO2_EMISSIONS</v>
      </c>
      <c r="E1603" t="str">
        <f>$E$495</f>
        <v>Dynamic</v>
      </c>
      <c r="F1603" t="str">
        <f ca="1">_xll.BDH($B$495,$C$495,$B$1130,$B$1131,CONCATENATE("Per=",$B$1128),"Dts=H","Dir=H",CONCATENATE("Points=",$B$1129),"Sort=R","Days=A","Fill=B",CONCATENATE("FX=", $B$1127),"cols=5;rows=1")</f>
        <v/>
      </c>
      <c r="G1603">
        <v>3.0599999999999999E-2</v>
      </c>
      <c r="K1603" t="str">
        <f>""</f>
        <v/>
      </c>
      <c r="L1603" t="str">
        <f>""</f>
        <v/>
      </c>
      <c r="M1603" t="str">
        <f>""</f>
        <v/>
      </c>
      <c r="N1603" t="str">
        <f>""</f>
        <v/>
      </c>
      <c r="O1603" t="str">
        <f>""</f>
        <v/>
      </c>
    </row>
    <row r="1604" spans="1:15" x14ac:dyDescent="0.25">
      <c r="A1604" t="str">
        <f>$A$496</f>
        <v xml:space="preserve">                    RPT Realty</v>
      </c>
      <c r="B1604" t="str">
        <f>$B$496</f>
        <v>RPT US Equity</v>
      </c>
      <c r="C1604" t="str">
        <f>$C$496</f>
        <v>F0946</v>
      </c>
      <c r="D1604" t="str">
        <f>$D$496</f>
        <v>TOTAL_GHG_CO2_EMISSIONS</v>
      </c>
      <c r="E1604" t="str">
        <f>$E$496</f>
        <v>Dynamic</v>
      </c>
      <c r="F1604" t="str">
        <f ca="1">_xll.BDH($B$496,$C$496,$B$1130,$B$1131,CONCATENATE("Per=",$B$1128),"Dts=H","Dir=H",CONCATENATE("Points=",$B$1129),"Sort=R","Days=A","Fill=B",CONCATENATE("FX=", $B$1127) )</f>
        <v/>
      </c>
      <c r="K1604" t="str">
        <f>""</f>
        <v/>
      </c>
      <c r="L1604" t="str">
        <f>""</f>
        <v/>
      </c>
      <c r="M1604" t="str">
        <f>""</f>
        <v/>
      </c>
      <c r="N1604" t="str">
        <f>""</f>
        <v/>
      </c>
      <c r="O1604" t="str">
        <f>""</f>
        <v/>
      </c>
    </row>
    <row r="1605" spans="1:15" x14ac:dyDescent="0.25">
      <c r="A1605" t="str">
        <f>$A$497</f>
        <v xml:space="preserve">                    Realty Income Corp</v>
      </c>
      <c r="B1605" t="str">
        <f>$B$497</f>
        <v>O US Equity</v>
      </c>
      <c r="C1605" t="str">
        <f>$C$497</f>
        <v>F0946</v>
      </c>
      <c r="D1605" t="str">
        <f>$D$497</f>
        <v>TOTAL_GHG_CO2_EMISSIONS</v>
      </c>
      <c r="E1605" t="str">
        <f>$E$497</f>
        <v>Dynamic</v>
      </c>
      <c r="F1605">
        <f ca="1">_xll.BDH($B$497,$C$497,$B$1130,$B$1131,CONCATENATE("Per=",$B$1128),"Dts=H","Dir=H",CONCATENATE("Points=",$B$1129),"Sort=R","Days=A","Fill=B",CONCATENATE("FX=", $B$1127),"cols=5;rows=1")</f>
        <v>4.0000000000000002E-4</v>
      </c>
      <c r="G1605">
        <v>2.9999999999999997E-4</v>
      </c>
      <c r="H1605">
        <v>1E-4</v>
      </c>
      <c r="I1605">
        <v>1E-4</v>
      </c>
      <c r="K1605" t="str">
        <f>""</f>
        <v/>
      </c>
      <c r="L1605" t="str">
        <f>""</f>
        <v/>
      </c>
      <c r="M1605" t="str">
        <f>""</f>
        <v/>
      </c>
      <c r="N1605" t="str">
        <f>""</f>
        <v/>
      </c>
      <c r="O1605" t="str">
        <f>""</f>
        <v/>
      </c>
    </row>
    <row r="1606" spans="1:15" x14ac:dyDescent="0.25">
      <c r="A1606" t="str">
        <f>$A$498</f>
        <v xml:space="preserve">                    Saul Centers Inc</v>
      </c>
      <c r="B1606" t="str">
        <f>$B$498</f>
        <v>BFS US Equity</v>
      </c>
      <c r="C1606" t="str">
        <f>$C$498</f>
        <v>F0946</v>
      </c>
      <c r="D1606" t="str">
        <f>$D$498</f>
        <v>TOTAL_GHG_CO2_EMISSIONS</v>
      </c>
      <c r="E1606" t="str">
        <f>$E$498</f>
        <v>Dynamic</v>
      </c>
      <c r="F1606" t="str">
        <f ca="1">_xll.BDH($B$498,$C$498,$B$1130,$B$1131,CONCATENATE("Per=",$B$1128),"Dts=H","Dir=H",CONCATENATE("Points=",$B$1129),"Sort=R","Days=A","Fill=B",CONCATENATE("FX=", $B$1127) )</f>
        <v/>
      </c>
      <c r="K1606" t="str">
        <f>""</f>
        <v/>
      </c>
      <c r="L1606" t="str">
        <f>""</f>
        <v/>
      </c>
      <c r="M1606" t="str">
        <f>""</f>
        <v/>
      </c>
      <c r="N1606" t="str">
        <f>""</f>
        <v/>
      </c>
      <c r="O1606" t="str">
        <f>""</f>
        <v/>
      </c>
    </row>
    <row r="1607" spans="1:15" x14ac:dyDescent="0.25">
      <c r="A1607" t="str">
        <f>$A$499</f>
        <v xml:space="preserve">                    Simon Property Group Inc</v>
      </c>
      <c r="B1607" t="str">
        <f>$B$499</f>
        <v>SPG US Equity</v>
      </c>
      <c r="C1607" t="str">
        <f>$C$499</f>
        <v>F0946</v>
      </c>
      <c r="D1607" t="str">
        <f>$D$499</f>
        <v>TOTAL_GHG_CO2_EMISSIONS</v>
      </c>
      <c r="E1607" t="str">
        <f>$E$499</f>
        <v>Dynamic</v>
      </c>
      <c r="F1607" t="str">
        <f ca="1">_xll.BDH($B$499,$C$499,$B$1130,$B$1131,CONCATENATE("Per=",$B$1128),"Dts=H","Dir=H",CONCATENATE("Points=",$B$1129),"Sort=R","Days=A","Fill=B",CONCATENATE("FX=", $B$1127),"cols=5;rows=1")</f>
        <v/>
      </c>
      <c r="G1607">
        <v>0.1968</v>
      </c>
      <c r="H1607">
        <v>0.191</v>
      </c>
      <c r="I1607">
        <v>0.2666</v>
      </c>
      <c r="J1607">
        <v>0.30959999999999999</v>
      </c>
      <c r="K1607" t="str">
        <f>""</f>
        <v/>
      </c>
      <c r="L1607" t="str">
        <f>""</f>
        <v/>
      </c>
      <c r="M1607" t="str">
        <f>""</f>
        <v/>
      </c>
      <c r="N1607" t="str">
        <f>""</f>
        <v/>
      </c>
      <c r="O1607" t="str">
        <f>""</f>
        <v/>
      </c>
    </row>
    <row r="1608" spans="1:15" x14ac:dyDescent="0.25">
      <c r="A1608" t="str">
        <f>$A$500</f>
        <v xml:space="preserve">                    SITE Centers Corp</v>
      </c>
      <c r="B1608" t="str">
        <f>$B$500</f>
        <v>SITC US Equity</v>
      </c>
      <c r="C1608" t="str">
        <f>$C$500</f>
        <v>F0946</v>
      </c>
      <c r="D1608" t="str">
        <f>$D$500</f>
        <v>TOTAL_GHG_CO2_EMISSIONS</v>
      </c>
      <c r="E1608" t="str">
        <f>$E$500</f>
        <v>Dynamic</v>
      </c>
      <c r="F1608" t="str">
        <f ca="1">_xll.BDH($B$500,$C$500,$B$1130,$B$1131,CONCATENATE("Per=",$B$1128),"Dts=H","Dir=H",CONCATENATE("Points=",$B$1129),"Sort=R","Days=A","Fill=B",CONCATENATE("FX=", $B$1127),"cols=5;rows=1")</f>
        <v/>
      </c>
      <c r="K1608" t="str">
        <f>""</f>
        <v/>
      </c>
      <c r="L1608" t="str">
        <f>""</f>
        <v/>
      </c>
      <c r="M1608" t="str">
        <f>""</f>
        <v/>
      </c>
      <c r="N1608" t="str">
        <f>""</f>
        <v/>
      </c>
      <c r="O1608" t="str">
        <f>""</f>
        <v/>
      </c>
    </row>
    <row r="1609" spans="1:15" x14ac:dyDescent="0.25">
      <c r="A1609" t="str">
        <f>$A$501</f>
        <v xml:space="preserve">                    Spirit Realty Capital Inc</v>
      </c>
      <c r="B1609" t="str">
        <f>$B$501</f>
        <v>SRC US Equity</v>
      </c>
      <c r="C1609" t="str">
        <f>$C$501</f>
        <v>F0946</v>
      </c>
      <c r="D1609" t="str">
        <f>$D$501</f>
        <v>TOTAL_GHG_CO2_EMISSIONS</v>
      </c>
      <c r="E1609" t="str">
        <f>$E$501</f>
        <v>Dynamic</v>
      </c>
      <c r="F1609" t="str">
        <f ca="1">_xll.BDH($B$501,$C$501,$B$1130,$B$1131,CONCATENATE("Per=",$B$1128),"Dts=H","Dir=H",CONCATENATE("Points=",$B$1129),"Sort=R","Days=A","Fill=B",CONCATENATE("FX=", $B$1127) )</f>
        <v/>
      </c>
      <c r="K1609" t="str">
        <f>""</f>
        <v/>
      </c>
      <c r="L1609" t="str">
        <f>""</f>
        <v/>
      </c>
      <c r="M1609" t="str">
        <f>""</f>
        <v/>
      </c>
      <c r="N1609" t="str">
        <f>""</f>
        <v/>
      </c>
      <c r="O1609" t="str">
        <f>""</f>
        <v/>
      </c>
    </row>
    <row r="1610" spans="1:15" x14ac:dyDescent="0.25">
      <c r="A1610" t="str">
        <f>$A$502</f>
        <v xml:space="preserve">                    Tanger Factory Outlet Centers</v>
      </c>
      <c r="B1610" t="str">
        <f>$B$502</f>
        <v>SKT US Equity</v>
      </c>
      <c r="C1610" t="str">
        <f>$C$502</f>
        <v>F0946</v>
      </c>
      <c r="D1610" t="str">
        <f>$D$502</f>
        <v>TOTAL_GHG_CO2_EMISSIONS</v>
      </c>
      <c r="E1610" t="str">
        <f>$E$502</f>
        <v>Dynamic</v>
      </c>
      <c r="F1610" t="str">
        <f ca="1">_xll.BDH($B$502,$C$502,$B$1130,$B$1131,CONCATENATE("Per=",$B$1128),"Dts=H","Dir=H",CONCATENATE("Points=",$B$1129),"Sort=R","Days=A","Fill=B",CONCATENATE("FX=", $B$1127),"cols=5;rows=1")</f>
        <v/>
      </c>
      <c r="G1610">
        <v>8.8999999999999999E-3</v>
      </c>
      <c r="H1610">
        <v>4.7100000000000003E-2</v>
      </c>
      <c r="I1610">
        <v>5.9499999999999997E-2</v>
      </c>
      <c r="J1610">
        <v>6.3100000000000003E-2</v>
      </c>
      <c r="K1610" t="str">
        <f>""</f>
        <v/>
      </c>
      <c r="L1610" t="str">
        <f>""</f>
        <v/>
      </c>
      <c r="M1610" t="str">
        <f>""</f>
        <v/>
      </c>
      <c r="N1610" t="str">
        <f>""</f>
        <v/>
      </c>
      <c r="O1610" t="str">
        <f>""</f>
        <v/>
      </c>
    </row>
    <row r="1611" spans="1:15" x14ac:dyDescent="0.25">
      <c r="A1611" t="str">
        <f>$A$503</f>
        <v xml:space="preserve">                    Urstadt Biddle Properties Inc</v>
      </c>
      <c r="B1611" t="str">
        <f>$B$503</f>
        <v>UBA US Equity</v>
      </c>
      <c r="C1611" t="str">
        <f>$C$503</f>
        <v>F0946</v>
      </c>
      <c r="D1611" t="str">
        <f>$D$503</f>
        <v>TOTAL_GHG_CO2_EMISSIONS</v>
      </c>
      <c r="E1611" t="str">
        <f>$E$503</f>
        <v>Dynamic</v>
      </c>
      <c r="F1611" t="str">
        <f ca="1">_xll.BDH($B$503,$C$503,$B$1130,$B$1131,CONCATENATE("Per=",$B$1128),"Dts=H","Dir=H",CONCATENATE("Points=",$B$1129),"Sort=R","Days=A","Fill=B",CONCATENATE("FX=", $B$1127) )</f>
        <v/>
      </c>
      <c r="K1611" t="str">
        <f>""</f>
        <v/>
      </c>
      <c r="L1611" t="str">
        <f>""</f>
        <v/>
      </c>
      <c r="M1611" t="str">
        <f>""</f>
        <v/>
      </c>
      <c r="N1611" t="str">
        <f>""</f>
        <v/>
      </c>
      <c r="O1611" t="str">
        <f>""</f>
        <v/>
      </c>
    </row>
    <row r="1612" spans="1:15" x14ac:dyDescent="0.25">
      <c r="A1612" t="str">
        <f>$A$504</f>
        <v xml:space="preserve">                    Washington Prime Group Inc</v>
      </c>
      <c r="B1612" t="str">
        <f>$B$504</f>
        <v>WPGGQ US Equity</v>
      </c>
      <c r="C1612" t="str">
        <f>$C$504</f>
        <v>F0946</v>
      </c>
      <c r="D1612" t="str">
        <f>$D$504</f>
        <v>TOTAL_GHG_CO2_EMISSIONS</v>
      </c>
      <c r="E1612" t="str">
        <f>$E$504</f>
        <v>Dynamic</v>
      </c>
      <c r="F1612" t="str">
        <f ca="1">_xll.BDH($B$504,$C$504,$B$1130,$B$1131,CONCATENATE("Per=",$B$1128),"Dts=H","Dir=H",CONCATENATE("Points=",$B$1129),"Sort=R","Days=A","Fill=B",CONCATENATE("FX=", $B$1127) )</f>
        <v/>
      </c>
      <c r="K1612" t="str">
        <f>""</f>
        <v/>
      </c>
      <c r="L1612" t="str">
        <f>""</f>
        <v/>
      </c>
      <c r="M1612" t="str">
        <f>""</f>
        <v/>
      </c>
      <c r="N1612" t="str">
        <f>""</f>
        <v/>
      </c>
      <c r="O1612" t="str">
        <f>""</f>
        <v/>
      </c>
    </row>
    <row r="1613" spans="1:15" x14ac:dyDescent="0.25">
      <c r="A1613" t="str">
        <f>$A$508</f>
        <v xml:space="preserve">                    3M Co</v>
      </c>
      <c r="B1613" t="str">
        <f>$B$508</f>
        <v>MMM US Equity</v>
      </c>
      <c r="C1613" t="str">
        <f>$C$508</f>
        <v>F0946</v>
      </c>
      <c r="D1613" t="str">
        <f>$D$508</f>
        <v>TOTAL_GHG_CO2_EMISSIONS</v>
      </c>
      <c r="E1613" t="str">
        <f>$E$508</f>
        <v>Dynamic</v>
      </c>
      <c r="F1613">
        <f ca="1">_xll.BDH($B$508,$C$508,$B$1130,$B$1131,CONCATENATE("Per=",$B$1128),"Dts=H","Dir=H",CONCATENATE("Points=",$B$1129),"Sort=R","Days=A","Fill=B",CONCATENATE("FX=", $B$1127),"cols=5;rows=1")</f>
        <v>3.88</v>
      </c>
      <c r="G1613">
        <v>4.57</v>
      </c>
      <c r="H1613">
        <v>5.28</v>
      </c>
      <c r="I1613">
        <v>5.83</v>
      </c>
      <c r="J1613">
        <v>6.65</v>
      </c>
      <c r="K1613" t="str">
        <f>""</f>
        <v/>
      </c>
      <c r="L1613" t="str">
        <f>""</f>
        <v/>
      </c>
      <c r="M1613" t="str">
        <f>""</f>
        <v/>
      </c>
      <c r="N1613" t="str">
        <f>""</f>
        <v/>
      </c>
      <c r="O1613" t="str">
        <f>""</f>
        <v/>
      </c>
    </row>
    <row r="1614" spans="1:15" x14ac:dyDescent="0.25">
      <c r="A1614" t="str">
        <f>$A$509</f>
        <v xml:space="preserve">                    Dover Corp</v>
      </c>
      <c r="B1614" t="str">
        <f>$B$509</f>
        <v>DOV US Equity</v>
      </c>
      <c r="C1614" t="str">
        <f>$C$509</f>
        <v>F0946</v>
      </c>
      <c r="D1614" t="str">
        <f>$D$509</f>
        <v>TOTAL_GHG_CO2_EMISSIONS</v>
      </c>
      <c r="E1614" t="str">
        <f>$E$509</f>
        <v>Dynamic</v>
      </c>
      <c r="F1614" t="str">
        <f ca="1">_xll.BDH($B$509,$C$509,$B$1130,$B$1131,CONCATENATE("Per=",$B$1128),"Dts=H","Dir=H",CONCATENATE("Points=",$B$1129),"Sort=R","Days=A","Fill=B",CONCATENATE("FX=", $B$1127),"cols=5;rows=1")</f>
        <v/>
      </c>
      <c r="G1614">
        <v>0.1358</v>
      </c>
      <c r="H1614">
        <v>0.1326</v>
      </c>
      <c r="I1614">
        <v>0.13550000000000001</v>
      </c>
      <c r="J1614">
        <v>0.18440000000000001</v>
      </c>
      <c r="K1614" t="str">
        <f>""</f>
        <v/>
      </c>
      <c r="L1614" t="str">
        <f>""</f>
        <v/>
      </c>
      <c r="M1614" t="str">
        <f>""</f>
        <v/>
      </c>
      <c r="N1614" t="str">
        <f>""</f>
        <v/>
      </c>
      <c r="O1614" t="str">
        <f>""</f>
        <v/>
      </c>
    </row>
    <row r="1615" spans="1:15" x14ac:dyDescent="0.25">
      <c r="A1615" t="str">
        <f>$A$510</f>
        <v xml:space="preserve">                    Eaton Corp PLC</v>
      </c>
      <c r="B1615" t="str">
        <f>$B$510</f>
        <v>ETN US Equity</v>
      </c>
      <c r="C1615" t="str">
        <f>$C$510</f>
        <v>F0946</v>
      </c>
      <c r="D1615" t="str">
        <f>$D$510</f>
        <v>TOTAL_GHG_CO2_EMISSIONS</v>
      </c>
      <c r="E1615" t="str">
        <f>$E$510</f>
        <v>Dynamic</v>
      </c>
      <c r="F1615" t="str">
        <f ca="1">_xll.BDH($B$510,$C$510,$B$1130,$B$1131,CONCATENATE("Per=",$B$1128),"Dts=H","Dir=H",CONCATENATE("Points=",$B$1129),"Sort=R","Days=A","Fill=B",CONCATENATE("FX=", $B$1127),"cols=5;rows=1")</f>
        <v/>
      </c>
      <c r="G1615">
        <v>0.82989999999999997</v>
      </c>
      <c r="H1615">
        <v>0.97409999999999997</v>
      </c>
      <c r="I1615">
        <v>1.1204000000000001</v>
      </c>
      <c r="J1615">
        <v>1.1789000000000001</v>
      </c>
      <c r="K1615" t="str">
        <f>""</f>
        <v/>
      </c>
      <c r="L1615" t="str">
        <f>""</f>
        <v/>
      </c>
      <c r="M1615" t="str">
        <f>""</f>
        <v/>
      </c>
      <c r="N1615" t="str">
        <f>""</f>
        <v/>
      </c>
      <c r="O1615" t="str">
        <f>""</f>
        <v/>
      </c>
    </row>
    <row r="1616" spans="1:15" x14ac:dyDescent="0.25">
      <c r="A1616" t="str">
        <f>$A$511</f>
        <v xml:space="preserve">                    Emerson Electric Co</v>
      </c>
      <c r="B1616" t="str">
        <f>$B$511</f>
        <v>EMR US Equity</v>
      </c>
      <c r="C1616" t="str">
        <f>$C$511</f>
        <v>F0946</v>
      </c>
      <c r="D1616" t="str">
        <f>$D$511</f>
        <v>TOTAL_GHG_CO2_EMISSIONS</v>
      </c>
      <c r="E1616" t="str">
        <f>$E$511</f>
        <v>Dynamic</v>
      </c>
      <c r="F1616">
        <f ca="1">_xll.BDH($B$511,$C$511,$B$1130,$B$1131,CONCATENATE("Per=",$B$1128),"Dts=H","Dir=H",CONCATENATE("Points=",$B$1129),"Sort=R","Days=A","Fill=B",CONCATENATE("FX=", $B$1127),"cols=5;rows=1")</f>
        <v>0.64500000000000002</v>
      </c>
      <c r="G1616">
        <v>0.80059999999999998</v>
      </c>
      <c r="H1616">
        <v>0.76559999999999995</v>
      </c>
      <c r="I1616">
        <v>0.85129999999999995</v>
      </c>
      <c r="J1616">
        <v>0.71599999999999997</v>
      </c>
      <c r="K1616" t="str">
        <f>""</f>
        <v/>
      </c>
      <c r="L1616" t="str">
        <f>""</f>
        <v/>
      </c>
      <c r="M1616" t="str">
        <f>""</f>
        <v/>
      </c>
      <c r="N1616" t="str">
        <f>""</f>
        <v/>
      </c>
      <c r="O1616" t="str">
        <f>""</f>
        <v/>
      </c>
    </row>
    <row r="1617" spans="1:15" x14ac:dyDescent="0.25">
      <c r="A1617" t="str">
        <f>$A$512</f>
        <v xml:space="preserve">                    General Electric Co - Manufact</v>
      </c>
      <c r="B1617" t="str">
        <f>$B$512</f>
        <v>GE3 US Equity</v>
      </c>
      <c r="C1617" t="str">
        <f>$C$512</f>
        <v>F0946</v>
      </c>
      <c r="D1617" t="str">
        <f>$D$512</f>
        <v>TOTAL_GHG_CO2_EMISSIONS</v>
      </c>
      <c r="E1617" t="str">
        <f>$E$512</f>
        <v>Dynamic</v>
      </c>
      <c r="F1617" t="str">
        <f ca="1">_xll.BDH($B$512,$C$512,$B$1130,$B$1131,CONCATENATE("Per=",$B$1128),"Dts=H","Dir=H",CONCATENATE("Points=",$B$1129),"Sort=R","Days=A","Fill=B",CONCATENATE("FX=", $B$1127) )</f>
        <v/>
      </c>
      <c r="K1617" t="str">
        <f>""</f>
        <v/>
      </c>
      <c r="L1617" t="str">
        <f>""</f>
        <v/>
      </c>
      <c r="M1617" t="str">
        <f>""</f>
        <v/>
      </c>
      <c r="N1617" t="str">
        <f>""</f>
        <v/>
      </c>
      <c r="O1617" t="str">
        <f>""</f>
        <v/>
      </c>
    </row>
    <row r="1618" spans="1:15" x14ac:dyDescent="0.25">
      <c r="A1618" t="str">
        <f>$A$513</f>
        <v xml:space="preserve">                    Honeywell International Inc</v>
      </c>
      <c r="B1618" t="str">
        <f>$B$513</f>
        <v>HON US Equity</v>
      </c>
      <c r="C1618" t="str">
        <f>$C$513</f>
        <v>F0946</v>
      </c>
      <c r="D1618" t="str">
        <f>$D$513</f>
        <v>TOTAL_GHG_CO2_EMISSIONS</v>
      </c>
      <c r="E1618" t="str">
        <f>$E$513</f>
        <v>Dynamic</v>
      </c>
      <c r="F1618" t="str">
        <f ca="1">_xll.BDH($B$513,$C$513,$B$1130,$B$1131,CONCATENATE("Per=",$B$1128),"Dts=H","Dir=H",CONCATENATE("Points=",$B$1129),"Sort=R","Days=A","Fill=B",CONCATENATE("FX=", $B$1127),"cols=5;rows=1")</f>
        <v/>
      </c>
      <c r="G1618">
        <v>2.0179999999999998</v>
      </c>
      <c r="H1618">
        <v>2.2483</v>
      </c>
      <c r="I1618">
        <v>2.0426000000000002</v>
      </c>
      <c r="J1618">
        <v>2.528</v>
      </c>
      <c r="K1618" t="str">
        <f>""</f>
        <v/>
      </c>
      <c r="L1618" t="str">
        <f>""</f>
        <v/>
      </c>
      <c r="M1618" t="str">
        <f>""</f>
        <v/>
      </c>
      <c r="N1618" t="str">
        <f>""</f>
        <v/>
      </c>
      <c r="O1618" t="str">
        <f>""</f>
        <v/>
      </c>
    </row>
    <row r="1619" spans="1:15" x14ac:dyDescent="0.25">
      <c r="A1619" t="str">
        <f>$A$514</f>
        <v xml:space="preserve">                    IDEX Corp</v>
      </c>
      <c r="B1619" t="str">
        <f>$B$514</f>
        <v>IEX US Equity</v>
      </c>
      <c r="C1619" t="str">
        <f>$C$514</f>
        <v>F0946</v>
      </c>
      <c r="D1619" t="str">
        <f>$D$514</f>
        <v>TOTAL_GHG_CO2_EMISSIONS</v>
      </c>
      <c r="E1619" t="str">
        <f>$E$514</f>
        <v>Dynamic</v>
      </c>
      <c r="F1619">
        <f ca="1">_xll.BDH($B$514,$C$514,$B$1130,$B$1131,CONCATENATE("Per=",$B$1128),"Dts=H","Dir=H",CONCATENATE("Points=",$B$1129),"Sort=R","Days=A","Fill=B",CONCATENATE("FX=", $B$1127),"cols=5;rows=1")</f>
        <v>5.11E-2</v>
      </c>
      <c r="G1619">
        <v>4.8800000000000003E-2</v>
      </c>
      <c r="H1619">
        <v>3.6900000000000002E-2</v>
      </c>
      <c r="I1619">
        <v>4.24E-2</v>
      </c>
      <c r="J1619">
        <v>4.4600000000000001E-2</v>
      </c>
      <c r="K1619" t="str">
        <f>""</f>
        <v/>
      </c>
      <c r="L1619" t="str">
        <f>""</f>
        <v/>
      </c>
      <c r="M1619" t="str">
        <f>""</f>
        <v/>
      </c>
      <c r="N1619" t="str">
        <f>""</f>
        <v/>
      </c>
      <c r="O1619" t="str">
        <f>""</f>
        <v/>
      </c>
    </row>
    <row r="1620" spans="1:15" x14ac:dyDescent="0.25">
      <c r="A1620" t="str">
        <f>$A$515</f>
        <v xml:space="preserve">                    Illinois Tool Works Inc</v>
      </c>
      <c r="B1620" t="str">
        <f>$B$515</f>
        <v>ITW US Equity</v>
      </c>
      <c r="C1620" t="str">
        <f>$C$515</f>
        <v>F0946</v>
      </c>
      <c r="D1620" t="str">
        <f>$D$515</f>
        <v>TOTAL_GHG_CO2_EMISSIONS</v>
      </c>
      <c r="E1620" t="str">
        <f>$E$515</f>
        <v>Dynamic</v>
      </c>
      <c r="F1620">
        <f ca="1">_xll.BDH($B$515,$C$515,$B$1130,$B$1131,CONCATENATE("Per=",$B$1128),"Dts=H","Dir=H",CONCATENATE("Points=",$B$1129),"Sort=R","Days=A","Fill=B",CONCATENATE("FX=", $B$1127),"cols=5;rows=1")</f>
        <v>0.50549999999999995</v>
      </c>
      <c r="G1620">
        <v>0.50209999999999999</v>
      </c>
      <c r="H1620">
        <v>0.54120000000000001</v>
      </c>
      <c r="I1620">
        <v>0.60389999999999999</v>
      </c>
      <c r="J1620">
        <v>0.67479999999999996</v>
      </c>
      <c r="K1620" t="str">
        <f>""</f>
        <v/>
      </c>
      <c r="L1620" t="str">
        <f>""</f>
        <v/>
      </c>
      <c r="M1620" t="str">
        <f>""</f>
        <v/>
      </c>
      <c r="N1620" t="str">
        <f>""</f>
        <v/>
      </c>
      <c r="O1620" t="str">
        <f>""</f>
        <v/>
      </c>
    </row>
    <row r="1621" spans="1:15" x14ac:dyDescent="0.25">
      <c r="A1621" t="str">
        <f>$A$516</f>
        <v xml:space="preserve">                    Pentair PLC</v>
      </c>
      <c r="B1621" t="str">
        <f>$B$516</f>
        <v>PNR US Equity</v>
      </c>
      <c r="C1621" t="str">
        <f>$C$516</f>
        <v>F0946</v>
      </c>
      <c r="D1621" t="str">
        <f>$D$516</f>
        <v>TOTAL_GHG_CO2_EMISSIONS</v>
      </c>
      <c r="E1621" t="str">
        <f>$E$516</f>
        <v>Dynamic</v>
      </c>
      <c r="F1621">
        <f ca="1">_xll.BDH($B$516,$C$516,$B$1130,$B$1131,CONCATENATE("Per=",$B$1128),"Dts=H","Dir=H",CONCATENATE("Points=",$B$1129),"Sort=R","Days=A","Fill=B",CONCATENATE("FX=", $B$1127),"cols=5;rows=1")</f>
        <v>0.1197</v>
      </c>
      <c r="G1621">
        <v>0.1084</v>
      </c>
      <c r="H1621">
        <v>0.11269999999999999</v>
      </c>
      <c r="I1621">
        <v>9.0200000000000002E-2</v>
      </c>
      <c r="J1621">
        <v>9.6199999999999994E-2</v>
      </c>
      <c r="K1621" t="str">
        <f>""</f>
        <v/>
      </c>
      <c r="L1621" t="str">
        <f>""</f>
        <v/>
      </c>
      <c r="M1621" t="str">
        <f>""</f>
        <v/>
      </c>
      <c r="N1621" t="str">
        <f>""</f>
        <v/>
      </c>
      <c r="O1621" t="str">
        <f>""</f>
        <v/>
      </c>
    </row>
    <row r="1622" spans="1:15" x14ac:dyDescent="0.25">
      <c r="A1622" t="str">
        <f>$A$517</f>
        <v xml:space="preserve">                    Roper Technologies Inc</v>
      </c>
      <c r="B1622" t="str">
        <f>$B$517</f>
        <v>ROP US Equity</v>
      </c>
      <c r="C1622" t="str">
        <f>$C$517</f>
        <v>F0946</v>
      </c>
      <c r="D1622" t="str">
        <f>$D$517</f>
        <v>TOTAL_GHG_CO2_EMISSIONS</v>
      </c>
      <c r="E1622" t="str">
        <f>$E$517</f>
        <v>Dynamic</v>
      </c>
      <c r="F1622">
        <f ca="1">_xll.BDH($B$517,$C$517,$B$1130,$B$1131,CONCATENATE("Per=",$B$1128),"Dts=H","Dir=H",CONCATENATE("Points=",$B$1129),"Sort=R","Days=A","Fill=B",CONCATENATE("FX=", $B$1127),"cols=5;rows=1")</f>
        <v>1.4200000000000001E-2</v>
      </c>
      <c r="K1622" t="str">
        <f>""</f>
        <v/>
      </c>
      <c r="L1622" t="str">
        <f>""</f>
        <v/>
      </c>
      <c r="M1622" t="str">
        <f>""</f>
        <v/>
      </c>
      <c r="N1622" t="str">
        <f>""</f>
        <v/>
      </c>
      <c r="O1622" t="str">
        <f>""</f>
        <v/>
      </c>
    </row>
    <row r="1623" spans="1:15" x14ac:dyDescent="0.25">
      <c r="A1623" t="str">
        <f>$A$518</f>
        <v xml:space="preserve">                    Raytheon Technologies Corp</v>
      </c>
      <c r="B1623" t="str">
        <f>$B$518</f>
        <v>RTX US Equity</v>
      </c>
      <c r="C1623" t="str">
        <f>$C$518</f>
        <v>F0946</v>
      </c>
      <c r="D1623" t="str">
        <f>$D$518</f>
        <v>TOTAL_GHG_CO2_EMISSIONS</v>
      </c>
      <c r="E1623" t="str">
        <f>$E$518</f>
        <v>Dynamic</v>
      </c>
      <c r="F1623" t="str">
        <f ca="1">_xll.BDH($B$518,$C$518,$B$1130,$B$1131,CONCATENATE("Per=",$B$1128),"Dts=H","Dir=H",CONCATENATE("Points=",$B$1129),"Sort=R","Days=A","Fill=B",CONCATENATE("FX=", $B$1127),"cols=5;rows=1")</f>
        <v/>
      </c>
      <c r="G1623">
        <v>1.4520999999999999</v>
      </c>
      <c r="H1623">
        <v>1.5386</v>
      </c>
      <c r="I1623">
        <v>1.7581</v>
      </c>
      <c r="J1623">
        <v>1.7907999999999999</v>
      </c>
      <c r="K1623" t="str">
        <f>""</f>
        <v/>
      </c>
      <c r="L1623" t="str">
        <f>""</f>
        <v/>
      </c>
      <c r="M1623" t="str">
        <f>""</f>
        <v/>
      </c>
      <c r="N1623" t="str">
        <f>""</f>
        <v/>
      </c>
      <c r="O1623" t="str">
        <f>""</f>
        <v/>
      </c>
    </row>
    <row r="1624" spans="1:15" x14ac:dyDescent="0.25">
      <c r="A1624" t="str">
        <f>$A$521</f>
        <v xml:space="preserve">                        Airbus SE</v>
      </c>
      <c r="B1624" t="str">
        <f>$B$521</f>
        <v>AIR FP Equity</v>
      </c>
      <c r="C1624" t="str">
        <f>$C$521</f>
        <v>F0946</v>
      </c>
      <c r="D1624" t="str">
        <f>$D$521</f>
        <v>TOTAL_GHG_CO2_EMISSIONS</v>
      </c>
      <c r="E1624" t="str">
        <f>$E$521</f>
        <v>Dynamic</v>
      </c>
      <c r="F1624">
        <f ca="1">_xll.BDH($B$521,$C$521,$B$1130,$B$1131,CONCATENATE("Per=",$B$1128),"Dts=H","Dir=H",CONCATENATE("Points=",$B$1129),"Sort=R","Days=A","Fill=B",CONCATENATE("FX=", $B$1127),"cols=5;rows=1")</f>
        <v>0.85699999999999998</v>
      </c>
      <c r="G1624">
        <v>0.90100000000000002</v>
      </c>
      <c r="H1624">
        <v>0.83489999999999998</v>
      </c>
      <c r="I1624">
        <v>0.95650000000000002</v>
      </c>
      <c r="J1624">
        <v>0.96560000000000001</v>
      </c>
      <c r="K1624" t="str">
        <f>""</f>
        <v/>
      </c>
      <c r="L1624" t="str">
        <f>""</f>
        <v/>
      </c>
      <c r="M1624" t="str">
        <f>""</f>
        <v/>
      </c>
      <c r="N1624" t="str">
        <f>""</f>
        <v/>
      </c>
      <c r="O1624" t="str">
        <f>""</f>
        <v/>
      </c>
    </row>
    <row r="1625" spans="1:15" x14ac:dyDescent="0.25">
      <c r="A1625" t="str">
        <f>$A$522</f>
        <v xml:space="preserve">                        Boeing Co/The</v>
      </c>
      <c r="B1625" t="str">
        <f>$B$522</f>
        <v>BA US Equity</v>
      </c>
      <c r="C1625" t="str">
        <f>$C$522</f>
        <v>F0946</v>
      </c>
      <c r="D1625" t="str">
        <f>$D$522</f>
        <v>TOTAL_GHG_CO2_EMISSIONS</v>
      </c>
      <c r="E1625" t="str">
        <f>$E$522</f>
        <v>Dynamic</v>
      </c>
      <c r="F1625">
        <f ca="1">_xll.BDH($B$522,$C$522,$B$1130,$B$1131,CONCATENATE("Per=",$B$1128),"Dts=H","Dir=H",CONCATENATE("Points=",$B$1129),"Sort=R","Days=A","Fill=B",CONCATENATE("FX=", $B$1127),"cols=5;rows=1")</f>
        <v>1.421</v>
      </c>
      <c r="G1625">
        <v>1.3680000000000001</v>
      </c>
      <c r="H1625">
        <v>1.36</v>
      </c>
      <c r="I1625">
        <v>1.484</v>
      </c>
      <c r="J1625">
        <v>1.538</v>
      </c>
      <c r="K1625" t="str">
        <f>""</f>
        <v/>
      </c>
      <c r="L1625" t="str">
        <f>""</f>
        <v/>
      </c>
      <c r="M1625" t="str">
        <f>""</f>
        <v/>
      </c>
      <c r="N1625" t="str">
        <f>""</f>
        <v/>
      </c>
      <c r="O1625" t="str">
        <f>""</f>
        <v/>
      </c>
    </row>
    <row r="1626" spans="1:15" x14ac:dyDescent="0.25">
      <c r="A1626" t="str">
        <f>$A$523</f>
        <v xml:space="preserve">                        Bombardier Inc</v>
      </c>
      <c r="B1626" t="str">
        <f>$B$523</f>
        <v>BBD/B CN Equity</v>
      </c>
      <c r="C1626" t="str">
        <f>$C$523</f>
        <v>F0946</v>
      </c>
      <c r="D1626" t="str">
        <f>$D$523</f>
        <v>TOTAL_GHG_CO2_EMISSIONS</v>
      </c>
      <c r="E1626" t="str">
        <f>$E$523</f>
        <v>Dynamic</v>
      </c>
      <c r="F1626">
        <f ca="1">_xll.BDH($B$523,$C$523,$B$1130,$B$1131,CONCATENATE("Per=",$B$1128),"Dts=H","Dir=H",CONCATENATE("Points=",$B$1129),"Sort=R","Days=A","Fill=B",CONCATENATE("FX=", $B$1127),"cols=5;rows=1")</f>
        <v>9.2299999999999993E-2</v>
      </c>
      <c r="G1626">
        <v>9.35E-2</v>
      </c>
      <c r="H1626">
        <v>0.1086</v>
      </c>
      <c r="I1626">
        <v>0.25219999999999998</v>
      </c>
      <c r="J1626">
        <v>0.28029999999999999</v>
      </c>
      <c r="K1626" t="str">
        <f>""</f>
        <v/>
      </c>
      <c r="L1626" t="str">
        <f>""</f>
        <v/>
      </c>
      <c r="M1626" t="str">
        <f>""</f>
        <v/>
      </c>
      <c r="N1626" t="str">
        <f>""</f>
        <v/>
      </c>
      <c r="O1626" t="str">
        <f>""</f>
        <v/>
      </c>
    </row>
    <row r="1627" spans="1:15" x14ac:dyDescent="0.25">
      <c r="A1627" t="str">
        <f>$A$524</f>
        <v xml:space="preserve">                        Embraer SA</v>
      </c>
      <c r="B1627" t="str">
        <f>$B$524</f>
        <v>EMBR3 BZ Equity</v>
      </c>
      <c r="C1627" t="str">
        <f>$C$524</f>
        <v>F0946</v>
      </c>
      <c r="D1627" t="str">
        <f>$D$524</f>
        <v>TOTAL_GHG_CO2_EMISSIONS</v>
      </c>
      <c r="E1627" t="str">
        <f>$E$524</f>
        <v>Dynamic</v>
      </c>
      <c r="F1627" t="str">
        <f ca="1">_xll.BDH($B$524,$C$524,$B$1130,$B$1131,CONCATENATE("Per=",$B$1128),"Dts=H","Dir=H",CONCATENATE("Points=",$B$1129),"Sort=R","Days=A","Fill=B",CONCATENATE("FX=", $B$1127),"cols=5;rows=1")</f>
        <v/>
      </c>
      <c r="G1627">
        <v>7.2999999999999995E-2</v>
      </c>
      <c r="H1627">
        <v>5.7700000000000001E-2</v>
      </c>
      <c r="I1627">
        <v>4.3099999999999999E-2</v>
      </c>
      <c r="J1627">
        <v>4.24E-2</v>
      </c>
      <c r="K1627" t="str">
        <f>""</f>
        <v/>
      </c>
      <c r="L1627" t="str">
        <f>""</f>
        <v/>
      </c>
      <c r="M1627" t="str">
        <f>""</f>
        <v/>
      </c>
      <c r="N1627" t="str">
        <f>""</f>
        <v/>
      </c>
      <c r="O1627" t="str">
        <f>""</f>
        <v/>
      </c>
    </row>
    <row r="1628" spans="1:15" x14ac:dyDescent="0.25">
      <c r="A1628" t="str">
        <f>$A$525</f>
        <v xml:space="preserve">                        Textron Inc</v>
      </c>
      <c r="B1628" t="str">
        <f>$B$525</f>
        <v>TXT US Equity</v>
      </c>
      <c r="C1628" t="str">
        <f>$C$525</f>
        <v>F0946</v>
      </c>
      <c r="D1628" t="str">
        <f>$D$525</f>
        <v>TOTAL_GHG_CO2_EMISSIONS</v>
      </c>
      <c r="E1628" t="str">
        <f>$E$525</f>
        <v>Dynamic</v>
      </c>
      <c r="F1628" t="str">
        <f ca="1">_xll.BDH($B$525,$C$525,$B$1130,$B$1131,CONCATENATE("Per=",$B$1128),"Dts=H","Dir=H",CONCATENATE("Points=",$B$1129),"Sort=R","Days=A","Fill=B",CONCATENATE("FX=", $B$1127),"cols=5;rows=1")</f>
        <v/>
      </c>
      <c r="G1628">
        <v>0.53559999999999997</v>
      </c>
      <c r="H1628">
        <v>0.51160000000000005</v>
      </c>
      <c r="I1628">
        <v>0.60309999999999997</v>
      </c>
      <c r="J1628">
        <v>0.67830000000000001</v>
      </c>
      <c r="K1628" t="str">
        <f>""</f>
        <v/>
      </c>
      <c r="L1628" t="str">
        <f>""</f>
        <v/>
      </c>
      <c r="M1628" t="str">
        <f>""</f>
        <v/>
      </c>
      <c r="N1628" t="str">
        <f>""</f>
        <v/>
      </c>
      <c r="O1628" t="str">
        <f>""</f>
        <v/>
      </c>
    </row>
    <row r="1629" spans="1:15" x14ac:dyDescent="0.25">
      <c r="A1629" t="str">
        <f>$A$527</f>
        <v xml:space="preserve">                        Aerojet Rocketdyne Holdings In</v>
      </c>
      <c r="B1629" t="str">
        <f>$B$527</f>
        <v>AJRD US Equity</v>
      </c>
      <c r="C1629" t="str">
        <f>$C$527</f>
        <v>F0946</v>
      </c>
      <c r="D1629" t="str">
        <f>$D$527</f>
        <v>TOTAL_GHG_CO2_EMISSIONS</v>
      </c>
      <c r="E1629" t="str">
        <f>$E$527</f>
        <v>Dynamic</v>
      </c>
      <c r="F1629" t="str">
        <f ca="1">_xll.BDH($B$527,$C$527,$B$1130,$B$1131,CONCATENATE("Per=",$B$1128),"Dts=H","Dir=H",CONCATENATE("Points=",$B$1129),"Sort=R","Days=A","Fill=B",CONCATENATE("FX=", $B$1127) )</f>
        <v/>
      </c>
      <c r="K1629" t="str">
        <f>""</f>
        <v/>
      </c>
      <c r="L1629" t="str">
        <f>""</f>
        <v/>
      </c>
      <c r="M1629" t="str">
        <f>""</f>
        <v/>
      </c>
      <c r="N1629" t="str">
        <f>""</f>
        <v/>
      </c>
      <c r="O1629" t="str">
        <f>""</f>
        <v/>
      </c>
    </row>
    <row r="1630" spans="1:15" x14ac:dyDescent="0.25">
      <c r="A1630" t="str">
        <f>$A$528</f>
        <v xml:space="preserve">                        Airbus SE</v>
      </c>
      <c r="B1630" t="str">
        <f>$B$528</f>
        <v>AIR FP Equity</v>
      </c>
      <c r="C1630" t="str">
        <f>$C$528</f>
        <v>F0946</v>
      </c>
      <c r="D1630" t="str">
        <f>$D$528</f>
        <v>TOTAL_GHG_CO2_EMISSIONS</v>
      </c>
      <c r="E1630" t="str">
        <f>$E$528</f>
        <v>Dynamic</v>
      </c>
      <c r="F1630">
        <f ca="1">_xll.BDH($B$528,$C$528,$B$1130,$B$1131,CONCATENATE("Per=",$B$1128),"Dts=H","Dir=H",CONCATENATE("Points=",$B$1129),"Sort=R","Days=A","Fill=B",CONCATENATE("FX=", $B$1127),"cols=5;rows=1")</f>
        <v>0.85699999999999998</v>
      </c>
      <c r="G1630">
        <v>0.90100000000000002</v>
      </c>
      <c r="H1630">
        <v>0.83489999999999998</v>
      </c>
      <c r="I1630">
        <v>0.95650000000000002</v>
      </c>
      <c r="J1630">
        <v>0.96560000000000001</v>
      </c>
      <c r="K1630" t="str">
        <f>""</f>
        <v/>
      </c>
      <c r="L1630" t="str">
        <f>""</f>
        <v/>
      </c>
      <c r="M1630" t="str">
        <f>""</f>
        <v/>
      </c>
      <c r="N1630" t="str">
        <f>""</f>
        <v/>
      </c>
      <c r="O1630" t="str">
        <f>""</f>
        <v/>
      </c>
    </row>
    <row r="1631" spans="1:15" x14ac:dyDescent="0.25">
      <c r="A1631" t="str">
        <f>$A$529</f>
        <v xml:space="preserve">                        Austal Ltd</v>
      </c>
      <c r="B1631" t="str">
        <f>$B$529</f>
        <v>ASB AU Equity</v>
      </c>
      <c r="C1631" t="str">
        <f>$C$529</f>
        <v>F0946</v>
      </c>
      <c r="D1631" t="str">
        <f>$D$529</f>
        <v>TOTAL_GHG_CO2_EMISSIONS</v>
      </c>
      <c r="E1631" t="str">
        <f>$E$529</f>
        <v>Dynamic</v>
      </c>
      <c r="F1631" t="str">
        <f ca="1">_xll.BDH($B$529,$C$529,$B$1130,$B$1131,CONCATENATE("Per=",$B$1128),"Dts=H","Dir=H",CONCATENATE("Points=",$B$1129),"Sort=R","Days=A","Fill=B",CONCATENATE("FX=", $B$1127),"cols=5;rows=1")</f>
        <v/>
      </c>
      <c r="G1631">
        <v>1.78E-2</v>
      </c>
      <c r="H1631">
        <v>2.81E-2</v>
      </c>
      <c r="K1631" t="str">
        <f>""</f>
        <v/>
      </c>
      <c r="L1631" t="str">
        <f>""</f>
        <v/>
      </c>
      <c r="M1631" t="str">
        <f>""</f>
        <v/>
      </c>
      <c r="N1631" t="str">
        <f>""</f>
        <v/>
      </c>
      <c r="O1631" t="str">
        <f>""</f>
        <v/>
      </c>
    </row>
    <row r="1632" spans="1:15" x14ac:dyDescent="0.25">
      <c r="A1632" t="str">
        <f>$A$530</f>
        <v xml:space="preserve">                        AeroVironment Inc</v>
      </c>
      <c r="B1632" t="str">
        <f>$B$530</f>
        <v>AVAV US Equity</v>
      </c>
      <c r="C1632" t="str">
        <f>$C$530</f>
        <v>F0946</v>
      </c>
      <c r="D1632" t="str">
        <f>$D$530</f>
        <v>TOTAL_GHG_CO2_EMISSIONS</v>
      </c>
      <c r="E1632" t="str">
        <f>$E$530</f>
        <v>Dynamic</v>
      </c>
      <c r="F1632" t="str">
        <f ca="1">_xll.BDH($B$530,$C$530,$B$1130,$B$1131,CONCATENATE("Per=",$B$1128),"Dts=H","Dir=H",CONCATENATE("Points=",$B$1129),"Sort=R","Days=A","Fill=B",CONCATENATE("FX=", $B$1127) )</f>
        <v/>
      </c>
      <c r="K1632" t="str">
        <f>""</f>
        <v/>
      </c>
      <c r="L1632" t="str">
        <f>""</f>
        <v/>
      </c>
      <c r="M1632" t="str">
        <f>""</f>
        <v/>
      </c>
      <c r="N1632" t="str">
        <f>""</f>
        <v/>
      </c>
      <c r="O1632" t="str">
        <f>""</f>
        <v/>
      </c>
    </row>
    <row r="1633" spans="1:15" x14ac:dyDescent="0.25">
      <c r="A1633" t="str">
        <f>$A$531</f>
        <v xml:space="preserve">                        BAE Systems PLC</v>
      </c>
      <c r="B1633" t="str">
        <f>$B$531</f>
        <v>BA/ LN Equity</v>
      </c>
      <c r="C1633" t="str">
        <f>$C$531</f>
        <v>F0946</v>
      </c>
      <c r="D1633" t="str">
        <f>$D$531</f>
        <v>TOTAL_GHG_CO2_EMISSIONS</v>
      </c>
      <c r="E1633" t="str">
        <f>$E$531</f>
        <v>Dynamic</v>
      </c>
      <c r="F1633" t="str">
        <f ca="1">_xll.BDH($B$531,$C$531,$B$1130,$B$1131,CONCATENATE("Per=",$B$1128),"Dts=H","Dir=H",CONCATENATE("Points=",$B$1129),"Sort=R","Days=A","Fill=B",CONCATENATE("FX=", $B$1127),"cols=5;rows=1")</f>
        <v/>
      </c>
      <c r="G1633">
        <v>0.41099999999999998</v>
      </c>
      <c r="H1633">
        <v>0.4874</v>
      </c>
      <c r="I1633">
        <v>0.96540000000000004</v>
      </c>
      <c r="J1633">
        <v>1.0204</v>
      </c>
      <c r="K1633" t="str">
        <f>""</f>
        <v/>
      </c>
      <c r="L1633" t="str">
        <f>""</f>
        <v/>
      </c>
      <c r="M1633" t="str">
        <f>""</f>
        <v/>
      </c>
      <c r="N1633" t="str">
        <f>""</f>
        <v/>
      </c>
      <c r="O1633" t="str">
        <f>""</f>
        <v/>
      </c>
    </row>
    <row r="1634" spans="1:15" x14ac:dyDescent="0.25">
      <c r="A1634" t="str">
        <f>$A$532</f>
        <v xml:space="preserve">                        Boeing Co/The</v>
      </c>
      <c r="B1634" t="str">
        <f>$B$532</f>
        <v>BA US Equity</v>
      </c>
      <c r="C1634" t="str">
        <f>$C$532</f>
        <v>F0946</v>
      </c>
      <c r="D1634" t="str">
        <f>$D$532</f>
        <v>TOTAL_GHG_CO2_EMISSIONS</v>
      </c>
      <c r="E1634" t="str">
        <f>$E$532</f>
        <v>Dynamic</v>
      </c>
      <c r="F1634">
        <f ca="1">_xll.BDH($B$532,$C$532,$B$1130,$B$1131,CONCATENATE("Per=",$B$1128),"Dts=H","Dir=H",CONCATENATE("Points=",$B$1129),"Sort=R","Days=A","Fill=B",CONCATENATE("FX=", $B$1127),"cols=5;rows=1")</f>
        <v>1.421</v>
      </c>
      <c r="G1634">
        <v>1.3680000000000001</v>
      </c>
      <c r="H1634">
        <v>1.36</v>
      </c>
      <c r="I1634">
        <v>1.484</v>
      </c>
      <c r="J1634">
        <v>1.538</v>
      </c>
      <c r="K1634" t="str">
        <f>""</f>
        <v/>
      </c>
      <c r="L1634" t="str">
        <f>""</f>
        <v/>
      </c>
      <c r="M1634" t="str">
        <f>""</f>
        <v/>
      </c>
      <c r="N1634" t="str">
        <f>""</f>
        <v/>
      </c>
      <c r="O1634" t="str">
        <f>""</f>
        <v/>
      </c>
    </row>
    <row r="1635" spans="1:15" x14ac:dyDescent="0.25">
      <c r="A1635" t="str">
        <f>$A$533</f>
        <v xml:space="preserve">                        Dassault Aviation SA</v>
      </c>
      <c r="B1635" t="str">
        <f>$B$533</f>
        <v>AM FP Equity</v>
      </c>
      <c r="C1635" t="str">
        <f>$C$533</f>
        <v>F0946</v>
      </c>
      <c r="D1635" t="str">
        <f>$D$533</f>
        <v>TOTAL_GHG_CO2_EMISSIONS</v>
      </c>
      <c r="E1635" t="str">
        <f>$E$533</f>
        <v>Dynamic</v>
      </c>
      <c r="F1635">
        <f ca="1">_xll.BDH($B$533,$C$533,$B$1130,$B$1131,CONCATENATE("Per=",$B$1128),"Dts=H","Dir=H",CONCATENATE("Points=",$B$1129),"Sort=R","Days=A","Fill=B",CONCATENATE("FX=", $B$1127),"cols=5;rows=1")</f>
        <v>7.2400000000000006E-2</v>
      </c>
      <c r="G1635">
        <v>8.6400000000000005E-2</v>
      </c>
      <c r="H1635">
        <v>7.85E-2</v>
      </c>
      <c r="I1635">
        <v>9.4500000000000001E-2</v>
      </c>
      <c r="J1635">
        <v>9.0800000000000006E-2</v>
      </c>
      <c r="K1635" t="str">
        <f>""</f>
        <v/>
      </c>
      <c r="L1635" t="str">
        <f>""</f>
        <v/>
      </c>
      <c r="M1635" t="str">
        <f>""</f>
        <v/>
      </c>
      <c r="N1635" t="str">
        <f>""</f>
        <v/>
      </c>
      <c r="O1635" t="str">
        <f>""</f>
        <v/>
      </c>
    </row>
    <row r="1636" spans="1:15" x14ac:dyDescent="0.25">
      <c r="A1636" t="str">
        <f>$A$534</f>
        <v xml:space="preserve">                        General Dynamics Corp</v>
      </c>
      <c r="B1636" t="str">
        <f>$B$534</f>
        <v>GD US Equity</v>
      </c>
      <c r="C1636" t="str">
        <f>$C$534</f>
        <v>F0946</v>
      </c>
      <c r="D1636" t="str">
        <f>$D$534</f>
        <v>TOTAL_GHG_CO2_EMISSIONS</v>
      </c>
      <c r="E1636" t="str">
        <f>$E$534</f>
        <v>Dynamic</v>
      </c>
      <c r="F1636" t="str">
        <f ca="1">_xll.BDH($B$534,$C$534,$B$1130,$B$1131,CONCATENATE("Per=",$B$1128),"Dts=H","Dir=H",CONCATENATE("Points=",$B$1129),"Sort=R","Days=A","Fill=B",CONCATENATE("FX=", $B$1127),"cols=5;rows=1")</f>
        <v/>
      </c>
      <c r="G1636">
        <v>0.71399999999999997</v>
      </c>
      <c r="H1636">
        <v>0.70250000000000001</v>
      </c>
      <c r="I1636">
        <v>0.76680000000000004</v>
      </c>
      <c r="J1636">
        <v>0.79420000000000002</v>
      </c>
      <c r="K1636" t="str">
        <f>""</f>
        <v/>
      </c>
      <c r="L1636" t="str">
        <f>""</f>
        <v/>
      </c>
      <c r="M1636" t="str">
        <f>""</f>
        <v/>
      </c>
      <c r="N1636" t="str">
        <f>""</f>
        <v/>
      </c>
      <c r="O1636" t="str">
        <f>""</f>
        <v/>
      </c>
    </row>
    <row r="1637" spans="1:15" x14ac:dyDescent="0.25">
      <c r="A1637" t="str">
        <f>$A$535</f>
        <v xml:space="preserve">                        Huntington Ingalls Industries</v>
      </c>
      <c r="B1637" t="str">
        <f>$B$535</f>
        <v>HII US Equity</v>
      </c>
      <c r="C1637" t="str">
        <f>$C$535</f>
        <v>F0946</v>
      </c>
      <c r="D1637" t="str">
        <f>$D$535</f>
        <v>TOTAL_GHG_CO2_EMISSIONS</v>
      </c>
      <c r="E1637" t="str">
        <f>$E$535</f>
        <v>Dynamic</v>
      </c>
      <c r="F1637" t="str">
        <f ca="1">_xll.BDH($B$535,$C$535,$B$1130,$B$1131,CONCATENATE("Per=",$B$1128),"Dts=H","Dir=H",CONCATENATE("Points=",$B$1129),"Sort=R","Days=A","Fill=B",CONCATENATE("FX=", $B$1127) )</f>
        <v/>
      </c>
      <c r="K1637" t="str">
        <f>""</f>
        <v/>
      </c>
      <c r="L1637" t="str">
        <f>""</f>
        <v/>
      </c>
      <c r="M1637" t="str">
        <f>""</f>
        <v/>
      </c>
      <c r="N1637" t="str">
        <f>""</f>
        <v/>
      </c>
      <c r="O1637" t="str">
        <f>""</f>
        <v/>
      </c>
    </row>
    <row r="1638" spans="1:15" x14ac:dyDescent="0.25">
      <c r="A1638" t="str">
        <f>$A$536</f>
        <v xml:space="preserve">                        L3Harris Technologies Inc</v>
      </c>
      <c r="B1638" t="str">
        <f>$B$536</f>
        <v>LHX US Equity</v>
      </c>
      <c r="C1638" t="str">
        <f>$C$536</f>
        <v>F0946</v>
      </c>
      <c r="D1638" t="str">
        <f>$D$536</f>
        <v>TOTAL_GHG_CO2_EMISSIONS</v>
      </c>
      <c r="E1638" t="str">
        <f>$E$536</f>
        <v>Dynamic</v>
      </c>
      <c r="F1638">
        <f ca="1">_xll.BDH($B$536,$C$536,$B$1130,$B$1131,CONCATENATE("Per=",$B$1128),"Dts=H","Dir=H",CONCATENATE("Points=",$B$1129),"Sort=R","Days=A","Fill=B",CONCATENATE("FX=", $B$1127),"cols=5;rows=1")</f>
        <v>0.22850000000000001</v>
      </c>
      <c r="G1638">
        <v>0.27629999999999999</v>
      </c>
      <c r="H1638">
        <v>0.37769999999999998</v>
      </c>
      <c r="I1638">
        <v>0.34949999999999998</v>
      </c>
      <c r="K1638" t="str">
        <f>""</f>
        <v/>
      </c>
      <c r="L1638" t="str">
        <f>""</f>
        <v/>
      </c>
      <c r="M1638" t="str">
        <f>""</f>
        <v/>
      </c>
      <c r="N1638" t="str">
        <f>""</f>
        <v/>
      </c>
      <c r="O1638" t="str">
        <f>""</f>
        <v/>
      </c>
    </row>
    <row r="1639" spans="1:15" x14ac:dyDescent="0.25">
      <c r="A1639" t="str">
        <f>$A$537</f>
        <v xml:space="preserve">                        Leonardo SpA</v>
      </c>
      <c r="B1639" t="str">
        <f>$B$537</f>
        <v>LDO IM Equity</v>
      </c>
      <c r="C1639" t="str">
        <f>$C$537</f>
        <v>F0946</v>
      </c>
      <c r="D1639" t="str">
        <f>$D$537</f>
        <v>TOTAL_GHG_CO2_EMISSIONS</v>
      </c>
      <c r="E1639" t="str">
        <f>$E$537</f>
        <v>Dynamic</v>
      </c>
      <c r="F1639">
        <f ca="1">_xll.BDH($B$537,$C$537,$B$1130,$B$1131,CONCATENATE("Per=",$B$1128),"Dts=H","Dir=H",CONCATENATE("Points=",$B$1129),"Sort=R","Days=A","Fill=B",CONCATENATE("FX=", $B$1127),"cols=5;rows=1")</f>
        <v>0.42609999999999998</v>
      </c>
      <c r="G1639">
        <v>0.47889999999999999</v>
      </c>
      <c r="H1639">
        <v>0.60870000000000002</v>
      </c>
      <c r="I1639">
        <v>0.60019999999999996</v>
      </c>
      <c r="J1639">
        <v>0.54900000000000004</v>
      </c>
      <c r="K1639" t="str">
        <f>""</f>
        <v/>
      </c>
      <c r="L1639" t="str">
        <f>""</f>
        <v/>
      </c>
      <c r="M1639" t="str">
        <f>""</f>
        <v/>
      </c>
      <c r="N1639" t="str">
        <f>""</f>
        <v/>
      </c>
      <c r="O1639" t="str">
        <f>""</f>
        <v/>
      </c>
    </row>
    <row r="1640" spans="1:15" x14ac:dyDescent="0.25">
      <c r="A1640" t="str">
        <f>$A$538</f>
        <v xml:space="preserve">                        Lockheed Martin Corp</v>
      </c>
      <c r="B1640" t="str">
        <f>$B$538</f>
        <v>LMT US Equity</v>
      </c>
      <c r="C1640" t="str">
        <f>$C$538</f>
        <v>F0946</v>
      </c>
      <c r="D1640" t="str">
        <f>$D$538</f>
        <v>TOTAL_GHG_CO2_EMISSIONS</v>
      </c>
      <c r="E1640" t="str">
        <f>$E$538</f>
        <v>Dynamic</v>
      </c>
      <c r="F1640">
        <f ca="1">_xll.BDH($B$538,$C$538,$B$1130,$B$1131,CONCATENATE("Per=",$B$1128),"Dts=H","Dir=H",CONCATENATE("Points=",$B$1129),"Sort=R","Days=A","Fill=B",CONCATENATE("FX=", $B$1127),"cols=5;rows=1")</f>
        <v>0.8256</v>
      </c>
      <c r="G1640">
        <v>0.85229999999999995</v>
      </c>
      <c r="H1640">
        <v>0.91879999999999995</v>
      </c>
      <c r="I1640">
        <v>0.96799999999999997</v>
      </c>
      <c r="J1640">
        <v>0.96460000000000001</v>
      </c>
      <c r="K1640" t="str">
        <f>""</f>
        <v/>
      </c>
      <c r="L1640" t="str">
        <f>""</f>
        <v/>
      </c>
      <c r="M1640" t="str">
        <f>""</f>
        <v/>
      </c>
      <c r="N1640" t="str">
        <f>""</f>
        <v/>
      </c>
      <c r="O1640" t="str">
        <f>""</f>
        <v/>
      </c>
    </row>
    <row r="1641" spans="1:15" x14ac:dyDescent="0.25">
      <c r="A1641" t="str">
        <f>$A$539</f>
        <v xml:space="preserve">                        Northrop Grumman Corp</v>
      </c>
      <c r="B1641" t="str">
        <f>$B$539</f>
        <v>NOC US Equity</v>
      </c>
      <c r="C1641" t="str">
        <f>$C$539</f>
        <v>F0946</v>
      </c>
      <c r="D1641" t="str">
        <f>$D$539</f>
        <v>TOTAL_GHG_CO2_EMISSIONS</v>
      </c>
      <c r="E1641" t="str">
        <f>$E$539</f>
        <v>Dynamic</v>
      </c>
      <c r="F1641">
        <f ca="1">_xll.BDH($B$539,$C$539,$B$1130,$B$1131,CONCATENATE("Per=",$B$1128),"Dts=H","Dir=H",CONCATENATE("Points=",$B$1129),"Sort=R","Days=A","Fill=B",CONCATENATE("FX=", $B$1127),"cols=5;rows=1")</f>
        <v>0.28220000000000001</v>
      </c>
      <c r="G1641">
        <v>0.73499999999999999</v>
      </c>
      <c r="H1641">
        <v>0.42370000000000002</v>
      </c>
      <c r="I1641">
        <v>0.48499999999999999</v>
      </c>
      <c r="J1641">
        <v>0.49959999999999999</v>
      </c>
      <c r="K1641" t="str">
        <f>""</f>
        <v/>
      </c>
      <c r="L1641" t="str">
        <f>""</f>
        <v/>
      </c>
      <c r="M1641" t="str">
        <f>""</f>
        <v/>
      </c>
      <c r="N1641" t="str">
        <f>""</f>
        <v/>
      </c>
      <c r="O1641" t="str">
        <f>""</f>
        <v/>
      </c>
    </row>
    <row r="1642" spans="1:15" x14ac:dyDescent="0.25">
      <c r="A1642" t="str">
        <f>$A$540</f>
        <v xml:space="preserve">                        Oshkosh Corp</v>
      </c>
      <c r="B1642" t="str">
        <f>$B$540</f>
        <v>OSK US Equity</v>
      </c>
      <c r="C1642" t="str">
        <f>$C$540</f>
        <v>F0946</v>
      </c>
      <c r="D1642" t="str">
        <f>$D$540</f>
        <v>TOTAL_GHG_CO2_EMISSIONS</v>
      </c>
      <c r="E1642" t="str">
        <f>$E$540</f>
        <v>Dynamic</v>
      </c>
      <c r="F1642" t="str">
        <f ca="1">_xll.BDH($B$540,$C$540,$B$1130,$B$1131,CONCATENATE("Per=",$B$1128),"Dts=H","Dir=H",CONCATENATE("Points=",$B$1129),"Sort=R","Days=A","Fill=B",CONCATENATE("FX=", $B$1127),"cols=5;rows=1")</f>
        <v/>
      </c>
      <c r="G1642">
        <v>0.1295</v>
      </c>
      <c r="H1642">
        <v>0.14360000000000001</v>
      </c>
      <c r="I1642">
        <v>0.1628</v>
      </c>
      <c r="J1642">
        <v>0.16189999999999999</v>
      </c>
      <c r="K1642" t="str">
        <f>""</f>
        <v/>
      </c>
      <c r="L1642" t="str">
        <f>""</f>
        <v/>
      </c>
      <c r="M1642" t="str">
        <f>""</f>
        <v/>
      </c>
      <c r="N1642" t="str">
        <f>""</f>
        <v/>
      </c>
      <c r="O1642" t="str">
        <f>""</f>
        <v/>
      </c>
    </row>
    <row r="1643" spans="1:15" x14ac:dyDescent="0.25">
      <c r="A1643" t="str">
        <f>$A$541</f>
        <v xml:space="preserve">                        Rheinmetall AG</v>
      </c>
      <c r="B1643" t="str">
        <f>$B$541</f>
        <v>RHM GR Equity</v>
      </c>
      <c r="C1643" t="str">
        <f>$C$541</f>
        <v>F0946</v>
      </c>
      <c r="D1643" t="str">
        <f>$D$541</f>
        <v>TOTAL_GHG_CO2_EMISSIONS</v>
      </c>
      <c r="E1643" t="str">
        <f>$E$541</f>
        <v>Dynamic</v>
      </c>
      <c r="F1643">
        <f ca="1">_xll.BDH($B$541,$C$541,$B$1130,$B$1131,CONCATENATE("Per=",$B$1128),"Dts=H","Dir=H",CONCATENATE("Points=",$B$1129),"Sort=R","Days=A","Fill=B",CONCATENATE("FX=", $B$1127),"cols=5;rows=1")</f>
        <v>0.32100000000000001</v>
      </c>
      <c r="G1643">
        <v>0.45090000000000002</v>
      </c>
      <c r="H1643">
        <v>0.41039999999999999</v>
      </c>
      <c r="I1643">
        <v>0.4647</v>
      </c>
      <c r="J1643">
        <v>0.40210000000000001</v>
      </c>
      <c r="K1643" t="str">
        <f>""</f>
        <v/>
      </c>
      <c r="L1643" t="str">
        <f>""</f>
        <v/>
      </c>
      <c r="M1643" t="str">
        <f>""</f>
        <v/>
      </c>
      <c r="N1643" t="str">
        <f>""</f>
        <v/>
      </c>
      <c r="O1643" t="str">
        <f>""</f>
        <v/>
      </c>
    </row>
    <row r="1644" spans="1:15" x14ac:dyDescent="0.25">
      <c r="A1644" t="str">
        <f>$A$542</f>
        <v xml:space="preserve">                        Raytheon Technologies Corp</v>
      </c>
      <c r="B1644" t="str">
        <f>$B$542</f>
        <v>RTX US Equity</v>
      </c>
      <c r="C1644" t="str">
        <f>$C$542</f>
        <v>F0946</v>
      </c>
      <c r="D1644" t="str">
        <f>$D$542</f>
        <v>TOTAL_GHG_CO2_EMISSIONS</v>
      </c>
      <c r="E1644" t="str">
        <f>$E$542</f>
        <v>Dynamic</v>
      </c>
      <c r="F1644" t="str">
        <f ca="1">_xll.BDH($B$542,$C$542,$B$1130,$B$1131,CONCATENATE("Per=",$B$1128),"Dts=H","Dir=H",CONCATENATE("Points=",$B$1129),"Sort=R","Days=A","Fill=B",CONCATENATE("FX=", $B$1127),"cols=5;rows=1")</f>
        <v/>
      </c>
      <c r="G1644">
        <v>1.4520999999999999</v>
      </c>
      <c r="H1644">
        <v>1.5386</v>
      </c>
      <c r="I1644">
        <v>1.7581</v>
      </c>
      <c r="J1644">
        <v>1.7907999999999999</v>
      </c>
      <c r="K1644" t="str">
        <f>""</f>
        <v/>
      </c>
      <c r="L1644" t="str">
        <f>""</f>
        <v/>
      </c>
      <c r="M1644" t="str">
        <f>""</f>
        <v/>
      </c>
      <c r="N1644" t="str">
        <f>""</f>
        <v/>
      </c>
      <c r="O1644" t="str">
        <f>""</f>
        <v/>
      </c>
    </row>
    <row r="1645" spans="1:15" x14ac:dyDescent="0.25">
      <c r="A1645" t="str">
        <f>$A$543</f>
        <v xml:space="preserve">                        Spirit AeroSystems Holdings In</v>
      </c>
      <c r="B1645" t="str">
        <f>$B$543</f>
        <v>SPR US Equity</v>
      </c>
      <c r="C1645" t="str">
        <f>$C$543</f>
        <v>F0946</v>
      </c>
      <c r="D1645" t="str">
        <f>$D$543</f>
        <v>TOTAL_GHG_CO2_EMISSIONS</v>
      </c>
      <c r="E1645" t="str">
        <f>$E$543</f>
        <v>Dynamic</v>
      </c>
      <c r="F1645" t="str">
        <f ca="1">_xll.BDH($B$543,$C$543,$B$1130,$B$1131,CONCATENATE("Per=",$B$1128),"Dts=H","Dir=H",CONCATENATE("Points=",$B$1129),"Sort=R","Days=A","Fill=B",CONCATENATE("FX=", $B$1127),"cols=5;rows=1")</f>
        <v/>
      </c>
      <c r="G1645">
        <v>0.32690000000000002</v>
      </c>
      <c r="H1645">
        <v>0.33150000000000002</v>
      </c>
      <c r="I1645">
        <v>0.4335</v>
      </c>
      <c r="J1645">
        <v>0.4551</v>
      </c>
      <c r="K1645" t="str">
        <f>""</f>
        <v/>
      </c>
      <c r="L1645" t="str">
        <f>""</f>
        <v/>
      </c>
      <c r="M1645" t="str">
        <f>""</f>
        <v/>
      </c>
      <c r="N1645" t="str">
        <f>""</f>
        <v/>
      </c>
      <c r="O1645" t="str">
        <f>""</f>
        <v/>
      </c>
    </row>
    <row r="1646" spans="1:15" x14ac:dyDescent="0.25">
      <c r="A1646" t="str">
        <f>$A$544</f>
        <v xml:space="preserve">                        Thales SA</v>
      </c>
      <c r="B1646" t="str">
        <f>$B$544</f>
        <v>HO FP Equity</v>
      </c>
      <c r="C1646" t="str">
        <f>$C$544</f>
        <v>F0946</v>
      </c>
      <c r="D1646" t="str">
        <f>$D$544</f>
        <v>TOTAL_GHG_CO2_EMISSIONS</v>
      </c>
      <c r="E1646" t="str">
        <f>$E$544</f>
        <v>Dynamic</v>
      </c>
      <c r="F1646">
        <f ca="1">_xll.BDH($B$544,$C$544,$B$1130,$B$1131,CONCATENATE("Per=",$B$1128),"Dts=H","Dir=H",CONCATENATE("Points=",$B$1129),"Sort=R","Days=A","Fill=B",CONCATENATE("FX=", $B$1127),"cols=5;rows=1")</f>
        <v>0.14799999999999999</v>
      </c>
      <c r="G1646">
        <v>0.22900000000000001</v>
      </c>
      <c r="H1646">
        <v>0.24299999999999999</v>
      </c>
      <c r="I1646">
        <v>0.249</v>
      </c>
      <c r="J1646">
        <v>0.216</v>
      </c>
      <c r="K1646" t="str">
        <f>""</f>
        <v/>
      </c>
      <c r="L1646" t="str">
        <f>""</f>
        <v/>
      </c>
      <c r="M1646" t="str">
        <f>""</f>
        <v/>
      </c>
      <c r="N1646" t="str">
        <f>""</f>
        <v/>
      </c>
      <c r="O1646" t="str">
        <f>""</f>
        <v/>
      </c>
    </row>
    <row r="1647" spans="1:15" x14ac:dyDescent="0.25">
      <c r="A1647" t="str">
        <f>$A$545</f>
        <v xml:space="preserve">                        Textron Inc</v>
      </c>
      <c r="B1647" t="str">
        <f>$B$545</f>
        <v>TXT US Equity</v>
      </c>
      <c r="C1647" t="str">
        <f>$C$545</f>
        <v>F0946</v>
      </c>
      <c r="D1647" t="str">
        <f>$D$545</f>
        <v>TOTAL_GHG_CO2_EMISSIONS</v>
      </c>
      <c r="E1647" t="str">
        <f>$E$545</f>
        <v>Dynamic</v>
      </c>
      <c r="F1647" t="str">
        <f ca="1">_xll.BDH($B$545,$C$545,$B$1130,$B$1131,CONCATENATE("Per=",$B$1128),"Dts=H","Dir=H",CONCATENATE("Points=",$B$1129),"Sort=R","Days=A","Fill=B",CONCATENATE("FX=", $B$1127),"cols=5;rows=1")</f>
        <v/>
      </c>
      <c r="G1647">
        <v>0.53559999999999997</v>
      </c>
      <c r="H1647">
        <v>0.51160000000000005</v>
      </c>
      <c r="I1647">
        <v>0.60309999999999997</v>
      </c>
      <c r="J1647">
        <v>0.67830000000000001</v>
      </c>
      <c r="K1647" t="str">
        <f>""</f>
        <v/>
      </c>
      <c r="L1647" t="str">
        <f>""</f>
        <v/>
      </c>
      <c r="M1647" t="str">
        <f>""</f>
        <v/>
      </c>
      <c r="N1647" t="str">
        <f>""</f>
        <v/>
      </c>
      <c r="O1647" t="str">
        <f>""</f>
        <v/>
      </c>
    </row>
    <row r="1648" spans="1:15" x14ac:dyDescent="0.25">
      <c r="A1648" t="str">
        <f>$A$547</f>
        <v xml:space="preserve">                    Iseki &amp; Co Ltd</v>
      </c>
      <c r="B1648" t="str">
        <f>$B$547</f>
        <v>6310 JP Equity</v>
      </c>
      <c r="C1648" t="str">
        <f>$C$547</f>
        <v>F0946</v>
      </c>
      <c r="D1648" t="str">
        <f>$D$547</f>
        <v>TOTAL_GHG_CO2_EMISSIONS</v>
      </c>
      <c r="E1648" t="str">
        <f>$E$547</f>
        <v>Dynamic</v>
      </c>
      <c r="F1648" t="str">
        <f ca="1">_xll.BDH($B$547,$C$547,$B$1130,$B$1131,CONCATENATE("Per=",$B$1128),"Dts=H","Dir=H",CONCATENATE("Points=",$B$1129),"Sort=R","Days=A","Fill=B",CONCATENATE("FX=", $B$1127),"cols=5;rows=1")</f>
        <v/>
      </c>
      <c r="G1648">
        <v>7.0000000000000007E-2</v>
      </c>
      <c r="H1648">
        <v>3.4099999999999998E-2</v>
      </c>
      <c r="I1648">
        <v>3.3700000000000001E-2</v>
      </c>
      <c r="J1648">
        <v>3.2500000000000001E-2</v>
      </c>
      <c r="K1648" t="str">
        <f>""</f>
        <v/>
      </c>
      <c r="L1648" t="str">
        <f>""</f>
        <v/>
      </c>
      <c r="M1648" t="str">
        <f>""</f>
        <v/>
      </c>
      <c r="N1648" t="str">
        <f>""</f>
        <v/>
      </c>
      <c r="O1648" t="str">
        <f>""</f>
        <v/>
      </c>
    </row>
    <row r="1649" spans="1:15" x14ac:dyDescent="0.25">
      <c r="A1649" t="str">
        <f>$A$548</f>
        <v xml:space="preserve">                    Ag Growth International Inc</v>
      </c>
      <c r="B1649" t="str">
        <f>$B$548</f>
        <v>AFN CN Equity</v>
      </c>
      <c r="C1649" t="str">
        <f>$C$548</f>
        <v>F0946</v>
      </c>
      <c r="D1649" t="str">
        <f>$D$548</f>
        <v>TOTAL_GHG_CO2_EMISSIONS</v>
      </c>
      <c r="E1649" t="str">
        <f>$E$548</f>
        <v>Dynamic</v>
      </c>
      <c r="F1649" t="str">
        <f ca="1">_xll.BDH($B$548,$C$548,$B$1130,$B$1131,CONCATENATE("Per=",$B$1128),"Dts=H","Dir=H",CONCATENATE("Points=",$B$1129),"Sort=R","Days=A","Fill=B",CONCATENATE("FX=", $B$1127) )</f>
        <v/>
      </c>
      <c r="K1649" t="str">
        <f>""</f>
        <v/>
      </c>
      <c r="L1649" t="str">
        <f>""</f>
        <v/>
      </c>
      <c r="M1649" t="str">
        <f>""</f>
        <v/>
      </c>
      <c r="N1649" t="str">
        <f>""</f>
        <v/>
      </c>
      <c r="O1649" t="str">
        <f>""</f>
        <v/>
      </c>
    </row>
    <row r="1650" spans="1:15" x14ac:dyDescent="0.25">
      <c r="A1650" t="str">
        <f>$A$549</f>
        <v xml:space="preserve">                    AGCO Corp</v>
      </c>
      <c r="B1650" t="str">
        <f>$B$549</f>
        <v>AGCO US Equity</v>
      </c>
      <c r="C1650" t="str">
        <f>$C$549</f>
        <v>F0946</v>
      </c>
      <c r="D1650" t="str">
        <f>$D$549</f>
        <v>TOTAL_GHG_CO2_EMISSIONS</v>
      </c>
      <c r="E1650" t="str">
        <f>$E$549</f>
        <v>Dynamic</v>
      </c>
      <c r="F1650" t="str">
        <f ca="1">_xll.BDH($B$549,$C$549,$B$1130,$B$1131,CONCATENATE("Per=",$B$1128),"Dts=H","Dir=H",CONCATENATE("Points=",$B$1129),"Sort=R","Days=A","Fill=B",CONCATENATE("FX=", $B$1127),"cols=5;rows=1")</f>
        <v/>
      </c>
      <c r="G1650">
        <v>0.156</v>
      </c>
      <c r="K1650" t="str">
        <f>""</f>
        <v/>
      </c>
      <c r="L1650" t="str">
        <f>""</f>
        <v/>
      </c>
      <c r="M1650" t="str">
        <f>""</f>
        <v/>
      </c>
      <c r="N1650" t="str">
        <f>""</f>
        <v/>
      </c>
      <c r="O1650" t="str">
        <f>""</f>
        <v/>
      </c>
    </row>
    <row r="1651" spans="1:15" x14ac:dyDescent="0.25">
      <c r="A1651" t="str">
        <f>$A$550</f>
        <v xml:space="preserve">                    Alamo Group Inc</v>
      </c>
      <c r="B1651" t="str">
        <f>$B$550</f>
        <v>ALG US Equity</v>
      </c>
      <c r="C1651" t="str">
        <f>$C$550</f>
        <v>F0946</v>
      </c>
      <c r="D1651" t="str">
        <f>$D$550</f>
        <v>TOTAL_GHG_CO2_EMISSIONS</v>
      </c>
      <c r="E1651" t="str">
        <f>$E$550</f>
        <v>Dynamic</v>
      </c>
      <c r="F1651">
        <f ca="1">_xll.BDH($B$550,$C$550,$B$1130,$B$1131,CONCATENATE("Per=",$B$1128),"Dts=H","Dir=H",CONCATENATE("Points=",$B$1129),"Sort=R","Days=A","Fill=B",CONCATENATE("FX=", $B$1127),"cols=5;rows=1")</f>
        <v>4.5199999999999997E-2</v>
      </c>
      <c r="G1651">
        <v>4.1099999999999998E-2</v>
      </c>
      <c r="H1651">
        <v>9.4399999999999998E-2</v>
      </c>
      <c r="I1651">
        <v>8.9300000000000004E-2</v>
      </c>
      <c r="K1651" t="str">
        <f>""</f>
        <v/>
      </c>
      <c r="L1651" t="str">
        <f>""</f>
        <v/>
      </c>
      <c r="M1651" t="str">
        <f>""</f>
        <v/>
      </c>
      <c r="N1651" t="str">
        <f>""</f>
        <v/>
      </c>
      <c r="O1651" t="str">
        <f>""</f>
        <v/>
      </c>
    </row>
    <row r="1652" spans="1:15" x14ac:dyDescent="0.25">
      <c r="A1652" t="str">
        <f>$A$551</f>
        <v xml:space="preserve">                    Ashtead Group PLC</v>
      </c>
      <c r="B1652" t="str">
        <f>$B$551</f>
        <v>AHT LN Equity</v>
      </c>
      <c r="C1652" t="str">
        <f>$C$551</f>
        <v>F0946</v>
      </c>
      <c r="D1652" t="str">
        <f>$D$551</f>
        <v>TOTAL_GHG_CO2_EMISSIONS</v>
      </c>
      <c r="E1652" t="str">
        <f>$E$551</f>
        <v>Dynamic</v>
      </c>
      <c r="F1652" t="str">
        <f ca="1">_xll.BDH($B$551,$C$551,$B$1130,$B$1131,CONCATENATE("Per=",$B$1128),"Dts=H","Dir=H",CONCATENATE("Points=",$B$1129),"Sort=R","Days=A","Fill=B",CONCATENATE("FX=", $B$1127),"cols=5;rows=1")</f>
        <v/>
      </c>
      <c r="G1652">
        <v>0.32979999999999998</v>
      </c>
      <c r="H1652">
        <v>0.31900000000000001</v>
      </c>
      <c r="I1652">
        <v>0.33250000000000002</v>
      </c>
      <c r="J1652">
        <v>0.30370000000000003</v>
      </c>
      <c r="K1652" t="str">
        <f>""</f>
        <v/>
      </c>
      <c r="L1652" t="str">
        <f>""</f>
        <v/>
      </c>
      <c r="M1652" t="str">
        <f>""</f>
        <v/>
      </c>
      <c r="N1652" t="str">
        <f>""</f>
        <v/>
      </c>
      <c r="O1652" t="str">
        <f>""</f>
        <v/>
      </c>
    </row>
    <row r="1653" spans="1:15" x14ac:dyDescent="0.25">
      <c r="A1653" t="str">
        <f>$A$552</f>
        <v xml:space="preserve">                    Astec Industries Inc</v>
      </c>
      <c r="B1653" t="str">
        <f>$B$552</f>
        <v>ASTE US Equity</v>
      </c>
      <c r="C1653" t="str">
        <f>$C$552</f>
        <v>F0946</v>
      </c>
      <c r="D1653" t="str">
        <f>$D$552</f>
        <v>TOTAL_GHG_CO2_EMISSIONS</v>
      </c>
      <c r="E1653" t="str">
        <f>$E$552</f>
        <v>Dynamic</v>
      </c>
      <c r="F1653" t="str">
        <f ca="1">_xll.BDH($B$552,$C$552,$B$1130,$B$1131,CONCATENATE("Per=",$B$1128),"Dts=H","Dir=H",CONCATENATE("Points=",$B$1129),"Sort=R","Days=A","Fill=B",CONCATENATE("FX=", $B$1127) )</f>
        <v/>
      </c>
      <c r="K1653" t="str">
        <f>""</f>
        <v/>
      </c>
      <c r="L1653" t="str">
        <f>""</f>
        <v/>
      </c>
      <c r="M1653" t="str">
        <f>""</f>
        <v/>
      </c>
      <c r="N1653" t="str">
        <f>""</f>
        <v/>
      </c>
      <c r="O1653" t="str">
        <f>""</f>
        <v/>
      </c>
    </row>
    <row r="1654" spans="1:15" x14ac:dyDescent="0.25">
      <c r="A1654" t="str">
        <f>$A$553</f>
        <v xml:space="preserve">                    Atlas Copco AB</v>
      </c>
      <c r="B1654" t="str">
        <f>$B$553</f>
        <v>ATCOA SS Equity</v>
      </c>
      <c r="C1654" t="str">
        <f>$C$553</f>
        <v>F0946</v>
      </c>
      <c r="D1654" t="str">
        <f>$D$553</f>
        <v>TOTAL_GHG_CO2_EMISSIONS</v>
      </c>
      <c r="E1654" t="str">
        <f>$E$553</f>
        <v>Dynamic</v>
      </c>
      <c r="F1654">
        <f ca="1">_xll.BDH($B$553,$C$553,$B$1130,$B$1131,CONCATENATE("Per=",$B$1128),"Dts=H","Dir=H",CONCATENATE("Points=",$B$1129),"Sort=R","Days=A","Fill=B",CONCATENATE("FX=", $B$1127),"cols=5;rows=1")</f>
        <v>0.215</v>
      </c>
      <c r="G1654">
        <v>0.1245</v>
      </c>
      <c r="H1654">
        <v>0.11600000000000001</v>
      </c>
      <c r="I1654">
        <v>0.12</v>
      </c>
      <c r="J1654">
        <v>9.2999999999999999E-2</v>
      </c>
      <c r="K1654" t="str">
        <f>""</f>
        <v/>
      </c>
      <c r="L1654" t="str">
        <f>""</f>
        <v/>
      </c>
      <c r="M1654" t="str">
        <f>""</f>
        <v/>
      </c>
      <c r="N1654" t="str">
        <f>""</f>
        <v/>
      </c>
      <c r="O1654" t="str">
        <f>""</f>
        <v/>
      </c>
    </row>
    <row r="1655" spans="1:15" x14ac:dyDescent="0.25">
      <c r="A1655" t="str">
        <f>$A$554</f>
        <v xml:space="preserve">                    Barloworld Ltd</v>
      </c>
      <c r="B1655" t="str">
        <f>$B$554</f>
        <v>BAW SJ Equity</v>
      </c>
      <c r="C1655" t="str">
        <f>$C$554</f>
        <v>F0946</v>
      </c>
      <c r="D1655" t="str">
        <f>$D$554</f>
        <v>TOTAL_GHG_CO2_EMISSIONS</v>
      </c>
      <c r="E1655" t="str">
        <f>$E$554</f>
        <v>Dynamic</v>
      </c>
      <c r="F1655">
        <f ca="1">_xll.BDH($B$554,$C$554,$B$1130,$B$1131,CONCATENATE("Per=",$B$1128),"Dts=H","Dir=H",CONCATENATE("Points=",$B$1129),"Sort=R","Days=A","Fill=B",CONCATENATE("FX=", $B$1127),"cols=5;rows=1")</f>
        <v>0.51419999999999999</v>
      </c>
      <c r="G1655">
        <v>0.46879999999999999</v>
      </c>
      <c r="H1655">
        <v>0.19350000000000001</v>
      </c>
      <c r="I1655">
        <v>0.24349999999999999</v>
      </c>
      <c r="J1655">
        <v>0.2576</v>
      </c>
      <c r="K1655" t="str">
        <f>""</f>
        <v/>
      </c>
      <c r="L1655" t="str">
        <f>""</f>
        <v/>
      </c>
      <c r="M1655" t="str">
        <f>""</f>
        <v/>
      </c>
      <c r="N1655" t="str">
        <f>""</f>
        <v/>
      </c>
      <c r="O1655" t="str">
        <f>""</f>
        <v/>
      </c>
    </row>
    <row r="1656" spans="1:15" x14ac:dyDescent="0.25">
      <c r="A1656" t="str">
        <f>$A$555</f>
        <v xml:space="preserve">                    BOMAG GmbH</v>
      </c>
      <c r="B1656" t="str">
        <f>$B$555</f>
        <v>3664607Z GR Equity</v>
      </c>
      <c r="C1656" t="str">
        <f>$C$555</f>
        <v>F0946</v>
      </c>
      <c r="D1656" t="str">
        <f>$D$555</f>
        <v>TOTAL_GHG_CO2_EMISSIONS</v>
      </c>
      <c r="E1656" t="str">
        <f>$E$555</f>
        <v>Dynamic</v>
      </c>
      <c r="F1656" t="str">
        <f ca="1">_xll.BDH($B$555,$C$555,$B$1130,$B$1131,CONCATENATE("Per=",$B$1128),"Dts=H","Dir=H",CONCATENATE("Points=",$B$1129),"Sort=R","Days=A","Fill=B",CONCATENATE("FX=", $B$1127) )</f>
        <v/>
      </c>
      <c r="K1656" t="str">
        <f>""</f>
        <v/>
      </c>
      <c r="L1656" t="str">
        <f>""</f>
        <v/>
      </c>
      <c r="M1656" t="str">
        <f>""</f>
        <v/>
      </c>
      <c r="N1656" t="str">
        <f>""</f>
        <v/>
      </c>
      <c r="O1656" t="str">
        <f>""</f>
        <v/>
      </c>
    </row>
    <row r="1657" spans="1:15" x14ac:dyDescent="0.25">
      <c r="A1657" t="str">
        <f>$A$556</f>
        <v xml:space="preserve">                    Boom Logistics Ltd</v>
      </c>
      <c r="B1657" t="str">
        <f>$B$556</f>
        <v>BOL AU Equity</v>
      </c>
      <c r="C1657" t="str">
        <f>$C$556</f>
        <v>F0946</v>
      </c>
      <c r="D1657" t="str">
        <f>$D$556</f>
        <v>TOTAL_GHG_CO2_EMISSIONS</v>
      </c>
      <c r="E1657" t="str">
        <f>$E$556</f>
        <v>Dynamic</v>
      </c>
      <c r="F1657" t="str">
        <f ca="1">_xll.BDH($B$556,$C$556,$B$1130,$B$1131,CONCATENATE("Per=",$B$1128),"Dts=H","Dir=H",CONCATENATE("Points=",$B$1129),"Sort=R","Days=A","Fill=B",CONCATENATE("FX=", $B$1127) )</f>
        <v/>
      </c>
      <c r="K1657" t="str">
        <f>""</f>
        <v/>
      </c>
      <c r="L1657" t="str">
        <f>""</f>
        <v/>
      </c>
      <c r="M1657" t="str">
        <f>""</f>
        <v/>
      </c>
      <c r="N1657" t="str">
        <f>""</f>
        <v/>
      </c>
      <c r="O1657" t="str">
        <f>""</f>
        <v/>
      </c>
    </row>
    <row r="1658" spans="1:15" x14ac:dyDescent="0.25">
      <c r="A1658" t="str">
        <f>$A$557</f>
        <v xml:space="preserve">                    Bucher Industries AG</v>
      </c>
      <c r="B1658" t="str">
        <f>$B$557</f>
        <v>BUCN SW Equity</v>
      </c>
      <c r="C1658" t="str">
        <f>$C$557</f>
        <v>F0946</v>
      </c>
      <c r="D1658" t="str">
        <f>$D$557</f>
        <v>TOTAL_GHG_CO2_EMISSIONS</v>
      </c>
      <c r="E1658" t="str">
        <f>$E$557</f>
        <v>Dynamic</v>
      </c>
      <c r="F1658">
        <f ca="1">_xll.BDH($B$557,$C$557,$B$1130,$B$1131,CONCATENATE("Per=",$B$1128),"Dts=H","Dir=H",CONCATENATE("Points=",$B$1129),"Sort=R","Days=A","Fill=B",CONCATENATE("FX=", $B$1127),"cols=5;rows=1")</f>
        <v>8.9700000000000002E-2</v>
      </c>
      <c r="G1658">
        <v>8.6499999999999994E-2</v>
      </c>
      <c r="H1658">
        <v>8.0199999999999994E-2</v>
      </c>
      <c r="I1658">
        <v>8.5300000000000001E-2</v>
      </c>
      <c r="J1658">
        <v>9.3299999999999994E-2</v>
      </c>
      <c r="K1658" t="str">
        <f>""</f>
        <v/>
      </c>
      <c r="L1658" t="str">
        <f>""</f>
        <v/>
      </c>
      <c r="M1658" t="str">
        <f>""</f>
        <v/>
      </c>
      <c r="N1658" t="str">
        <f>""</f>
        <v/>
      </c>
      <c r="O1658" t="str">
        <f>""</f>
        <v/>
      </c>
    </row>
    <row r="1659" spans="1:15" x14ac:dyDescent="0.25">
      <c r="A1659" t="str">
        <f>$A$558</f>
        <v xml:space="preserve">                    Buhler Industries Inc</v>
      </c>
      <c r="B1659" t="str">
        <f>$B$558</f>
        <v>BUI CN Equity</v>
      </c>
      <c r="C1659" t="str">
        <f>$C$558</f>
        <v>F0946</v>
      </c>
      <c r="D1659" t="str">
        <f>$D$558</f>
        <v>TOTAL_GHG_CO2_EMISSIONS</v>
      </c>
      <c r="E1659" t="str">
        <f>$E$558</f>
        <v>Dynamic</v>
      </c>
      <c r="F1659" t="str">
        <f ca="1">_xll.BDH($B$558,$C$558,$B$1130,$B$1131,CONCATENATE("Per=",$B$1128),"Dts=H","Dir=H",CONCATENATE("Points=",$B$1129),"Sort=R","Days=A","Fill=B",CONCATENATE("FX=", $B$1127) )</f>
        <v/>
      </c>
      <c r="K1659" t="str">
        <f>""</f>
        <v/>
      </c>
      <c r="L1659" t="str">
        <f>""</f>
        <v/>
      </c>
      <c r="M1659" t="str">
        <f>""</f>
        <v/>
      </c>
      <c r="N1659" t="str">
        <f>""</f>
        <v/>
      </c>
      <c r="O1659" t="str">
        <f>""</f>
        <v/>
      </c>
    </row>
    <row r="1660" spans="1:15" x14ac:dyDescent="0.25">
      <c r="A1660" t="str">
        <f>$A$559</f>
        <v xml:space="preserve">                    Boart Longyear Ltd</v>
      </c>
      <c r="B1660" t="str">
        <f>$B$559</f>
        <v>1923730D AU Equity</v>
      </c>
      <c r="C1660" t="str">
        <f>$C$559</f>
        <v>F0946</v>
      </c>
      <c r="D1660" t="str">
        <f>$D$559</f>
        <v>TOTAL_GHG_CO2_EMISSIONS</v>
      </c>
      <c r="E1660" t="str">
        <f>$E$559</f>
        <v>Dynamic</v>
      </c>
      <c r="F1660" t="str">
        <f ca="1">_xll.BDH($B$559,$C$559,$B$1130,$B$1131,CONCATENATE("Per=",$B$1128),"Dts=H","Dir=H",CONCATENATE("Points=",$B$1129),"Sort=R","Days=A","Fill=B",CONCATENATE("FX=", $B$1127) )</f>
        <v/>
      </c>
      <c r="K1660" t="str">
        <f>""</f>
        <v/>
      </c>
      <c r="L1660" t="str">
        <f>""</f>
        <v/>
      </c>
      <c r="M1660" t="str">
        <f>""</f>
        <v/>
      </c>
      <c r="N1660" t="str">
        <f>""</f>
        <v/>
      </c>
      <c r="O1660" t="str">
        <f>""</f>
        <v/>
      </c>
    </row>
    <row r="1661" spans="1:15" x14ac:dyDescent="0.25">
      <c r="A1661" t="str">
        <f>$A$560</f>
        <v xml:space="preserve">                    Caterpillar Inc</v>
      </c>
      <c r="B1661" t="str">
        <f>$B$560</f>
        <v>CAT US Equity</v>
      </c>
      <c r="C1661" t="str">
        <f>$C$560</f>
        <v>F0946</v>
      </c>
      <c r="D1661" t="str">
        <f>$D$560</f>
        <v>TOTAL_GHG_CO2_EMISSIONS</v>
      </c>
      <c r="E1661" t="str">
        <f>$E$560</f>
        <v>Dynamic</v>
      </c>
      <c r="F1661">
        <f ca="1">_xll.BDH($B$560,$C$560,$B$1130,$B$1131,CONCATENATE("Per=",$B$1128),"Dts=H","Dir=H",CONCATENATE("Points=",$B$1129),"Sort=R","Days=A","Fill=B",CONCATENATE("FX=", $B$1127),"cols=5;rows=1")</f>
        <v>1.54</v>
      </c>
      <c r="G1661">
        <v>1.59</v>
      </c>
      <c r="H1661">
        <v>1.5209999999999999</v>
      </c>
      <c r="I1661">
        <v>1.831</v>
      </c>
      <c r="J1661">
        <v>2.25</v>
      </c>
      <c r="K1661" t="str">
        <f>""</f>
        <v/>
      </c>
      <c r="L1661" t="str">
        <f>""</f>
        <v/>
      </c>
      <c r="M1661" t="str">
        <f>""</f>
        <v/>
      </c>
      <c r="N1661" t="str">
        <f>""</f>
        <v/>
      </c>
      <c r="O1661" t="str">
        <f>""</f>
        <v/>
      </c>
    </row>
    <row r="1662" spans="1:15" x14ac:dyDescent="0.25">
      <c r="A1662" t="str">
        <f>$A$561</f>
        <v xml:space="preserve">                    China Communications Construct</v>
      </c>
      <c r="B1662" t="str">
        <f>$B$561</f>
        <v>1800 HK Equity</v>
      </c>
      <c r="C1662" t="str">
        <f>$C$561</f>
        <v>F0946</v>
      </c>
      <c r="D1662" t="str">
        <f>$D$561</f>
        <v>TOTAL_GHG_CO2_EMISSIONS</v>
      </c>
      <c r="E1662" t="str">
        <f>$E$561</f>
        <v>Dynamic</v>
      </c>
      <c r="F1662">
        <f ca="1">_xll.BDH($B$561,$C$561,$B$1130,$B$1131,CONCATENATE("Per=",$B$1128),"Dts=H","Dir=H",CONCATENATE("Points=",$B$1129),"Sort=R","Days=A","Fill=B",CONCATENATE("FX=", $B$1127),"cols=5;rows=1")</f>
        <v>4.68</v>
      </c>
      <c r="G1662">
        <v>4.1269999999999998</v>
      </c>
      <c r="H1662">
        <v>3.91</v>
      </c>
      <c r="I1662">
        <v>4.6559999999999997</v>
      </c>
      <c r="J1662">
        <v>5.7160000000000002</v>
      </c>
      <c r="K1662" t="str">
        <f>""</f>
        <v/>
      </c>
      <c r="L1662" t="str">
        <f>""</f>
        <v/>
      </c>
      <c r="M1662" t="str">
        <f>""</f>
        <v/>
      </c>
      <c r="N1662" t="str">
        <f>""</f>
        <v/>
      </c>
      <c r="O1662" t="str">
        <f>""</f>
        <v/>
      </c>
    </row>
    <row r="1663" spans="1:15" x14ac:dyDescent="0.25">
      <c r="A1663" t="str">
        <f>$A$562</f>
        <v xml:space="preserve">                    Claas KGaA mbH</v>
      </c>
      <c r="B1663" t="str">
        <f>$B$562</f>
        <v>CLSO GR Equity</v>
      </c>
      <c r="C1663" t="str">
        <f>$C$562</f>
        <v>F0946</v>
      </c>
      <c r="D1663" t="str">
        <f>$D$562</f>
        <v>TOTAL_GHG_CO2_EMISSIONS</v>
      </c>
      <c r="E1663" t="str">
        <f>$E$562</f>
        <v>Dynamic</v>
      </c>
      <c r="F1663" t="str">
        <f ca="1">_xll.BDH($B$562,$C$562,$B$1130,$B$1131,CONCATENATE("Per=",$B$1128),"Dts=H","Dir=H",CONCATENATE("Points=",$B$1129),"Sort=R","Days=A","Fill=B",CONCATENATE("FX=", $B$1127) )</f>
        <v/>
      </c>
      <c r="K1663" t="str">
        <f>""</f>
        <v/>
      </c>
      <c r="L1663" t="str">
        <f>""</f>
        <v/>
      </c>
      <c r="M1663" t="str">
        <f>""</f>
        <v/>
      </c>
      <c r="N1663" t="str">
        <f>""</f>
        <v/>
      </c>
      <c r="O1663" t="str">
        <f>""</f>
        <v/>
      </c>
    </row>
    <row r="1664" spans="1:15" x14ac:dyDescent="0.25">
      <c r="A1664" t="str">
        <f>$A$563</f>
        <v xml:space="preserve">                    CNH Industrial NV</v>
      </c>
      <c r="B1664" t="str">
        <f>$B$563</f>
        <v>CNHI US Equity</v>
      </c>
      <c r="C1664" t="str">
        <f>$C$563</f>
        <v>F0946</v>
      </c>
      <c r="D1664" t="str">
        <f>$D$563</f>
        <v>TOTAL_GHG_CO2_EMISSIONS</v>
      </c>
      <c r="E1664" t="str">
        <f>$E$563</f>
        <v>Dynamic</v>
      </c>
      <c r="F1664" t="str">
        <f ca="1">_xll.BDH($B$563,$C$563,$B$1130,$B$1131,CONCATENATE("Per=",$B$1128),"Dts=H","Dir=H",CONCATENATE("Points=",$B$1129),"Sort=R","Days=A","Fill=B",CONCATENATE("FX=", $B$1127),"cols=5;rows=1")</f>
        <v/>
      </c>
      <c r="G1664">
        <v>0.45</v>
      </c>
      <c r="H1664">
        <v>0.38719999999999999</v>
      </c>
      <c r="I1664">
        <v>0.48070000000000002</v>
      </c>
      <c r="J1664">
        <v>0.49680000000000002</v>
      </c>
      <c r="K1664" t="str">
        <f>""</f>
        <v/>
      </c>
      <c r="L1664" t="str">
        <f>""</f>
        <v/>
      </c>
      <c r="M1664" t="str">
        <f>""</f>
        <v/>
      </c>
      <c r="N1664" t="str">
        <f>""</f>
        <v/>
      </c>
      <c r="O1664" t="str">
        <f>""</f>
        <v/>
      </c>
    </row>
    <row r="1665" spans="1:15" x14ac:dyDescent="0.25">
      <c r="A1665" t="str">
        <f>$A$564</f>
        <v xml:space="preserve">                    Daedong Corp</v>
      </c>
      <c r="B1665" t="str">
        <f>$B$564</f>
        <v>000490 KS Equity</v>
      </c>
      <c r="C1665" t="str">
        <f>$C$564</f>
        <v>F0946</v>
      </c>
      <c r="D1665" t="str">
        <f>$D$564</f>
        <v>TOTAL_GHG_CO2_EMISSIONS</v>
      </c>
      <c r="E1665" t="str">
        <f>$E$564</f>
        <v>Dynamic</v>
      </c>
      <c r="F1665" t="str">
        <f ca="1">_xll.BDH($B$564,$C$564,$B$1130,$B$1131,CONCATENATE("Per=",$B$1128),"Dts=H","Dir=H",CONCATENATE("Points=",$B$1129),"Sort=R","Days=A","Fill=B",CONCATENATE("FX=", $B$1127),"cols=5;rows=1")</f>
        <v/>
      </c>
      <c r="G1665">
        <v>4.2000000000000003E-2</v>
      </c>
      <c r="H1665">
        <v>3.4700000000000002E-2</v>
      </c>
      <c r="I1665">
        <v>3.4200000000000001E-2</v>
      </c>
      <c r="J1665">
        <v>3.4700000000000002E-2</v>
      </c>
      <c r="K1665" t="str">
        <f>""</f>
        <v/>
      </c>
      <c r="L1665" t="str">
        <f>""</f>
        <v/>
      </c>
      <c r="M1665" t="str">
        <f>""</f>
        <v/>
      </c>
      <c r="N1665" t="str">
        <f>""</f>
        <v/>
      </c>
      <c r="O1665" t="str">
        <f>""</f>
        <v/>
      </c>
    </row>
    <row r="1666" spans="1:15" x14ac:dyDescent="0.25">
      <c r="A1666" t="str">
        <f>$A$565</f>
        <v xml:space="preserve">                    Deere &amp; Co</v>
      </c>
      <c r="B1666" t="str">
        <f>$B$565</f>
        <v>DE US Equity</v>
      </c>
      <c r="C1666" t="str">
        <f>$C$565</f>
        <v>F0946</v>
      </c>
      <c r="D1666" t="str">
        <f>$D$565</f>
        <v>TOTAL_GHG_CO2_EMISSIONS</v>
      </c>
      <c r="E1666" t="str">
        <f>$E$565</f>
        <v>Dynamic</v>
      </c>
      <c r="F1666" t="str">
        <f ca="1">_xll.BDH($B$565,$C$565,$B$1130,$B$1131,CONCATENATE("Per=",$B$1128),"Dts=H","Dir=H",CONCATENATE("Points=",$B$1129),"Sort=R","Days=A","Fill=B",CONCATENATE("FX=", $B$1127),"cols=5;rows=1")</f>
        <v/>
      </c>
      <c r="G1666">
        <v>1.1080000000000001</v>
      </c>
      <c r="K1666" t="str">
        <f>""</f>
        <v/>
      </c>
      <c r="L1666" t="str">
        <f>""</f>
        <v/>
      </c>
      <c r="M1666" t="str">
        <f>""</f>
        <v/>
      </c>
      <c r="N1666" t="str">
        <f>""</f>
        <v/>
      </c>
      <c r="O1666" t="str">
        <f>""</f>
        <v/>
      </c>
    </row>
    <row r="1667" spans="1:15" x14ac:dyDescent="0.25">
      <c r="A1667" t="str">
        <f>$A$566</f>
        <v xml:space="preserve">                    Emeco Holdings Ltd</v>
      </c>
      <c r="B1667" t="str">
        <f>$B$566</f>
        <v>EHL AU Equity</v>
      </c>
      <c r="C1667" t="str">
        <f>$C$566</f>
        <v>F0946</v>
      </c>
      <c r="D1667" t="str">
        <f>$D$566</f>
        <v>TOTAL_GHG_CO2_EMISSIONS</v>
      </c>
      <c r="E1667" t="str">
        <f>$E$566</f>
        <v>Dynamic</v>
      </c>
      <c r="F1667" t="str">
        <f ca="1">_xll.BDH($B$566,$C$566,$B$1130,$B$1131,CONCATENATE("Per=",$B$1128),"Dts=H","Dir=H",CONCATENATE("Points=",$B$1129),"Sort=R","Days=A","Fill=B",CONCATENATE("FX=", $B$1127) )</f>
        <v/>
      </c>
      <c r="K1667" t="str">
        <f>""</f>
        <v/>
      </c>
      <c r="L1667" t="str">
        <f>""</f>
        <v/>
      </c>
      <c r="M1667" t="str">
        <f>""</f>
        <v/>
      </c>
      <c r="N1667" t="str">
        <f>""</f>
        <v/>
      </c>
      <c r="O1667" t="str">
        <f>""</f>
        <v/>
      </c>
    </row>
    <row r="1668" spans="1:15" x14ac:dyDescent="0.25">
      <c r="A1668" t="str">
        <f>$A$567</f>
        <v xml:space="preserve">                    Exel Industries</v>
      </c>
      <c r="B1668" t="str">
        <f>$B$567</f>
        <v>EXE FP Equity</v>
      </c>
      <c r="C1668" t="str">
        <f>$C$567</f>
        <v>F0946</v>
      </c>
      <c r="D1668" t="str">
        <f>$D$567</f>
        <v>TOTAL_GHG_CO2_EMISSIONS</v>
      </c>
      <c r="E1668" t="str">
        <f>$E$567</f>
        <v>Dynamic</v>
      </c>
      <c r="F1668">
        <f ca="1">_xll.BDH($B$567,$C$567,$B$1130,$B$1131,CONCATENATE("Per=",$B$1128),"Dts=H","Dir=H",CONCATENATE("Points=",$B$1129),"Sort=R","Days=A","Fill=B",CONCATENATE("FX=", $B$1127),"cols=5;rows=1")</f>
        <v>2.1000000000000001E-2</v>
      </c>
      <c r="G1668">
        <v>3.15E-2</v>
      </c>
      <c r="H1668">
        <v>3.15E-2</v>
      </c>
      <c r="K1668" t="str">
        <f>""</f>
        <v/>
      </c>
      <c r="L1668" t="str">
        <f>""</f>
        <v/>
      </c>
      <c r="M1668" t="str">
        <f>""</f>
        <v/>
      </c>
      <c r="N1668" t="str">
        <f>""</f>
        <v/>
      </c>
      <c r="O1668" t="str">
        <f>""</f>
        <v/>
      </c>
    </row>
    <row r="1669" spans="1:15" x14ac:dyDescent="0.25">
      <c r="A1669" t="str">
        <f>$A$568</f>
        <v xml:space="preserve">                    Escorts Kubota Ltd</v>
      </c>
      <c r="B1669" t="str">
        <f>$B$568</f>
        <v>ESCORTS IN Equity</v>
      </c>
      <c r="C1669" t="str">
        <f>$C$568</f>
        <v>F0946</v>
      </c>
      <c r="D1669" t="str">
        <f>$D$568</f>
        <v>TOTAL_GHG_CO2_EMISSIONS</v>
      </c>
      <c r="E1669" t="str">
        <f>$E$568</f>
        <v>Dynamic</v>
      </c>
      <c r="F1669" t="str">
        <f ca="1">_xll.BDH($B$568,$C$568,$B$1130,$B$1131,CONCATENATE("Per=",$B$1128),"Dts=H","Dir=H",CONCATENATE("Points=",$B$1129),"Sort=R","Days=A","Fill=B",CONCATENATE("FX=", $B$1127),"cols=5;rows=1")</f>
        <v/>
      </c>
      <c r="G1669">
        <v>4.8500000000000001E-2</v>
      </c>
      <c r="H1669">
        <v>7.0699999999999999E-2</v>
      </c>
      <c r="I1669">
        <v>6.8000000000000005E-2</v>
      </c>
      <c r="J1669">
        <v>6.5799999999999997E-2</v>
      </c>
      <c r="K1669" t="str">
        <f>""</f>
        <v/>
      </c>
      <c r="L1669" t="str">
        <f>""</f>
        <v/>
      </c>
      <c r="M1669" t="str">
        <f>""</f>
        <v/>
      </c>
      <c r="N1669" t="str">
        <f>""</f>
        <v/>
      </c>
      <c r="O1669" t="str">
        <f>""</f>
        <v/>
      </c>
    </row>
    <row r="1670" spans="1:15" x14ac:dyDescent="0.25">
      <c r="A1670" t="str">
        <f>$A$569</f>
        <v xml:space="preserve">                    Ferreycorp SAA</v>
      </c>
      <c r="B1670" t="str">
        <f>$B$569</f>
        <v>FERREYC1 PE Equity</v>
      </c>
      <c r="C1670" t="str">
        <f>$C$569</f>
        <v>F0946</v>
      </c>
      <c r="D1670" t="str">
        <f>$D$569</f>
        <v>TOTAL_GHG_CO2_EMISSIONS</v>
      </c>
      <c r="E1670" t="str">
        <f>$E$569</f>
        <v>Dynamic</v>
      </c>
      <c r="F1670">
        <f ca="1">_xll.BDH($B$569,$C$569,$B$1130,$B$1131,CONCATENATE("Per=",$B$1128),"Dts=H","Dir=H",CONCATENATE("Points=",$B$1129),"Sort=R","Days=A","Fill=B",CONCATENATE("FX=", $B$1127),"cols=5;rows=1")</f>
        <v>3.7000000000000002E-3</v>
      </c>
      <c r="G1670">
        <v>3.3E-3</v>
      </c>
      <c r="H1670">
        <v>2.5000000000000001E-3</v>
      </c>
      <c r="I1670">
        <v>2.3E-3</v>
      </c>
      <c r="J1670">
        <v>2.7000000000000001E-3</v>
      </c>
      <c r="K1670" t="str">
        <f>""</f>
        <v/>
      </c>
      <c r="L1670" t="str">
        <f>""</f>
        <v/>
      </c>
      <c r="M1670" t="str">
        <f>""</f>
        <v/>
      </c>
      <c r="N1670" t="str">
        <f>""</f>
        <v/>
      </c>
      <c r="O1670" t="str">
        <f>""</f>
        <v/>
      </c>
    </row>
    <row r="1671" spans="1:15" x14ac:dyDescent="0.25">
      <c r="A1671" t="str">
        <f>$A$570</f>
        <v xml:space="preserve">                    Finning International Inc</v>
      </c>
      <c r="B1671" t="str">
        <f>$B$570</f>
        <v>FTT CN Equity</v>
      </c>
      <c r="C1671" t="str">
        <f>$C$570</f>
        <v>F0946</v>
      </c>
      <c r="D1671" t="str">
        <f>$D$570</f>
        <v>TOTAL_GHG_CO2_EMISSIONS</v>
      </c>
      <c r="E1671" t="str">
        <f>$E$570</f>
        <v>Dynamic</v>
      </c>
      <c r="F1671">
        <f ca="1">_xll.BDH($B$570,$C$570,$B$1130,$B$1131,CONCATENATE("Per=",$B$1128),"Dts=H","Dir=H",CONCATENATE("Points=",$B$1129),"Sort=R","Days=A","Fill=B",CONCATENATE("FX=", $B$1127),"cols=5;rows=1")</f>
        <v>0.08</v>
      </c>
      <c r="G1671">
        <v>9.4200000000000006E-2</v>
      </c>
      <c r="H1671">
        <v>8.09E-2</v>
      </c>
      <c r="I1671">
        <v>0.10059999999999999</v>
      </c>
      <c r="J1671">
        <v>0.1048</v>
      </c>
      <c r="K1671" t="str">
        <f>""</f>
        <v/>
      </c>
      <c r="L1671" t="str">
        <f>""</f>
        <v/>
      </c>
      <c r="M1671" t="str">
        <f>""</f>
        <v/>
      </c>
      <c r="N1671" t="str">
        <f>""</f>
        <v/>
      </c>
      <c r="O1671" t="str">
        <f>""</f>
        <v/>
      </c>
    </row>
    <row r="1672" spans="1:15" x14ac:dyDescent="0.25">
      <c r="A1672" t="str">
        <f>$A$571</f>
        <v xml:space="preserve">                    First Tractor Co Ltd</v>
      </c>
      <c r="B1672" t="str">
        <f>$B$571</f>
        <v>601038 CH Equity</v>
      </c>
      <c r="C1672" t="str">
        <f>$C$571</f>
        <v>F0946</v>
      </c>
      <c r="D1672" t="str">
        <f>$D$571</f>
        <v>TOTAL_GHG_CO2_EMISSIONS</v>
      </c>
      <c r="E1672" t="str">
        <f>$E$571</f>
        <v>Dynamic</v>
      </c>
      <c r="F1672" t="str">
        <f ca="1">_xll.BDH($B$571,$C$571,$B$1130,$B$1131,CONCATENATE("Per=",$B$1128),"Dts=H","Dir=H",CONCATENATE("Points=",$B$1129),"Sort=R","Days=A","Fill=B",CONCATENATE("FX=", $B$1127),"cols=5;rows=1")</f>
        <v/>
      </c>
      <c r="G1672">
        <v>0.1462</v>
      </c>
      <c r="H1672">
        <v>0.13969999999999999</v>
      </c>
      <c r="I1672">
        <v>0.1171</v>
      </c>
      <c r="J1672">
        <v>0.14249999999999999</v>
      </c>
      <c r="K1672" t="str">
        <f>""</f>
        <v/>
      </c>
      <c r="L1672" t="str">
        <f>""</f>
        <v/>
      </c>
      <c r="M1672" t="str">
        <f>""</f>
        <v/>
      </c>
      <c r="N1672" t="str">
        <f>""</f>
        <v/>
      </c>
      <c r="O1672" t="str">
        <f>""</f>
        <v/>
      </c>
    </row>
    <row r="1673" spans="1:15" x14ac:dyDescent="0.25">
      <c r="A1673" t="str">
        <f>$A$572</f>
        <v xml:space="preserve">                    FLSmidth &amp; Co A/S</v>
      </c>
      <c r="B1673" t="str">
        <f>$B$572</f>
        <v>FLS DC Equity</v>
      </c>
      <c r="C1673" t="str">
        <f>$C$572</f>
        <v>F0946</v>
      </c>
      <c r="D1673" t="str">
        <f>$D$572</f>
        <v>TOTAL_GHG_CO2_EMISSIONS</v>
      </c>
      <c r="E1673" t="str">
        <f>$E$572</f>
        <v>Dynamic</v>
      </c>
      <c r="F1673">
        <f ca="1">_xll.BDH($B$572,$C$572,$B$1130,$B$1131,CONCATENATE("Per=",$B$1128),"Dts=H","Dir=H",CONCATENATE("Points=",$B$1129),"Sort=R","Days=A","Fill=B",CONCATENATE("FX=", $B$1127),"cols=5;rows=1")</f>
        <v>3.6499999999999998E-2</v>
      </c>
      <c r="G1673">
        <v>3.78E-2</v>
      </c>
      <c r="H1673">
        <v>3.6999999999999998E-2</v>
      </c>
      <c r="I1673">
        <v>5.0700000000000002E-2</v>
      </c>
      <c r="J1673">
        <v>6.0400000000000002E-2</v>
      </c>
      <c r="K1673" t="str">
        <f>""</f>
        <v/>
      </c>
      <c r="L1673" t="str">
        <f>""</f>
        <v/>
      </c>
      <c r="M1673" t="str">
        <f>""</f>
        <v/>
      </c>
      <c r="N1673" t="str">
        <f>""</f>
        <v/>
      </c>
      <c r="O1673" t="str">
        <f>""</f>
        <v/>
      </c>
    </row>
    <row r="1674" spans="1:15" x14ac:dyDescent="0.25">
      <c r="A1674" t="str">
        <f>$A$573</f>
        <v xml:space="preserve">                    Weichai Lovol Heavy Industry C</v>
      </c>
      <c r="B1674" t="str">
        <f>$B$573</f>
        <v>FLIHIZ CH Equity</v>
      </c>
      <c r="C1674" t="str">
        <f>$C$573</f>
        <v>F0946</v>
      </c>
      <c r="D1674" t="str">
        <f>$D$573</f>
        <v>TOTAL_GHG_CO2_EMISSIONS</v>
      </c>
      <c r="E1674" t="str">
        <f>$E$573</f>
        <v>Dynamic</v>
      </c>
      <c r="F1674" t="str">
        <f ca="1">_xll.BDH($B$573,$C$573,$B$1130,$B$1131,CONCATENATE("Per=",$B$1128),"Dts=H","Dir=H",CONCATENATE("Points=",$B$1129),"Sort=R","Days=A","Fill=B",CONCATENATE("FX=", $B$1127) )</f>
        <v/>
      </c>
      <c r="K1674" t="str">
        <f>""</f>
        <v/>
      </c>
      <c r="L1674" t="str">
        <f>""</f>
        <v/>
      </c>
      <c r="M1674" t="str">
        <f>""</f>
        <v/>
      </c>
      <c r="N1674" t="str">
        <f>""</f>
        <v/>
      </c>
      <c r="O1674" t="str">
        <f>""</f>
        <v/>
      </c>
    </row>
    <row r="1675" spans="1:15" x14ac:dyDescent="0.25">
      <c r="A1675" t="str">
        <f>$A$574</f>
        <v xml:space="preserve">                    Furukawa Co Ltd</v>
      </c>
      <c r="B1675" t="str">
        <f>$B$574</f>
        <v>5715 JP Equity</v>
      </c>
      <c r="C1675" t="str">
        <f>$C$574</f>
        <v>F0946</v>
      </c>
      <c r="D1675" t="str">
        <f>$D$574</f>
        <v>TOTAL_GHG_CO2_EMISSIONS</v>
      </c>
      <c r="E1675" t="str">
        <f>$E$574</f>
        <v>Dynamic</v>
      </c>
      <c r="F1675" t="str">
        <f ca="1">_xll.BDH($B$574,$C$574,$B$1130,$B$1131,CONCATENATE("Per=",$B$1128),"Dts=H","Dir=H",CONCATENATE("Points=",$B$1129),"Sort=R","Days=A","Fill=B",CONCATENATE("FX=", $B$1127),"cols=5;rows=1")</f>
        <v/>
      </c>
      <c r="G1675">
        <v>2.2100000000000002E-2</v>
      </c>
      <c r="H1675">
        <v>2.0899999999999998E-2</v>
      </c>
      <c r="I1675">
        <v>2.1899999999999999E-2</v>
      </c>
      <c r="J1675">
        <v>2.5999999999999999E-2</v>
      </c>
      <c r="K1675" t="str">
        <f>""</f>
        <v/>
      </c>
      <c r="L1675" t="str">
        <f>""</f>
        <v/>
      </c>
      <c r="M1675" t="str">
        <f>""</f>
        <v/>
      </c>
      <c r="N1675" t="str">
        <f>""</f>
        <v/>
      </c>
      <c r="O1675" t="str">
        <f>""</f>
        <v/>
      </c>
    </row>
    <row r="1676" spans="1:15" x14ac:dyDescent="0.25">
      <c r="A1676" t="str">
        <f>$A$575</f>
        <v xml:space="preserve">                    Gecoss Corp</v>
      </c>
      <c r="B1676" t="str">
        <f>$B$575</f>
        <v>9991 JP Equity</v>
      </c>
      <c r="C1676" t="str">
        <f>$C$575</f>
        <v>F0946</v>
      </c>
      <c r="D1676" t="str">
        <f>$D$575</f>
        <v>TOTAL_GHG_CO2_EMISSIONS</v>
      </c>
      <c r="E1676" t="str">
        <f>$E$575</f>
        <v>Dynamic</v>
      </c>
      <c r="F1676" t="str">
        <f ca="1">_xll.BDH($B$575,$C$575,$B$1130,$B$1131,CONCATENATE("Per=",$B$1128),"Dts=H","Dir=H",CONCATENATE("Points=",$B$1129),"Sort=R","Days=A","Fill=B",CONCATENATE("FX=", $B$1127) )</f>
        <v/>
      </c>
      <c r="K1676" t="str">
        <f>""</f>
        <v/>
      </c>
      <c r="L1676" t="str">
        <f>""</f>
        <v/>
      </c>
      <c r="M1676" t="str">
        <f>""</f>
        <v/>
      </c>
      <c r="N1676" t="str">
        <f>""</f>
        <v/>
      </c>
      <c r="O1676" t="str">
        <f>""</f>
        <v/>
      </c>
    </row>
    <row r="1677" spans="1:15" x14ac:dyDescent="0.25">
      <c r="A1677" t="str">
        <f>$A$576</f>
        <v xml:space="preserve">                    General de Alquiler de Maquina</v>
      </c>
      <c r="B1677" t="str">
        <f>$B$576</f>
        <v>GAM SM Equity</v>
      </c>
      <c r="C1677" t="str">
        <f>$C$576</f>
        <v>F0946</v>
      </c>
      <c r="D1677" t="str">
        <f>$D$576</f>
        <v>TOTAL_GHG_CO2_EMISSIONS</v>
      </c>
      <c r="E1677" t="str">
        <f>$E$576</f>
        <v>Dynamic</v>
      </c>
      <c r="F1677">
        <f ca="1">_xll.BDH($B$576,$C$576,$B$1130,$B$1131,CONCATENATE("Per=",$B$1128),"Dts=H","Dir=H",CONCATENATE("Points=",$B$1129),"Sort=R","Days=A","Fill=B",CONCATENATE("FX=", $B$1127),"cols=5;rows=1")</f>
        <v>7.7999999999999996E-3</v>
      </c>
      <c r="G1677">
        <v>9.1000000000000004E-3</v>
      </c>
      <c r="H1677">
        <v>7.1000000000000004E-3</v>
      </c>
      <c r="I1677">
        <v>9.1999999999999998E-3</v>
      </c>
      <c r="K1677" t="str">
        <f>""</f>
        <v/>
      </c>
      <c r="L1677" t="str">
        <f>""</f>
        <v/>
      </c>
      <c r="M1677" t="str">
        <f>""</f>
        <v/>
      </c>
      <c r="N1677" t="str">
        <f>""</f>
        <v/>
      </c>
      <c r="O1677" t="str">
        <f>""</f>
        <v/>
      </c>
    </row>
    <row r="1678" spans="1:15" x14ac:dyDescent="0.25">
      <c r="A1678" t="str">
        <f>$A$577</f>
        <v xml:space="preserve">                    Gifore Agricultural Science &amp;</v>
      </c>
      <c r="B1678" t="str">
        <f>$B$577</f>
        <v>300022 CH Equity</v>
      </c>
      <c r="C1678" t="str">
        <f>$C$577</f>
        <v>F0946</v>
      </c>
      <c r="D1678" t="str">
        <f>$D$577</f>
        <v>TOTAL_GHG_CO2_EMISSIONS</v>
      </c>
      <c r="E1678" t="str">
        <f>$E$577</f>
        <v>Dynamic</v>
      </c>
      <c r="F1678" t="str">
        <f ca="1">_xll.BDH($B$577,$C$577,$B$1130,$B$1131,CONCATENATE("Per=",$B$1128),"Dts=H","Dir=H",CONCATENATE("Points=",$B$1129),"Sort=R","Days=A","Fill=B",CONCATENATE("FX=", $B$1127) )</f>
        <v/>
      </c>
      <c r="K1678" t="str">
        <f>""</f>
        <v/>
      </c>
      <c r="L1678" t="str">
        <f>""</f>
        <v/>
      </c>
      <c r="M1678" t="str">
        <f>""</f>
        <v/>
      </c>
      <c r="N1678" t="str">
        <f>""</f>
        <v/>
      </c>
      <c r="O1678" t="str">
        <f>""</f>
        <v/>
      </c>
    </row>
    <row r="1679" spans="1:15" x14ac:dyDescent="0.25">
      <c r="A1679" t="str">
        <f>$A$578</f>
        <v xml:space="preserve">                    Guangxi Liugong Machinery Co L</v>
      </c>
      <c r="B1679" t="str">
        <f>$B$578</f>
        <v>000528 CH Equity</v>
      </c>
      <c r="C1679" t="str">
        <f>$C$578</f>
        <v>F0946</v>
      </c>
      <c r="D1679" t="str">
        <f>$D$578</f>
        <v>TOTAL_GHG_CO2_EMISSIONS</v>
      </c>
      <c r="E1679" t="str">
        <f>$E$578</f>
        <v>Dynamic</v>
      </c>
      <c r="F1679" t="str">
        <f ca="1">_xll.BDH($B$578,$C$578,$B$1130,$B$1131,CONCATENATE("Per=",$B$1128),"Dts=H","Dir=H",CONCATENATE("Points=",$B$1129),"Sort=R","Days=A","Fill=B",CONCATENATE("FX=", $B$1127) )</f>
        <v/>
      </c>
      <c r="K1679" t="str">
        <f>""</f>
        <v/>
      </c>
      <c r="L1679" t="str">
        <f>""</f>
        <v/>
      </c>
      <c r="M1679" t="str">
        <f>""</f>
        <v/>
      </c>
      <c r="N1679" t="str">
        <f>""</f>
        <v/>
      </c>
      <c r="O1679" t="str">
        <f>""</f>
        <v/>
      </c>
    </row>
    <row r="1680" spans="1:15" x14ac:dyDescent="0.25">
      <c r="A1680" t="str">
        <f>$A$579</f>
        <v xml:space="preserve">                    H&amp;E Equipment Services Inc</v>
      </c>
      <c r="B1680" t="str">
        <f>$B$579</f>
        <v>HEES US Equity</v>
      </c>
      <c r="C1680" t="str">
        <f>$C$579</f>
        <v>F0946</v>
      </c>
      <c r="D1680" t="str">
        <f>$D$579</f>
        <v>TOTAL_GHG_CO2_EMISSIONS</v>
      </c>
      <c r="E1680" t="str">
        <f>$E$579</f>
        <v>Dynamic</v>
      </c>
      <c r="F1680" t="str">
        <f ca="1">_xll.BDH($B$579,$C$579,$B$1130,$B$1131,CONCATENATE("Per=",$B$1128),"Dts=H","Dir=H",CONCATENATE("Points=",$B$1129),"Sort=R","Days=A","Fill=B",CONCATENATE("FX=", $B$1127) )</f>
        <v/>
      </c>
      <c r="K1680" t="str">
        <f>""</f>
        <v/>
      </c>
      <c r="L1680" t="str">
        <f>""</f>
        <v/>
      </c>
      <c r="M1680" t="str">
        <f>""</f>
        <v/>
      </c>
      <c r="N1680" t="str">
        <f>""</f>
        <v/>
      </c>
      <c r="O1680" t="str">
        <f>""</f>
        <v/>
      </c>
    </row>
    <row r="1681" spans="1:15" x14ac:dyDescent="0.25">
      <c r="A1681" t="str">
        <f>$A$580</f>
        <v xml:space="preserve">                    Haulotte Group SA</v>
      </c>
      <c r="B1681" t="str">
        <f>$B$580</f>
        <v>PIG FP Equity</v>
      </c>
      <c r="C1681" t="str">
        <f>$C$580</f>
        <v>F0946</v>
      </c>
      <c r="D1681" t="str">
        <f>$D$580</f>
        <v>TOTAL_GHG_CO2_EMISSIONS</v>
      </c>
      <c r="E1681" t="str">
        <f>$E$580</f>
        <v>Dynamic</v>
      </c>
      <c r="F1681">
        <f ca="1">_xll.BDH($B$580,$C$580,$B$1130,$B$1131,CONCATENATE("Per=",$B$1128),"Dts=H","Dir=H",CONCATENATE("Points=",$B$1129),"Sort=R","Days=A","Fill=B",CONCATENATE("FX=", $B$1127),"cols=5;rows=1")</f>
        <v>0.01</v>
      </c>
      <c r="G1681">
        <v>5.7000000000000002E-3</v>
      </c>
      <c r="H1681">
        <v>3.3E-3</v>
      </c>
      <c r="I1681">
        <v>6.6E-3</v>
      </c>
      <c r="J1681">
        <v>7.6E-3</v>
      </c>
      <c r="K1681" t="str">
        <f>""</f>
        <v/>
      </c>
      <c r="L1681" t="str">
        <f>""</f>
        <v/>
      </c>
      <c r="M1681" t="str">
        <f>""</f>
        <v/>
      </c>
      <c r="N1681" t="str">
        <f>""</f>
        <v/>
      </c>
      <c r="O1681" t="str">
        <f>""</f>
        <v/>
      </c>
    </row>
    <row r="1682" spans="1:15" x14ac:dyDescent="0.25">
      <c r="A1682" t="str">
        <f>$A$581</f>
        <v xml:space="preserve">                    Herc Holdings Inc</v>
      </c>
      <c r="B1682" t="str">
        <f>$B$581</f>
        <v>HRI US Equity</v>
      </c>
      <c r="C1682" t="str">
        <f>$C$581</f>
        <v>F0946</v>
      </c>
      <c r="D1682" t="str">
        <f>$D$581</f>
        <v>TOTAL_GHG_CO2_EMISSIONS</v>
      </c>
      <c r="E1682" t="str">
        <f>$E$581</f>
        <v>Dynamic</v>
      </c>
      <c r="F1682" t="str">
        <f ca="1">_xll.BDH($B$581,$C$581,$B$1130,$B$1131,CONCATENATE("Per=",$B$1128),"Dts=H","Dir=H",CONCATENATE("Points=",$B$1129),"Sort=R","Days=A","Fill=B",CONCATENATE("FX=", $B$1127) )</f>
        <v/>
      </c>
      <c r="K1682" t="str">
        <f>""</f>
        <v/>
      </c>
      <c r="L1682" t="str">
        <f>""</f>
        <v/>
      </c>
      <c r="M1682" t="str">
        <f>""</f>
        <v/>
      </c>
      <c r="N1682" t="str">
        <f>""</f>
        <v/>
      </c>
      <c r="O1682" t="str">
        <f>""</f>
        <v/>
      </c>
    </row>
    <row r="1683" spans="1:15" x14ac:dyDescent="0.25">
      <c r="A1683" t="str">
        <f>$A$582</f>
        <v xml:space="preserve">                    Hexindo Adiperkasa Tbk PT</v>
      </c>
      <c r="B1683" t="str">
        <f>$B$582</f>
        <v>HEXA IJ Equity</v>
      </c>
      <c r="C1683" t="str">
        <f>$C$582</f>
        <v>F0946</v>
      </c>
      <c r="D1683" t="str">
        <f>$D$582</f>
        <v>TOTAL_GHG_CO2_EMISSIONS</v>
      </c>
      <c r="E1683" t="str">
        <f>$E$582</f>
        <v>Dynamic</v>
      </c>
      <c r="F1683" t="str">
        <f ca="1">_xll.BDH($B$582,$C$582,$B$1130,$B$1131,CONCATENATE("Per=",$B$1128),"Dts=H","Dir=H",CONCATENATE("Points=",$B$1129),"Sort=R","Days=A","Fill=B",CONCATENATE("FX=", $B$1127) )</f>
        <v/>
      </c>
      <c r="K1683" t="str">
        <f>""</f>
        <v/>
      </c>
      <c r="L1683" t="str">
        <f>""</f>
        <v/>
      </c>
      <c r="M1683" t="str">
        <f>""</f>
        <v/>
      </c>
      <c r="N1683" t="str">
        <f>""</f>
        <v/>
      </c>
      <c r="O1683" t="str">
        <f>""</f>
        <v/>
      </c>
    </row>
    <row r="1684" spans="1:15" x14ac:dyDescent="0.25">
      <c r="A1684" t="str">
        <f>$A$583</f>
        <v xml:space="preserve">                    Hitachi Construction Machinery</v>
      </c>
      <c r="B1684" t="str">
        <f>$B$583</f>
        <v>6305 JP Equity</v>
      </c>
      <c r="C1684" t="str">
        <f>$C$583</f>
        <v>F0946</v>
      </c>
      <c r="D1684" t="str">
        <f>$D$583</f>
        <v>TOTAL_GHG_CO2_EMISSIONS</v>
      </c>
      <c r="E1684" t="str">
        <f>$E$583</f>
        <v>Dynamic</v>
      </c>
      <c r="F1684" t="str">
        <f ca="1">_xll.BDH($B$583,$C$583,$B$1130,$B$1131,CONCATENATE("Per=",$B$1128),"Dts=H","Dir=H",CONCATENATE("Points=",$B$1129),"Sort=R","Days=A","Fill=B",CONCATENATE("FX=", $B$1127),"cols=5;rows=1")</f>
        <v/>
      </c>
      <c r="G1684">
        <v>0.27710000000000001</v>
      </c>
      <c r="H1684">
        <v>0.2752</v>
      </c>
      <c r="I1684">
        <v>0.32479999999999998</v>
      </c>
      <c r="J1684">
        <v>0.3196</v>
      </c>
      <c r="K1684" t="str">
        <f>""</f>
        <v/>
      </c>
      <c r="L1684" t="str">
        <f>""</f>
        <v/>
      </c>
      <c r="M1684" t="str">
        <f>""</f>
        <v/>
      </c>
      <c r="N1684" t="str">
        <f>""</f>
        <v/>
      </c>
      <c r="O1684" t="str">
        <f>""</f>
        <v/>
      </c>
    </row>
    <row r="1685" spans="1:15" x14ac:dyDescent="0.25">
      <c r="A1685" t="str">
        <f>$A$584</f>
        <v xml:space="preserve">                    Hyundai Doosan Infracore Co Lt</v>
      </c>
      <c r="B1685" t="str">
        <f>$B$584</f>
        <v>042670 KS Equity</v>
      </c>
      <c r="C1685" t="str">
        <f>$C$584</f>
        <v>F0946</v>
      </c>
      <c r="D1685" t="str">
        <f>$D$584</f>
        <v>TOTAL_GHG_CO2_EMISSIONS</v>
      </c>
      <c r="E1685" t="str">
        <f>$E$584</f>
        <v>Dynamic</v>
      </c>
      <c r="F1685" t="str">
        <f ca="1">_xll.BDH($B$584,$C$584,$B$1130,$B$1131,CONCATENATE("Per=",$B$1128),"Dts=H","Dir=H",CONCATENATE("Points=",$B$1129),"Sort=R","Days=A","Fill=B",CONCATENATE("FX=", $B$1127),"cols=5;rows=1")</f>
        <v/>
      </c>
      <c r="G1685">
        <v>0.13150000000000001</v>
      </c>
      <c r="H1685">
        <v>0.1239</v>
      </c>
      <c r="I1685">
        <v>0.1414</v>
      </c>
      <c r="J1685">
        <v>0.1401</v>
      </c>
      <c r="K1685" t="str">
        <f>""</f>
        <v/>
      </c>
      <c r="L1685" t="str">
        <f>""</f>
        <v/>
      </c>
      <c r="M1685" t="str">
        <f>""</f>
        <v/>
      </c>
      <c r="N1685" t="str">
        <f>""</f>
        <v/>
      </c>
      <c r="O1685" t="str">
        <f>""</f>
        <v/>
      </c>
    </row>
    <row r="1686" spans="1:15" x14ac:dyDescent="0.25">
      <c r="A1686" t="str">
        <f>$A$585</f>
        <v xml:space="preserve">                    JC Bamford Excavators Ltd</v>
      </c>
      <c r="B1686" t="str">
        <f>$B$585</f>
        <v>1324730Z LN Equity</v>
      </c>
      <c r="C1686" t="str">
        <f>$C$585</f>
        <v>F0946</v>
      </c>
      <c r="D1686" t="str">
        <f>$D$585</f>
        <v>TOTAL_GHG_CO2_EMISSIONS</v>
      </c>
      <c r="E1686" t="str">
        <f>$E$585</f>
        <v>Dynamic</v>
      </c>
      <c r="F1686" t="str">
        <f ca="1">_xll.BDH($B$585,$C$585,$B$1130,$B$1131,CONCATENATE("Per=",$B$1128),"Dts=H","Dir=H",CONCATENATE("Points=",$B$1129),"Sort=R","Days=A","Fill=B",CONCATENATE("FX=", $B$1127) )</f>
        <v/>
      </c>
      <c r="K1686" t="str">
        <f>""</f>
        <v/>
      </c>
      <c r="L1686" t="str">
        <f>""</f>
        <v/>
      </c>
      <c r="M1686" t="str">
        <f>""</f>
        <v/>
      </c>
      <c r="N1686" t="str">
        <f>""</f>
        <v/>
      </c>
      <c r="O1686" t="str">
        <f>""</f>
        <v/>
      </c>
    </row>
    <row r="1687" spans="1:15" x14ac:dyDescent="0.25">
      <c r="A1687" t="str">
        <f>$A$586</f>
        <v xml:space="preserve">                    Korea Shipbuilding &amp; Offshore</v>
      </c>
      <c r="B1687" t="str">
        <f>$B$586</f>
        <v>009540 KS Equity</v>
      </c>
      <c r="C1687" t="str">
        <f>$C$586</f>
        <v>F0946</v>
      </c>
      <c r="D1687" t="str">
        <f>$D$586</f>
        <v>TOTAL_GHG_CO2_EMISSIONS</v>
      </c>
      <c r="E1687" t="str">
        <f>$E$586</f>
        <v>Dynamic</v>
      </c>
      <c r="F1687" t="str">
        <f ca="1">_xll.BDH($B$586,$C$586,$B$1130,$B$1131,CONCATENATE("Per=",$B$1128),"Dts=H","Dir=H",CONCATENATE("Points=",$B$1129),"Sort=R","Days=A","Fill=B",CONCATENATE("FX=", $B$1127),"cols=5;rows=1")</f>
        <v/>
      </c>
      <c r="G1687">
        <v>0.95530000000000004</v>
      </c>
      <c r="H1687">
        <v>0.93210000000000004</v>
      </c>
      <c r="I1687">
        <v>0.90629999999999999</v>
      </c>
      <c r="J1687">
        <v>0.7016</v>
      </c>
      <c r="K1687" t="str">
        <f>""</f>
        <v/>
      </c>
      <c r="L1687" t="str">
        <f>""</f>
        <v/>
      </c>
      <c r="M1687" t="str">
        <f>""</f>
        <v/>
      </c>
      <c r="N1687" t="str">
        <f>""</f>
        <v/>
      </c>
      <c r="O1687" t="str">
        <f>""</f>
        <v/>
      </c>
    </row>
    <row r="1688" spans="1:15" x14ac:dyDescent="0.25">
      <c r="A1688" t="str">
        <f>$A$587</f>
        <v xml:space="preserve">                    Kukje Machinery Co Ltd</v>
      </c>
      <c r="B1688" t="str">
        <f>$B$587</f>
        <v>1154Z KS Equity</v>
      </c>
      <c r="C1688" t="str">
        <f>$C$587</f>
        <v>F0946</v>
      </c>
      <c r="D1688" t="str">
        <f>$D$587</f>
        <v>TOTAL_GHG_CO2_EMISSIONS</v>
      </c>
      <c r="E1688" t="str">
        <f>$E$587</f>
        <v>Dynamic</v>
      </c>
      <c r="F1688" t="str">
        <f ca="1">_xll.BDH($B$587,$C$587,$B$1130,$B$1131,CONCATENATE("Per=",$B$1128),"Dts=H","Dir=H",CONCATENATE("Points=",$B$1129),"Sort=R","Days=A","Fill=B",CONCATENATE("FX=", $B$1127) )</f>
        <v/>
      </c>
      <c r="K1688" t="str">
        <f>""</f>
        <v/>
      </c>
      <c r="L1688" t="str">
        <f>""</f>
        <v/>
      </c>
      <c r="M1688" t="str">
        <f>""</f>
        <v/>
      </c>
      <c r="N1688" t="str">
        <f>""</f>
        <v/>
      </c>
      <c r="O1688" t="str">
        <f>""</f>
        <v/>
      </c>
    </row>
    <row r="1689" spans="1:15" x14ac:dyDescent="0.25">
      <c r="A1689" t="str">
        <f>$A$588</f>
        <v xml:space="preserve">                    Kato Works Co Ltd</v>
      </c>
      <c r="B1689" t="str">
        <f>$B$588</f>
        <v>6390 JP Equity</v>
      </c>
      <c r="C1689" t="str">
        <f>$C$588</f>
        <v>F0946</v>
      </c>
      <c r="D1689" t="str">
        <f>$D$588</f>
        <v>TOTAL_GHG_CO2_EMISSIONS</v>
      </c>
      <c r="E1689" t="str">
        <f>$E$588</f>
        <v>Dynamic</v>
      </c>
      <c r="F1689" t="str">
        <f ca="1">_xll.BDH($B$588,$C$588,$B$1130,$B$1131,CONCATENATE("Per=",$B$1128),"Dts=H","Dir=H",CONCATENATE("Points=",$B$1129),"Sort=R","Days=A","Fill=B",CONCATENATE("FX=", $B$1127) )</f>
        <v/>
      </c>
      <c r="K1689" t="str">
        <f>""</f>
        <v/>
      </c>
      <c r="L1689" t="str">
        <f>""</f>
        <v/>
      </c>
      <c r="M1689" t="str">
        <f>""</f>
        <v/>
      </c>
      <c r="N1689" t="str">
        <f>""</f>
        <v/>
      </c>
      <c r="O1689" t="str">
        <f>""</f>
        <v/>
      </c>
    </row>
    <row r="1690" spans="1:15" x14ac:dyDescent="0.25">
      <c r="A1690" t="str">
        <f>$A$589</f>
        <v xml:space="preserve">                    Kobe Steel Ltd</v>
      </c>
      <c r="B1690" t="str">
        <f>$B$589</f>
        <v>5406 JP Equity</v>
      </c>
      <c r="C1690" t="str">
        <f>$C$589</f>
        <v>F0946</v>
      </c>
      <c r="D1690" t="str">
        <f>$D$589</f>
        <v>TOTAL_GHG_CO2_EMISSIONS</v>
      </c>
      <c r="E1690" t="str">
        <f>$E$589</f>
        <v>Dynamic</v>
      </c>
      <c r="F1690" t="str">
        <f ca="1">_xll.BDH($B$589,$C$589,$B$1130,$B$1131,CONCATENATE("Per=",$B$1128),"Dts=H","Dir=H",CONCATENATE("Points=",$B$1129),"Sort=R","Days=A","Fill=B",CONCATENATE("FX=", $B$1127),"cols=5;rows=1")</f>
        <v/>
      </c>
      <c r="G1690">
        <v>16.100000000000001</v>
      </c>
      <c r="H1690">
        <v>15.3</v>
      </c>
      <c r="I1690">
        <v>16.5</v>
      </c>
      <c r="J1690">
        <v>17.399999999999999</v>
      </c>
      <c r="K1690" t="str">
        <f>""</f>
        <v/>
      </c>
      <c r="L1690" t="str">
        <f>""</f>
        <v/>
      </c>
      <c r="M1690" t="str">
        <f>""</f>
        <v/>
      </c>
      <c r="N1690" t="str">
        <f>""</f>
        <v/>
      </c>
      <c r="O1690" t="str">
        <f>""</f>
        <v/>
      </c>
    </row>
    <row r="1691" spans="1:15" x14ac:dyDescent="0.25">
      <c r="A1691" t="str">
        <f>$A$590</f>
        <v xml:space="preserve">                    Komatsu Ltd</v>
      </c>
      <c r="B1691" t="str">
        <f>$B$590</f>
        <v>6301 JP Equity</v>
      </c>
      <c r="C1691" t="str">
        <f>$C$590</f>
        <v>F0946</v>
      </c>
      <c r="D1691" t="str">
        <f>$D$590</f>
        <v>TOTAL_GHG_CO2_EMISSIONS</v>
      </c>
      <c r="E1691" t="str">
        <f>$E$590</f>
        <v>Dynamic</v>
      </c>
      <c r="F1691" t="str">
        <f ca="1">_xll.BDH($B$590,$C$590,$B$1130,$B$1131,CONCATENATE("Per=",$B$1128),"Dts=H","Dir=H",CONCATENATE("Points=",$B$1129),"Sort=R","Days=A","Fill=B",CONCATENATE("FX=", $B$1127),"cols=5;rows=1")</f>
        <v/>
      </c>
      <c r="G1691">
        <v>0.4612</v>
      </c>
      <c r="H1691">
        <v>0.38179999999999997</v>
      </c>
      <c r="I1691">
        <v>0.40400000000000003</v>
      </c>
      <c r="J1691">
        <v>2.657</v>
      </c>
      <c r="K1691" t="str">
        <f>""</f>
        <v/>
      </c>
      <c r="L1691" t="str">
        <f>""</f>
        <v/>
      </c>
      <c r="M1691" t="str">
        <f>""</f>
        <v/>
      </c>
      <c r="N1691" t="str">
        <f>""</f>
        <v/>
      </c>
      <c r="O1691" t="str">
        <f>""</f>
        <v/>
      </c>
    </row>
    <row r="1692" spans="1:15" x14ac:dyDescent="0.25">
      <c r="A1692" t="str">
        <f>$A$591</f>
        <v xml:space="preserve">                    Kubota Corp</v>
      </c>
      <c r="B1692" t="str">
        <f>$B$591</f>
        <v>6326 JP Equity</v>
      </c>
      <c r="C1692" t="str">
        <f>$C$591</f>
        <v>F0946</v>
      </c>
      <c r="D1692" t="str">
        <f>$D$591</f>
        <v>TOTAL_GHG_CO2_EMISSIONS</v>
      </c>
      <c r="E1692" t="str">
        <f>$E$591</f>
        <v>Dynamic</v>
      </c>
      <c r="F1692" t="str">
        <f ca="1">_xll.BDH($B$591,$C$591,$B$1130,$B$1131,CONCATENATE("Per=",$B$1128),"Dts=H","Dir=H",CONCATENATE("Points=",$B$1129),"Sort=R","Days=A","Fill=B",CONCATENATE("FX=", $B$1127),"cols=5;rows=1")</f>
        <v/>
      </c>
      <c r="G1692">
        <v>0.65359999999999996</v>
      </c>
      <c r="H1692">
        <v>0.56999999999999995</v>
      </c>
      <c r="I1692">
        <v>0.63</v>
      </c>
      <c r="J1692">
        <v>0.64700000000000002</v>
      </c>
      <c r="K1692" t="str">
        <f>""</f>
        <v/>
      </c>
      <c r="L1692" t="str">
        <f>""</f>
        <v/>
      </c>
      <c r="M1692" t="str">
        <f>""</f>
        <v/>
      </c>
      <c r="N1692" t="str">
        <f>""</f>
        <v/>
      </c>
      <c r="O1692" t="str">
        <f>""</f>
        <v/>
      </c>
    </row>
    <row r="1693" spans="1:15" x14ac:dyDescent="0.25">
      <c r="A1693" t="str">
        <f>$A$592</f>
        <v xml:space="preserve">                    Lonking Holdings Ltd</v>
      </c>
      <c r="B1693" t="str">
        <f>$B$592</f>
        <v>3339 HK Equity</v>
      </c>
      <c r="C1693" t="str">
        <f>$C$592</f>
        <v>F0946</v>
      </c>
      <c r="D1693" t="str">
        <f>$D$592</f>
        <v>TOTAL_GHG_CO2_EMISSIONS</v>
      </c>
      <c r="E1693" t="str">
        <f>$E$592</f>
        <v>Dynamic</v>
      </c>
      <c r="F1693" t="str">
        <f ca="1">_xll.BDH($B$592,$C$592,$B$1130,$B$1131,CONCATENATE("Per=",$B$1128),"Dts=H","Dir=H",CONCATENATE("Points=",$B$1129),"Sort=R","Days=A","Fill=B",CONCATENATE("FX=", $B$1127),"cols=5;rows=1")</f>
        <v/>
      </c>
      <c r="G1693">
        <v>0.27179999999999999</v>
      </c>
      <c r="H1693">
        <v>0.26369999999999999</v>
      </c>
      <c r="I1693">
        <v>0.22589999999999999</v>
      </c>
      <c r="J1693">
        <v>0.24249999999999999</v>
      </c>
      <c r="K1693" t="str">
        <f>""</f>
        <v/>
      </c>
      <c r="L1693" t="str">
        <f>""</f>
        <v/>
      </c>
      <c r="M1693" t="str">
        <f>""</f>
        <v/>
      </c>
      <c r="N1693" t="str">
        <f>""</f>
        <v/>
      </c>
      <c r="O1693" t="str">
        <f>""</f>
        <v/>
      </c>
    </row>
    <row r="1694" spans="1:15" x14ac:dyDescent="0.25">
      <c r="A1694" t="str">
        <f>$A$593</f>
        <v xml:space="preserve">                    Liebherr-International Deutsch</v>
      </c>
      <c r="B1694" t="str">
        <f>$B$593</f>
        <v>LIEB GR Equity</v>
      </c>
      <c r="C1694" t="str">
        <f>$C$593</f>
        <v>F0946</v>
      </c>
      <c r="D1694" t="str">
        <f>$D$593</f>
        <v>TOTAL_GHG_CO2_EMISSIONS</v>
      </c>
      <c r="E1694" t="str">
        <f>$E$593</f>
        <v>Dynamic</v>
      </c>
      <c r="F1694" t="str">
        <f ca="1">_xll.BDH($B$593,$C$593,$B$1130,$B$1131,CONCATENATE("Per=",$B$1128),"Dts=H","Dir=H",CONCATENATE("Points=",$B$1129),"Sort=R","Days=A","Fill=B",CONCATENATE("FX=", $B$1127) )</f>
        <v/>
      </c>
      <c r="K1694" t="str">
        <f>""</f>
        <v/>
      </c>
      <c r="L1694" t="str">
        <f>""</f>
        <v/>
      </c>
      <c r="M1694" t="str">
        <f>""</f>
        <v/>
      </c>
      <c r="N1694" t="str">
        <f>""</f>
        <v/>
      </c>
      <c r="O1694" t="str">
        <f>""</f>
        <v/>
      </c>
    </row>
    <row r="1695" spans="1:15" x14ac:dyDescent="0.25">
      <c r="A1695" t="str">
        <f>$A$594</f>
        <v xml:space="preserve">                    Lindsay Corp</v>
      </c>
      <c r="B1695" t="str">
        <f>$B$594</f>
        <v>LNN US Equity</v>
      </c>
      <c r="C1695" t="str">
        <f>$C$594</f>
        <v>F0946</v>
      </c>
      <c r="D1695" t="str">
        <f>$D$594</f>
        <v>TOTAL_GHG_CO2_EMISSIONS</v>
      </c>
      <c r="E1695" t="str">
        <f>$E$594</f>
        <v>Dynamic</v>
      </c>
      <c r="F1695" t="str">
        <f ca="1">_xll.BDH($B$594,$C$594,$B$1130,$B$1131,CONCATENATE("Per=",$B$1128),"Dts=H","Dir=H",CONCATENATE("Points=",$B$1129),"Sort=R","Days=A","Fill=B",CONCATENATE("FX=", $B$1127) )</f>
        <v/>
      </c>
      <c r="K1695" t="str">
        <f>""</f>
        <v/>
      </c>
      <c r="L1695" t="str">
        <f>""</f>
        <v/>
      </c>
      <c r="M1695" t="str">
        <f>""</f>
        <v/>
      </c>
      <c r="N1695" t="str">
        <f>""</f>
        <v/>
      </c>
      <c r="O1695" t="str">
        <f>""</f>
        <v/>
      </c>
    </row>
    <row r="1696" spans="1:15" x14ac:dyDescent="0.25">
      <c r="A1696" t="str">
        <f>$A$595</f>
        <v xml:space="preserve">                    Mahindra &amp; Mahindra Ltd</v>
      </c>
      <c r="B1696" t="str">
        <f>$B$595</f>
        <v>MM IN Equity</v>
      </c>
      <c r="C1696" t="str">
        <f>$C$595</f>
        <v>F0946</v>
      </c>
      <c r="D1696" t="str">
        <f>$D$595</f>
        <v>TOTAL_GHG_CO2_EMISSIONS</v>
      </c>
      <c r="E1696" t="str">
        <f>$E$595</f>
        <v>Dynamic</v>
      </c>
      <c r="F1696" t="str">
        <f ca="1">_xll.BDH($B$595,$C$595,$B$1130,$B$1131,CONCATENATE("Per=",$B$1128),"Dts=H","Dir=H",CONCATENATE("Points=",$B$1129),"Sort=R","Days=A","Fill=B",CONCATENATE("FX=", $B$1127),"cols=5;rows=1")</f>
        <v/>
      </c>
      <c r="G1696">
        <v>0</v>
      </c>
      <c r="H1696">
        <v>0.314</v>
      </c>
      <c r="I1696">
        <v>0.34870000000000001</v>
      </c>
      <c r="J1696">
        <v>0.40160000000000001</v>
      </c>
      <c r="K1696" t="str">
        <f>""</f>
        <v/>
      </c>
      <c r="L1696" t="str">
        <f>""</f>
        <v/>
      </c>
      <c r="M1696" t="str">
        <f>""</f>
        <v/>
      </c>
      <c r="N1696" t="str">
        <f>""</f>
        <v/>
      </c>
      <c r="O1696" t="str">
        <f>""</f>
        <v/>
      </c>
    </row>
    <row r="1697" spans="1:15" x14ac:dyDescent="0.25">
      <c r="A1697" t="str">
        <f>$A$596</f>
        <v xml:space="preserve">                    Metso Outotec Oyj</v>
      </c>
      <c r="B1697" t="str">
        <f>$B$596</f>
        <v>MOCORP FH Equity</v>
      </c>
      <c r="C1697" t="str">
        <f>$C$596</f>
        <v>F0946</v>
      </c>
      <c r="D1697" t="str">
        <f>$D$596</f>
        <v>TOTAL_GHG_CO2_EMISSIONS</v>
      </c>
      <c r="E1697" t="str">
        <f>$E$596</f>
        <v>Dynamic</v>
      </c>
      <c r="F1697">
        <f ca="1">_xll.BDH($B$596,$C$596,$B$1130,$B$1131,CONCATENATE("Per=",$B$1128),"Dts=H","Dir=H",CONCATENATE("Points=",$B$1129),"Sort=R","Days=A","Fill=B",CONCATENATE("FX=", $B$1127),"cols=5;rows=1")</f>
        <v>0.1338</v>
      </c>
      <c r="G1697">
        <v>0.13489999999999999</v>
      </c>
      <c r="H1697">
        <v>0.1074</v>
      </c>
      <c r="I1697">
        <v>0.11799999999999999</v>
      </c>
      <c r="K1697" t="str">
        <f>""</f>
        <v/>
      </c>
      <c r="L1697" t="str">
        <f>""</f>
        <v/>
      </c>
      <c r="M1697" t="str">
        <f>""</f>
        <v/>
      </c>
      <c r="N1697" t="str">
        <f>""</f>
        <v/>
      </c>
      <c r="O1697" t="str">
        <f>""</f>
        <v/>
      </c>
    </row>
    <row r="1698" spans="1:15" x14ac:dyDescent="0.25">
      <c r="A1698" t="str">
        <f>$A$597</f>
        <v xml:space="preserve">                    Manitou BF SA</v>
      </c>
      <c r="B1698" t="str">
        <f>$B$597</f>
        <v>MTU FP Equity</v>
      </c>
      <c r="C1698" t="str">
        <f>$C$597</f>
        <v>F0946</v>
      </c>
      <c r="D1698" t="str">
        <f>$D$597</f>
        <v>TOTAL_GHG_CO2_EMISSIONS</v>
      </c>
      <c r="E1698" t="str">
        <f>$E$597</f>
        <v>Dynamic</v>
      </c>
      <c r="F1698">
        <f ca="1">_xll.BDH($B$597,$C$597,$B$1130,$B$1131,CONCATENATE("Per=",$B$1128),"Dts=H","Dir=H",CONCATENATE("Points=",$B$1129),"Sort=R","Days=A","Fill=B",CONCATENATE("FX=", $B$1127),"cols=5;rows=1")</f>
        <v>2.5100000000000001E-2</v>
      </c>
      <c r="G1698">
        <v>2.5600000000000001E-2</v>
      </c>
      <c r="H1698">
        <v>8.9999999999999998E-4</v>
      </c>
      <c r="I1698">
        <v>6.9999999999999999E-4</v>
      </c>
      <c r="K1698" t="str">
        <f>""</f>
        <v/>
      </c>
      <c r="L1698" t="str">
        <f>""</f>
        <v/>
      </c>
      <c r="M1698" t="str">
        <f>""</f>
        <v/>
      </c>
      <c r="N1698" t="str">
        <f>""</f>
        <v/>
      </c>
      <c r="O1698" t="str">
        <f>""</f>
        <v/>
      </c>
    </row>
    <row r="1699" spans="1:15" x14ac:dyDescent="0.25">
      <c r="A1699" t="str">
        <f>$A$598</f>
        <v xml:space="preserve">                    Manitowoc Co Inc/The</v>
      </c>
      <c r="B1699" t="str">
        <f>$B$598</f>
        <v>MTW US Equity</v>
      </c>
      <c r="C1699" t="str">
        <f>$C$598</f>
        <v>F0946</v>
      </c>
      <c r="D1699" t="str">
        <f>$D$598</f>
        <v>TOTAL_GHG_CO2_EMISSIONS</v>
      </c>
      <c r="E1699" t="str">
        <f>$E$598</f>
        <v>Dynamic</v>
      </c>
      <c r="F1699">
        <f ca="1">_xll.BDH($B$598,$C$598,$B$1130,$B$1131,CONCATENATE("Per=",$B$1128),"Dts=H","Dir=H",CONCATENATE("Points=",$B$1129),"Sort=R","Days=A","Fill=B",CONCATENATE("FX=", $B$1127),"cols=5;rows=1")</f>
        <v>3.78E-2</v>
      </c>
      <c r="G1699">
        <v>4.3999999999999997E-2</v>
      </c>
      <c r="H1699">
        <v>4.2900000000000001E-2</v>
      </c>
      <c r="I1699">
        <v>4.9000000000000002E-2</v>
      </c>
      <c r="K1699" t="str">
        <f>""</f>
        <v/>
      </c>
      <c r="L1699" t="str">
        <f>""</f>
        <v/>
      </c>
      <c r="M1699" t="str">
        <f>""</f>
        <v/>
      </c>
      <c r="N1699" t="str">
        <f>""</f>
        <v/>
      </c>
      <c r="O1699" t="str">
        <f>""</f>
        <v/>
      </c>
    </row>
    <row r="1700" spans="1:15" x14ac:dyDescent="0.25">
      <c r="A1700" t="str">
        <f>$A$599</f>
        <v xml:space="preserve">                    Neles Oyj</v>
      </c>
      <c r="B1700" t="str">
        <f>$B$599</f>
        <v>NELES FH Equity</v>
      </c>
      <c r="C1700" t="str">
        <f>$C$599</f>
        <v>F0946</v>
      </c>
      <c r="D1700" t="str">
        <f>$D$599</f>
        <v>TOTAL_GHG_CO2_EMISSIONS</v>
      </c>
      <c r="E1700" t="str">
        <f>$E$599</f>
        <v>Dynamic</v>
      </c>
      <c r="F1700" t="str">
        <f ca="1">_xll.BDH($B$599,$C$599,$B$1130,$B$1131,CONCATENATE("Per=",$B$1128),"Dts=H","Dir=H",CONCATENATE("Points=",$B$1129),"Sort=R","Days=A","Fill=B",CONCATENATE("FX=", $B$1127),"cols=5;rows=1")</f>
        <v/>
      </c>
      <c r="G1700">
        <v>8.9999999999999993E-3</v>
      </c>
      <c r="H1700">
        <v>1.01E-2</v>
      </c>
      <c r="I1700">
        <v>1.0200000000000001E-2</v>
      </c>
      <c r="J1700">
        <v>0.13719999999999999</v>
      </c>
      <c r="K1700" t="str">
        <f>""</f>
        <v/>
      </c>
      <c r="L1700" t="str">
        <f>""</f>
        <v/>
      </c>
      <c r="M1700" t="str">
        <f>""</f>
        <v/>
      </c>
      <c r="N1700" t="str">
        <f>""</f>
        <v/>
      </c>
      <c r="O1700" t="str">
        <f>""</f>
        <v/>
      </c>
    </row>
    <row r="1701" spans="1:15" x14ac:dyDescent="0.25">
      <c r="A1701" t="str">
        <f>$A$600</f>
        <v xml:space="preserve">                    Netafim Ltd</v>
      </c>
      <c r="B1701" t="str">
        <f>$B$600</f>
        <v>1024923Z IT Equity</v>
      </c>
      <c r="C1701" t="str">
        <f>$C$600</f>
        <v>F0946</v>
      </c>
      <c r="D1701" t="str">
        <f>$D$600</f>
        <v>TOTAL_GHG_CO2_EMISSIONS</v>
      </c>
      <c r="E1701" t="str">
        <f>$E$600</f>
        <v>Dynamic</v>
      </c>
      <c r="F1701" t="str">
        <f ca="1">_xll.BDH($B$600,$C$600,$B$1130,$B$1131,CONCATENATE("Per=",$B$1128),"Dts=H","Dir=H",CONCATENATE("Points=",$B$1129),"Sort=R","Days=A","Fill=B",CONCATENATE("FX=", $B$1127) )</f>
        <v/>
      </c>
      <c r="K1701" t="str">
        <f>""</f>
        <v/>
      </c>
      <c r="L1701" t="str">
        <f>""</f>
        <v/>
      </c>
      <c r="M1701" t="str">
        <f>""</f>
        <v/>
      </c>
      <c r="N1701" t="str">
        <f>""</f>
        <v/>
      </c>
      <c r="O1701" t="str">
        <f>""</f>
        <v/>
      </c>
    </row>
    <row r="1702" spans="1:15" x14ac:dyDescent="0.25">
      <c r="A1702" t="str">
        <f>$A$601</f>
        <v xml:space="preserve">                    Oshkosh Corp</v>
      </c>
      <c r="B1702" t="str">
        <f>$B$601</f>
        <v>OSK US Equity</v>
      </c>
      <c r="C1702" t="str">
        <f>$C$601</f>
        <v>F0946</v>
      </c>
      <c r="D1702" t="str">
        <f>$D$601</f>
        <v>TOTAL_GHG_CO2_EMISSIONS</v>
      </c>
      <c r="E1702" t="str">
        <f>$E$601</f>
        <v>Dynamic</v>
      </c>
      <c r="F1702" t="str">
        <f ca="1">_xll.BDH($B$601,$C$601,$B$1130,$B$1131,CONCATENATE("Per=",$B$1128),"Dts=H","Dir=H",CONCATENATE("Points=",$B$1129),"Sort=R","Days=A","Fill=B",CONCATENATE("FX=", $B$1127),"cols=5;rows=1")</f>
        <v/>
      </c>
      <c r="G1702">
        <v>0.1295</v>
      </c>
      <c r="H1702">
        <v>0.14360000000000001</v>
      </c>
      <c r="I1702">
        <v>0.1628</v>
      </c>
      <c r="J1702">
        <v>0.16189999999999999</v>
      </c>
      <c r="K1702" t="str">
        <f>""</f>
        <v/>
      </c>
      <c r="L1702" t="str">
        <f>""</f>
        <v/>
      </c>
      <c r="M1702" t="str">
        <f>""</f>
        <v/>
      </c>
      <c r="N1702" t="str">
        <f>""</f>
        <v/>
      </c>
      <c r="O1702" t="str">
        <f>""</f>
        <v/>
      </c>
    </row>
    <row r="1703" spans="1:15" x14ac:dyDescent="0.25">
      <c r="A1703" t="str">
        <f>$A$602</f>
        <v xml:space="preserve">                    Ponsse Oyj</v>
      </c>
      <c r="B1703" t="str">
        <f>$B$602</f>
        <v>PON1V FH Equity</v>
      </c>
      <c r="C1703" t="str">
        <f>$C$602</f>
        <v>F0946</v>
      </c>
      <c r="D1703" t="str">
        <f>$D$602</f>
        <v>TOTAL_GHG_CO2_EMISSIONS</v>
      </c>
      <c r="E1703" t="str">
        <f>$E$602</f>
        <v>Dynamic</v>
      </c>
      <c r="F1703" t="str">
        <f ca="1">_xll.BDH($B$602,$C$602,$B$1130,$B$1131,CONCATENATE("Per=",$B$1128),"Dts=H","Dir=H",CONCATENATE("Points=",$B$1129),"Sort=R","Days=A","Fill=B",CONCATENATE("FX=", $B$1127) )</f>
        <v/>
      </c>
      <c r="K1703" t="str">
        <f>""</f>
        <v/>
      </c>
      <c r="L1703" t="str">
        <f>""</f>
        <v/>
      </c>
      <c r="M1703" t="str">
        <f>""</f>
        <v/>
      </c>
      <c r="N1703" t="str">
        <f>""</f>
        <v/>
      </c>
      <c r="O1703" t="str">
        <f>""</f>
        <v/>
      </c>
    </row>
    <row r="1704" spans="1:15" x14ac:dyDescent="0.25">
      <c r="A1704" t="str">
        <f>$A$603</f>
        <v xml:space="preserve">                    Production Association Minsk T</v>
      </c>
      <c r="B1704" t="str">
        <f>$B$603</f>
        <v>4625973Z RB Equity</v>
      </c>
      <c r="C1704" t="str">
        <f>$C$603</f>
        <v>F0946</v>
      </c>
      <c r="D1704" t="str">
        <f>$D$603</f>
        <v>TOTAL_GHG_CO2_EMISSIONS</v>
      </c>
      <c r="E1704" t="str">
        <f>$E$603</f>
        <v>Dynamic</v>
      </c>
      <c r="F1704" t="str">
        <f ca="1">_xll.BDH($B$603,$C$603,$B$1130,$B$1131,CONCATENATE("Per=",$B$1128),"Dts=H","Dir=H",CONCATENATE("Points=",$B$1129),"Sort=R","Days=A","Fill=B",CONCATENATE("FX=", $B$1127) )</f>
        <v/>
      </c>
      <c r="K1704" t="str">
        <f>""</f>
        <v/>
      </c>
      <c r="L1704" t="str">
        <f>""</f>
        <v/>
      </c>
      <c r="M1704" t="str">
        <f>""</f>
        <v/>
      </c>
      <c r="N1704" t="str">
        <f>""</f>
        <v/>
      </c>
      <c r="O1704" t="str">
        <f>""</f>
        <v/>
      </c>
    </row>
    <row r="1705" spans="1:15" x14ac:dyDescent="0.25">
      <c r="A1705" t="str">
        <f>$A$604</f>
        <v xml:space="preserve">                    Ritchie Bros Auctioneers Inc</v>
      </c>
      <c r="B1705" t="str">
        <f>$B$604</f>
        <v>RBA CN Equity</v>
      </c>
      <c r="C1705" t="str">
        <f>$C$604</f>
        <v>F0946</v>
      </c>
      <c r="D1705" t="str">
        <f>$D$604</f>
        <v>TOTAL_GHG_CO2_EMISSIONS</v>
      </c>
      <c r="E1705" t="str">
        <f>$E$604</f>
        <v>Dynamic</v>
      </c>
      <c r="F1705">
        <f ca="1">_xll.BDH($B$604,$C$604,$B$1130,$B$1131,CONCATENATE("Per=",$B$1128),"Dts=H","Dir=H",CONCATENATE("Points=",$B$1129),"Sort=R","Days=A","Fill=B",CONCATENATE("FX=", $B$1127),"cols=5;rows=1")</f>
        <v>4.7E-2</v>
      </c>
      <c r="G1705">
        <v>4.6300000000000001E-2</v>
      </c>
      <c r="K1705" t="str">
        <f>""</f>
        <v/>
      </c>
      <c r="L1705" t="str">
        <f>""</f>
        <v/>
      </c>
      <c r="M1705" t="str">
        <f>""</f>
        <v/>
      </c>
      <c r="N1705" t="str">
        <f>""</f>
        <v/>
      </c>
      <c r="O1705" t="str">
        <f>""</f>
        <v/>
      </c>
    </row>
    <row r="1706" spans="1:15" x14ac:dyDescent="0.25">
      <c r="A1706" t="str">
        <f>$A$605</f>
        <v xml:space="preserve">                    SDF SpA</v>
      </c>
      <c r="B1706" t="str">
        <f>$B$605</f>
        <v>276306Z IM Equity</v>
      </c>
      <c r="C1706" t="str">
        <f>$C$605</f>
        <v>F0946</v>
      </c>
      <c r="D1706" t="str">
        <f>$D$605</f>
        <v>TOTAL_GHG_CO2_EMISSIONS</v>
      </c>
      <c r="E1706" t="str">
        <f>$E$605</f>
        <v>Dynamic</v>
      </c>
      <c r="F1706" t="str">
        <f ca="1">_xll.BDH($B$605,$C$605,$B$1130,$B$1131,CONCATENATE("Per=",$B$1128),"Dts=H","Dir=H",CONCATENATE("Points=",$B$1129),"Sort=R","Days=A","Fill=B",CONCATENATE("FX=", $B$1127) )</f>
        <v/>
      </c>
      <c r="K1706" t="str">
        <f>""</f>
        <v/>
      </c>
      <c r="L1706" t="str">
        <f>""</f>
        <v/>
      </c>
      <c r="M1706" t="str">
        <f>""</f>
        <v/>
      </c>
      <c r="N1706" t="str">
        <f>""</f>
        <v/>
      </c>
      <c r="O1706" t="str">
        <f>""</f>
        <v/>
      </c>
    </row>
    <row r="1707" spans="1:15" x14ac:dyDescent="0.25">
      <c r="A1707" t="str">
        <f>$A$606</f>
        <v xml:space="preserve">                    Sany Heavy Industry Co Ltd</v>
      </c>
      <c r="B1707" t="str">
        <f>$B$606</f>
        <v>600031 CH Equity</v>
      </c>
      <c r="C1707" t="str">
        <f>$C$606</f>
        <v>F0946</v>
      </c>
      <c r="D1707" t="str">
        <f>$D$606</f>
        <v>TOTAL_GHG_CO2_EMISSIONS</v>
      </c>
      <c r="E1707" t="str">
        <f>$E$606</f>
        <v>Dynamic</v>
      </c>
      <c r="F1707" t="str">
        <f ca="1">_xll.BDH($B$606,$C$606,$B$1130,$B$1131,CONCATENATE("Per=",$B$1128),"Dts=H","Dir=H",CONCATENATE("Points=",$B$1129),"Sort=R","Days=A","Fill=B",CONCATENATE("FX=", $B$1127),"cols=5;rows=1")</f>
        <v/>
      </c>
      <c r="G1707">
        <v>0.45029999999999998</v>
      </c>
      <c r="K1707" t="str">
        <f>""</f>
        <v/>
      </c>
      <c r="L1707" t="str">
        <f>""</f>
        <v/>
      </c>
      <c r="M1707" t="str">
        <f>""</f>
        <v/>
      </c>
      <c r="N1707" t="str">
        <f>""</f>
        <v/>
      </c>
      <c r="O1707" t="str">
        <f>""</f>
        <v/>
      </c>
    </row>
    <row r="1708" spans="1:15" x14ac:dyDescent="0.25">
      <c r="A1708" t="str">
        <f>$A$607</f>
        <v xml:space="preserve">                    Seven Group Holdings Ltd</v>
      </c>
      <c r="B1708" t="str">
        <f>$B$607</f>
        <v>SVW AU Equity</v>
      </c>
      <c r="C1708" t="str">
        <f>$C$607</f>
        <v>F0946</v>
      </c>
      <c r="D1708" t="str">
        <f>$D$607</f>
        <v>TOTAL_GHG_CO2_EMISSIONS</v>
      </c>
      <c r="E1708" t="str">
        <f>$E$607</f>
        <v>Dynamic</v>
      </c>
      <c r="F1708" t="str">
        <f ca="1">_xll.BDH($B$607,$C$607,$B$1130,$B$1131,CONCATENATE("Per=",$B$1128),"Dts=H","Dir=H",CONCATENATE("Points=",$B$1129),"Sort=R","Days=A","Fill=B",CONCATENATE("FX=", $B$1127),"cols=5;rows=1")</f>
        <v/>
      </c>
      <c r="G1708">
        <v>4.6100000000000002E-2</v>
      </c>
      <c r="K1708" t="str">
        <f>""</f>
        <v/>
      </c>
      <c r="L1708" t="str">
        <f>""</f>
        <v/>
      </c>
      <c r="M1708" t="str">
        <f>""</f>
        <v/>
      </c>
      <c r="N1708" t="str">
        <f>""</f>
        <v/>
      </c>
      <c r="O1708" t="str">
        <f>""</f>
        <v/>
      </c>
    </row>
    <row r="1709" spans="1:15" x14ac:dyDescent="0.25">
      <c r="A1709" t="str">
        <f>$A$608</f>
        <v xml:space="preserve">                    Shandong Lingong Construction</v>
      </c>
      <c r="B1709" t="str">
        <f>$B$608</f>
        <v>SHANGDZ CH Equity</v>
      </c>
      <c r="C1709" t="str">
        <f>$C$608</f>
        <v>F0946</v>
      </c>
      <c r="D1709" t="str">
        <f>$D$608</f>
        <v>TOTAL_GHG_CO2_EMISSIONS</v>
      </c>
      <c r="E1709" t="str">
        <f>$E$608</f>
        <v>Dynamic</v>
      </c>
      <c r="F1709" t="str">
        <f ca="1">_xll.BDH($B$608,$C$608,$B$1130,$B$1131,CONCATENATE("Per=",$B$1128),"Dts=H","Dir=H",CONCATENATE("Points=",$B$1129),"Sort=R","Days=A","Fill=B",CONCATENATE("FX=", $B$1127) )</f>
        <v/>
      </c>
      <c r="K1709" t="str">
        <f>""</f>
        <v/>
      </c>
      <c r="L1709" t="str">
        <f>""</f>
        <v/>
      </c>
      <c r="M1709" t="str">
        <f>""</f>
        <v/>
      </c>
      <c r="N1709" t="str">
        <f>""</f>
        <v/>
      </c>
      <c r="O1709" t="str">
        <f>""</f>
        <v/>
      </c>
    </row>
    <row r="1710" spans="1:15" x14ac:dyDescent="0.25">
      <c r="A1710" t="str">
        <f>$A$609</f>
        <v xml:space="preserve">                    Shantui Construction Machinery</v>
      </c>
      <c r="B1710" t="str">
        <f>$B$609</f>
        <v>000680 CH Equity</v>
      </c>
      <c r="C1710" t="str">
        <f>$C$609</f>
        <v>F0946</v>
      </c>
      <c r="D1710" t="str">
        <f>$D$609</f>
        <v>TOTAL_GHG_CO2_EMISSIONS</v>
      </c>
      <c r="E1710" t="str">
        <f>$E$609</f>
        <v>Dynamic</v>
      </c>
      <c r="F1710" t="str">
        <f ca="1">_xll.BDH($B$609,$C$609,$B$1130,$B$1131,CONCATENATE("Per=",$B$1128),"Dts=H","Dir=H",CONCATENATE("Points=",$B$1129),"Sort=R","Days=A","Fill=B",CONCATENATE("FX=", $B$1127) )</f>
        <v/>
      </c>
      <c r="K1710" t="str">
        <f>""</f>
        <v/>
      </c>
      <c r="L1710" t="str">
        <f>""</f>
        <v/>
      </c>
      <c r="M1710" t="str">
        <f>""</f>
        <v/>
      </c>
      <c r="N1710" t="str">
        <f>""</f>
        <v/>
      </c>
      <c r="O1710" t="str">
        <f>""</f>
        <v/>
      </c>
    </row>
    <row r="1711" spans="1:15" x14ac:dyDescent="0.25">
      <c r="A1711" t="str">
        <f>$A$610</f>
        <v xml:space="preserve">                    Sichuan Chengdu Chenggong Cons</v>
      </c>
      <c r="B1711" t="str">
        <f>$B$610</f>
        <v>SCCCMZ CH Equity</v>
      </c>
      <c r="C1711" t="str">
        <f>$C$610</f>
        <v>F0946</v>
      </c>
      <c r="D1711" t="str">
        <f>$D$610</f>
        <v>TOTAL_GHG_CO2_EMISSIONS</v>
      </c>
      <c r="E1711" t="str">
        <f>$E$610</f>
        <v>Dynamic</v>
      </c>
      <c r="F1711" t="str">
        <f ca="1">_xll.BDH($B$610,$C$610,$B$1130,$B$1131,CONCATENATE("Per=",$B$1128),"Dts=H","Dir=H",CONCATENATE("Points=",$B$1129),"Sort=R","Days=A","Fill=B",CONCATENATE("FX=", $B$1127) )</f>
        <v/>
      </c>
      <c r="K1711" t="str">
        <f>""</f>
        <v/>
      </c>
      <c r="L1711" t="str">
        <f>""</f>
        <v/>
      </c>
      <c r="M1711" t="str">
        <f>""</f>
        <v/>
      </c>
      <c r="N1711" t="str">
        <f>""</f>
        <v/>
      </c>
      <c r="O1711" t="str">
        <f>""</f>
        <v/>
      </c>
    </row>
    <row r="1712" spans="1:15" x14ac:dyDescent="0.25">
      <c r="A1712" t="str">
        <f>$A$611</f>
        <v xml:space="preserve">                    Sime Darby Bhd</v>
      </c>
      <c r="B1712" t="str">
        <f>$B$611</f>
        <v>SIME MK Equity</v>
      </c>
      <c r="C1712" t="str">
        <f>$C$611</f>
        <v>F0946</v>
      </c>
      <c r="D1712" t="str">
        <f>$D$611</f>
        <v>TOTAL_GHG_CO2_EMISSIONS</v>
      </c>
      <c r="E1712" t="str">
        <f>$E$611</f>
        <v>Dynamic</v>
      </c>
      <c r="F1712" t="str">
        <f ca="1">_xll.BDH($B$611,$C$611,$B$1130,$B$1131,CONCATENATE("Per=",$B$1128),"Dts=H","Dir=H",CONCATENATE("Points=",$B$1129),"Sort=R","Days=A","Fill=B",CONCATENATE("FX=", $B$1127),"cols=5;rows=1")</f>
        <v/>
      </c>
      <c r="G1712">
        <v>0.11</v>
      </c>
      <c r="K1712" t="str">
        <f>""</f>
        <v/>
      </c>
      <c r="L1712" t="str">
        <f>""</f>
        <v/>
      </c>
      <c r="M1712" t="str">
        <f>""</f>
        <v/>
      </c>
      <c r="N1712" t="str">
        <f>""</f>
        <v/>
      </c>
      <c r="O1712" t="str">
        <f>""</f>
        <v/>
      </c>
    </row>
    <row r="1713" spans="1:15" x14ac:dyDescent="0.25">
      <c r="A1713" t="str">
        <f>$A$612</f>
        <v xml:space="preserve">                    Sumec Corp Ltd</v>
      </c>
      <c r="B1713" t="str">
        <f>$B$612</f>
        <v>600710 CH Equity</v>
      </c>
      <c r="C1713" t="str">
        <f>$C$612</f>
        <v>F0946</v>
      </c>
      <c r="D1713" t="str">
        <f>$D$612</f>
        <v>TOTAL_GHG_CO2_EMISSIONS</v>
      </c>
      <c r="E1713" t="str">
        <f>$E$612</f>
        <v>Dynamic</v>
      </c>
      <c r="F1713" t="str">
        <f ca="1">_xll.BDH($B$612,$C$612,$B$1130,$B$1131,CONCATENATE("Per=",$B$1128),"Dts=H","Dir=H",CONCATENATE("Points=",$B$1129),"Sort=R","Days=A","Fill=B",CONCATENATE("FX=", $B$1127) )</f>
        <v/>
      </c>
      <c r="K1713" t="str">
        <f>""</f>
        <v/>
      </c>
      <c r="L1713" t="str">
        <f>""</f>
        <v/>
      </c>
      <c r="M1713" t="str">
        <f>""</f>
        <v/>
      </c>
      <c r="N1713" t="str">
        <f>""</f>
        <v/>
      </c>
      <c r="O1713" t="str">
        <f>""</f>
        <v/>
      </c>
    </row>
    <row r="1714" spans="1:15" x14ac:dyDescent="0.25">
      <c r="A1714" t="str">
        <f>$A$613</f>
        <v xml:space="preserve">                    Sandvik AB</v>
      </c>
      <c r="B1714" t="str">
        <f>$B$613</f>
        <v>SAND SS Equity</v>
      </c>
      <c r="C1714" t="str">
        <f>$C$613</f>
        <v>F0946</v>
      </c>
      <c r="D1714" t="str">
        <f>$D$613</f>
        <v>TOTAL_GHG_CO2_EMISSIONS</v>
      </c>
      <c r="E1714" t="str">
        <f>$E$613</f>
        <v>Dynamic</v>
      </c>
      <c r="F1714">
        <f ca="1">_xll.BDH($B$613,$C$613,$B$1130,$B$1131,CONCATENATE("Per=",$B$1128),"Dts=H","Dir=H",CONCATENATE("Points=",$B$1129),"Sort=R","Days=A","Fill=B",CONCATENATE("FX=", $B$1127),"cols=5;rows=1")</f>
        <v>0.26500000000000001</v>
      </c>
      <c r="G1714">
        <v>0.41699999999999998</v>
      </c>
      <c r="H1714">
        <v>0.38600000000000001</v>
      </c>
      <c r="I1714">
        <v>0.45</v>
      </c>
      <c r="J1714">
        <v>0.46700000000000003</v>
      </c>
      <c r="K1714" t="str">
        <f>""</f>
        <v/>
      </c>
      <c r="L1714" t="str">
        <f>""</f>
        <v/>
      </c>
      <c r="M1714" t="str">
        <f>""</f>
        <v/>
      </c>
      <c r="N1714" t="str">
        <f>""</f>
        <v/>
      </c>
      <c r="O1714" t="str">
        <f>""</f>
        <v/>
      </c>
    </row>
    <row r="1715" spans="1:15" x14ac:dyDescent="0.25">
      <c r="A1715" t="str">
        <f>$A$614</f>
        <v xml:space="preserve">                    Strong Construction Machinery</v>
      </c>
      <c r="B1715" t="str">
        <f>$B$614</f>
        <v>STRONZ CH Equity</v>
      </c>
      <c r="C1715" t="str">
        <f>$C$614</f>
        <v>F0946</v>
      </c>
      <c r="D1715" t="str">
        <f>$D$614</f>
        <v>TOTAL_GHG_CO2_EMISSIONS</v>
      </c>
      <c r="E1715" t="str">
        <f>$E$614</f>
        <v>Dynamic</v>
      </c>
      <c r="F1715" t="str">
        <f ca="1">_xll.BDH($B$614,$C$614,$B$1130,$B$1131,CONCATENATE("Per=",$B$1128),"Dts=H","Dir=H",CONCATENATE("Points=",$B$1129),"Sort=R","Days=A","Fill=B",CONCATENATE("FX=", $B$1127) )</f>
        <v/>
      </c>
      <c r="K1715" t="str">
        <f>""</f>
        <v/>
      </c>
      <c r="L1715" t="str">
        <f>""</f>
        <v/>
      </c>
      <c r="M1715" t="str">
        <f>""</f>
        <v/>
      </c>
      <c r="N1715" t="str">
        <f>""</f>
        <v/>
      </c>
      <c r="O1715" t="str">
        <f>""</f>
        <v/>
      </c>
    </row>
    <row r="1716" spans="1:15" x14ac:dyDescent="0.25">
      <c r="A1716" t="str">
        <f>$A$615</f>
        <v xml:space="preserve">                    Sumitomo Heavy Industries Ltd</v>
      </c>
      <c r="B1716" t="str">
        <f>$B$615</f>
        <v>6302 JP Equity</v>
      </c>
      <c r="C1716" t="str">
        <f>$C$615</f>
        <v>F0946</v>
      </c>
      <c r="D1716" t="str">
        <f>$D$615</f>
        <v>TOTAL_GHG_CO2_EMISSIONS</v>
      </c>
      <c r="E1716" t="str">
        <f>$E$615</f>
        <v>Dynamic</v>
      </c>
      <c r="F1716" t="str">
        <f ca="1">_xll.BDH($B$615,$C$615,$B$1130,$B$1131,CONCATENATE("Per=",$B$1128),"Dts=H","Dir=H",CONCATENATE("Points=",$B$1129),"Sort=R","Days=A","Fill=B",CONCATENATE("FX=", $B$1127),"cols=5;rows=1")</f>
        <v/>
      </c>
      <c r="H1716">
        <v>0.1734</v>
      </c>
      <c r="I1716">
        <v>0.1903</v>
      </c>
      <c r="J1716">
        <v>0.1986</v>
      </c>
      <c r="K1716" t="str">
        <f>""</f>
        <v/>
      </c>
      <c r="L1716" t="str">
        <f>""</f>
        <v/>
      </c>
      <c r="M1716" t="str">
        <f>""</f>
        <v/>
      </c>
      <c r="N1716" t="str">
        <f>""</f>
        <v/>
      </c>
      <c r="O1716" t="str">
        <f>""</f>
        <v/>
      </c>
    </row>
    <row r="1717" spans="1:15" x14ac:dyDescent="0.25">
      <c r="A1717" t="str">
        <f>$A$616</f>
        <v xml:space="preserve">                    Sunward Intelligent Equipment</v>
      </c>
      <c r="B1717" t="str">
        <f>$B$616</f>
        <v>002097 CH Equity</v>
      </c>
      <c r="C1717" t="str">
        <f>$C$616</f>
        <v>F0946</v>
      </c>
      <c r="D1717" t="str">
        <f>$D$616</f>
        <v>TOTAL_GHG_CO2_EMISSIONS</v>
      </c>
      <c r="E1717" t="str">
        <f>$E$616</f>
        <v>Dynamic</v>
      </c>
      <c r="F1717" t="str">
        <f ca="1">_xll.BDH($B$616,$C$616,$B$1130,$B$1131,CONCATENATE("Per=",$B$1128),"Dts=H","Dir=H",CONCATENATE("Points=",$B$1129),"Sort=R","Days=A","Fill=B",CONCATENATE("FX=", $B$1127) )</f>
        <v/>
      </c>
      <c r="K1717" t="str">
        <f>""</f>
        <v/>
      </c>
      <c r="L1717" t="str">
        <f>""</f>
        <v/>
      </c>
      <c r="M1717" t="str">
        <f>""</f>
        <v/>
      </c>
      <c r="N1717" t="str">
        <f>""</f>
        <v/>
      </c>
      <c r="O1717" t="str">
        <f>""</f>
        <v/>
      </c>
    </row>
    <row r="1718" spans="1:15" x14ac:dyDescent="0.25">
      <c r="A1718" t="str">
        <f>$A$617</f>
        <v xml:space="preserve">                    Titan International Inc</v>
      </c>
      <c r="B1718" t="str">
        <f>$B$617</f>
        <v>TWI US Equity</v>
      </c>
      <c r="C1718" t="str">
        <f>$C$617</f>
        <v>F0946</v>
      </c>
      <c r="D1718" t="str">
        <f>$D$617</f>
        <v>TOTAL_GHG_CO2_EMISSIONS</v>
      </c>
      <c r="E1718" t="str">
        <f>$E$617</f>
        <v>Dynamic</v>
      </c>
      <c r="F1718" t="str">
        <f ca="1">_xll.BDH($B$617,$C$617,$B$1130,$B$1131,CONCATENATE("Per=",$B$1128),"Dts=H","Dir=H",CONCATENATE("Points=",$B$1129),"Sort=R","Days=A","Fill=B",CONCATENATE("FX=", $B$1127) )</f>
        <v/>
      </c>
      <c r="K1718" t="str">
        <f>""</f>
        <v/>
      </c>
      <c r="L1718" t="str">
        <f>""</f>
        <v/>
      </c>
      <c r="M1718" t="str">
        <f>""</f>
        <v/>
      </c>
      <c r="N1718" t="str">
        <f>""</f>
        <v/>
      </c>
      <c r="O1718" t="str">
        <f>""</f>
        <v/>
      </c>
    </row>
    <row r="1719" spans="1:15" x14ac:dyDescent="0.25">
      <c r="A1719" t="str">
        <f>$A$618</f>
        <v xml:space="preserve">                    Titan Machinery Inc</v>
      </c>
      <c r="B1719" t="str">
        <f>$B$618</f>
        <v>TITN US Equity</v>
      </c>
      <c r="C1719" t="str">
        <f>$C$618</f>
        <v>F0946</v>
      </c>
      <c r="D1719" t="str">
        <f>$D$618</f>
        <v>TOTAL_GHG_CO2_EMISSIONS</v>
      </c>
      <c r="E1719" t="str">
        <f>$E$618</f>
        <v>Dynamic</v>
      </c>
      <c r="F1719" t="str">
        <f ca="1">_xll.BDH($B$618,$C$618,$B$1130,$B$1131,CONCATENATE("Per=",$B$1128),"Dts=H","Dir=H",CONCATENATE("Points=",$B$1129),"Sort=R","Days=A","Fill=B",CONCATENATE("FX=", $B$1127) )</f>
        <v/>
      </c>
      <c r="K1719" t="str">
        <f>""</f>
        <v/>
      </c>
      <c r="L1719" t="str">
        <f>""</f>
        <v/>
      </c>
      <c r="M1719" t="str">
        <f>""</f>
        <v/>
      </c>
      <c r="N1719" t="str">
        <f>""</f>
        <v/>
      </c>
      <c r="O1719" t="str">
        <f>""</f>
        <v/>
      </c>
    </row>
    <row r="1720" spans="1:15" x14ac:dyDescent="0.25">
      <c r="A1720" t="str">
        <f>$A$619</f>
        <v xml:space="preserve">                    TYM Corp</v>
      </c>
      <c r="B1720" t="str">
        <f>$B$619</f>
        <v>002900 KS Equity</v>
      </c>
      <c r="C1720" t="str">
        <f>$C$619</f>
        <v>F0946</v>
      </c>
      <c r="D1720" t="str">
        <f>$D$619</f>
        <v>TOTAL_GHG_CO2_EMISSIONS</v>
      </c>
      <c r="E1720" t="str">
        <f>$E$619</f>
        <v>Dynamic</v>
      </c>
      <c r="F1720" t="str">
        <f ca="1">_xll.BDH($B$619,$C$619,$B$1130,$B$1131,CONCATENATE("Per=",$B$1128),"Dts=H","Dir=H",CONCATENATE("Points=",$B$1129),"Sort=R","Days=A","Fill=B",CONCATENATE("FX=", $B$1127),"cols=5;rows=1")</f>
        <v/>
      </c>
      <c r="G1720">
        <v>7.4000000000000003E-3</v>
      </c>
      <c r="K1720" t="str">
        <f>""</f>
        <v/>
      </c>
      <c r="L1720" t="str">
        <f>""</f>
        <v/>
      </c>
      <c r="M1720" t="str">
        <f>""</f>
        <v/>
      </c>
      <c r="N1720" t="str">
        <f>""</f>
        <v/>
      </c>
      <c r="O1720" t="str">
        <f>""</f>
        <v/>
      </c>
    </row>
    <row r="1721" spans="1:15" x14ac:dyDescent="0.25">
      <c r="A1721" t="str">
        <f>$A$620</f>
        <v xml:space="preserve">                    Tadano Ltd</v>
      </c>
      <c r="B1721" t="str">
        <f>$B$620</f>
        <v>6395 JP Equity</v>
      </c>
      <c r="C1721" t="str">
        <f>$C$620</f>
        <v>F0946</v>
      </c>
      <c r="D1721" t="str">
        <f>$D$620</f>
        <v>TOTAL_GHG_CO2_EMISSIONS</v>
      </c>
      <c r="E1721" t="str">
        <f>$E$620</f>
        <v>Dynamic</v>
      </c>
      <c r="F1721" t="str">
        <f ca="1">_xll.BDH($B$620,$C$620,$B$1130,$B$1131,CONCATENATE("Per=",$B$1128),"Dts=H","Dir=H",CONCATENATE("Points=",$B$1129),"Sort=R","Days=A","Fill=B",CONCATENATE("FX=", $B$1127),"cols=5;rows=1")</f>
        <v/>
      </c>
      <c r="G1721">
        <v>2.8899999999999999E-2</v>
      </c>
      <c r="H1721">
        <v>2.6200000000000001E-2</v>
      </c>
      <c r="I1721">
        <v>0.03</v>
      </c>
      <c r="K1721" t="str">
        <f>""</f>
        <v/>
      </c>
      <c r="L1721" t="str">
        <f>""</f>
        <v/>
      </c>
      <c r="M1721" t="str">
        <f>""</f>
        <v/>
      </c>
      <c r="N1721" t="str">
        <f>""</f>
        <v/>
      </c>
      <c r="O1721" t="str">
        <f>""</f>
        <v/>
      </c>
    </row>
    <row r="1722" spans="1:15" x14ac:dyDescent="0.25">
      <c r="A1722" t="str">
        <f>$A$621</f>
        <v xml:space="preserve">                    Terex Corp</v>
      </c>
      <c r="B1722" t="str">
        <f>$B$621</f>
        <v>TEX US Equity</v>
      </c>
      <c r="C1722" t="str">
        <f>$C$621</f>
        <v>F0946</v>
      </c>
      <c r="D1722" t="str">
        <f>$D$621</f>
        <v>TOTAL_GHG_CO2_EMISSIONS</v>
      </c>
      <c r="E1722" t="str">
        <f>$E$621</f>
        <v>Dynamic</v>
      </c>
      <c r="F1722" t="str">
        <f ca="1">_xll.BDH($B$621,$C$621,$B$1130,$B$1131,CONCATENATE("Per=",$B$1128),"Dts=H","Dir=H",CONCATENATE("Points=",$B$1129),"Sort=R","Days=A","Fill=B",CONCATENATE("FX=", $B$1127),"cols=5;rows=1")</f>
        <v/>
      </c>
      <c r="G1722">
        <v>6.6500000000000004E-2</v>
      </c>
      <c r="H1722">
        <v>5.7599999999999998E-2</v>
      </c>
      <c r="I1722">
        <v>6.93E-2</v>
      </c>
      <c r="J1722">
        <v>8.72E-2</v>
      </c>
      <c r="K1722" t="str">
        <f>""</f>
        <v/>
      </c>
      <c r="L1722" t="str">
        <f>""</f>
        <v/>
      </c>
      <c r="M1722" t="str">
        <f>""</f>
        <v/>
      </c>
      <c r="N1722" t="str">
        <f>""</f>
        <v/>
      </c>
      <c r="O1722" t="str">
        <f>""</f>
        <v/>
      </c>
    </row>
    <row r="1723" spans="1:15" x14ac:dyDescent="0.25">
      <c r="A1723" t="str">
        <f>$A$622</f>
        <v xml:space="preserve">                    Toromont Industries Ltd</v>
      </c>
      <c r="B1723" t="str">
        <f>$B$622</f>
        <v>TIH CN Equity</v>
      </c>
      <c r="C1723" t="str">
        <f>$C$622</f>
        <v>F0946</v>
      </c>
      <c r="D1723" t="str">
        <f>$D$622</f>
        <v>TOTAL_GHG_CO2_EMISSIONS</v>
      </c>
      <c r="E1723" t="str">
        <f>$E$622</f>
        <v>Dynamic</v>
      </c>
      <c r="F1723">
        <f ca="1">_xll.BDH($B$622,$C$622,$B$1130,$B$1131,CONCATENATE("Per=",$B$1128),"Dts=H","Dir=H",CONCATENATE("Points=",$B$1129),"Sort=R","Days=A","Fill=B",CONCATENATE("FX=", $B$1127),"cols=5;rows=1")</f>
        <v>6.2300000000000001E-2</v>
      </c>
      <c r="G1723">
        <v>7.7200000000000005E-2</v>
      </c>
      <c r="H1723">
        <v>7.5499999999999998E-2</v>
      </c>
      <c r="I1723">
        <v>7.0900000000000005E-2</v>
      </c>
      <c r="J1723">
        <v>7.1099999999999997E-2</v>
      </c>
      <c r="K1723" t="str">
        <f>""</f>
        <v/>
      </c>
      <c r="L1723" t="str">
        <f>""</f>
        <v/>
      </c>
      <c r="M1723" t="str">
        <f>""</f>
        <v/>
      </c>
      <c r="N1723" t="str">
        <f>""</f>
        <v/>
      </c>
      <c r="O1723" t="str">
        <f>""</f>
        <v/>
      </c>
    </row>
    <row r="1724" spans="1:15" x14ac:dyDescent="0.25">
      <c r="A1724" t="str">
        <f>$A$623</f>
        <v xml:space="preserve">                    Trimble Inc</v>
      </c>
      <c r="B1724" t="str">
        <f>$B$623</f>
        <v>TRMB US Equity</v>
      </c>
      <c r="C1724" t="str">
        <f>$C$623</f>
        <v>F0946</v>
      </c>
      <c r="D1724" t="str">
        <f>$D$623</f>
        <v>TOTAL_GHG_CO2_EMISSIONS</v>
      </c>
      <c r="E1724" t="str">
        <f>$E$623</f>
        <v>Dynamic</v>
      </c>
      <c r="F1724" t="str">
        <f ca="1">_xll.BDH($B$623,$C$623,$B$1130,$B$1131,CONCATENATE("Per=",$B$1128),"Dts=H","Dir=H",CONCATENATE("Points=",$B$1129),"Sort=R","Days=A","Fill=B",CONCATENATE("FX=", $B$1127),"cols=5;rows=1")</f>
        <v/>
      </c>
      <c r="G1724">
        <v>1.43E-2</v>
      </c>
      <c r="H1724">
        <v>9.7000000000000003E-3</v>
      </c>
      <c r="I1724">
        <v>1.32E-2</v>
      </c>
      <c r="J1724">
        <v>1.4999999999999999E-2</v>
      </c>
      <c r="K1724" t="str">
        <f>""</f>
        <v/>
      </c>
      <c r="L1724" t="str">
        <f>""</f>
        <v/>
      </c>
      <c r="M1724" t="str">
        <f>""</f>
        <v/>
      </c>
      <c r="N1724" t="str">
        <f>""</f>
        <v/>
      </c>
      <c r="O1724" t="str">
        <f>""</f>
        <v/>
      </c>
    </row>
    <row r="1725" spans="1:15" x14ac:dyDescent="0.25">
      <c r="A1725" t="str">
        <f>$A$624</f>
        <v xml:space="preserve">                    United Rentals Inc</v>
      </c>
      <c r="B1725" t="str">
        <f>$B$624</f>
        <v>URI US Equity</v>
      </c>
      <c r="C1725" t="str">
        <f>$C$624</f>
        <v>F0946</v>
      </c>
      <c r="D1725" t="str">
        <f>$D$624</f>
        <v>TOTAL_GHG_CO2_EMISSIONS</v>
      </c>
      <c r="E1725" t="str">
        <f>$E$624</f>
        <v>Dynamic</v>
      </c>
      <c r="F1725" t="str">
        <f ca="1">_xll.BDH($B$624,$C$624,$B$1130,$B$1131,CONCATENATE("Per=",$B$1128),"Dts=H","Dir=H",CONCATENATE("Points=",$B$1129),"Sort=R","Days=A","Fill=B",CONCATENATE("FX=", $B$1127),"cols=5;rows=1")</f>
        <v/>
      </c>
      <c r="G1725">
        <v>0.4078</v>
      </c>
      <c r="H1725">
        <v>0.3967</v>
      </c>
      <c r="I1725">
        <v>0.38840000000000002</v>
      </c>
      <c r="J1725">
        <v>0.37569999999999998</v>
      </c>
      <c r="K1725" t="str">
        <f>""</f>
        <v/>
      </c>
      <c r="L1725" t="str">
        <f>""</f>
        <v/>
      </c>
      <c r="M1725" t="str">
        <f>""</f>
        <v/>
      </c>
      <c r="N1725" t="str">
        <f>""</f>
        <v/>
      </c>
      <c r="O1725" t="str">
        <f>""</f>
        <v/>
      </c>
    </row>
    <row r="1726" spans="1:15" x14ac:dyDescent="0.25">
      <c r="A1726" t="str">
        <f>$A$625</f>
        <v xml:space="preserve">                    United Tractors Tbk PT</v>
      </c>
      <c r="B1726" t="str">
        <f>$B$625</f>
        <v>UNTR IJ Equity</v>
      </c>
      <c r="C1726" t="str">
        <f>$C$625</f>
        <v>F0946</v>
      </c>
      <c r="D1726" t="str">
        <f>$D$625</f>
        <v>TOTAL_GHG_CO2_EMISSIONS</v>
      </c>
      <c r="E1726" t="str">
        <f>$E$625</f>
        <v>Dynamic</v>
      </c>
      <c r="F1726">
        <f ca="1">_xll.BDH($B$625,$C$625,$B$1130,$B$1131,CONCATENATE("Per=",$B$1128),"Dts=H","Dir=H",CONCATENATE("Points=",$B$1129),"Sort=R","Days=A","Fill=B",CONCATENATE("FX=", $B$1127),"cols=5;rows=1")</f>
        <v>3.2195</v>
      </c>
      <c r="G1726">
        <v>3.1945999999999999</v>
      </c>
      <c r="H1726">
        <v>3.4379</v>
      </c>
      <c r="I1726">
        <v>3.9527000000000001</v>
      </c>
      <c r="K1726" t="str">
        <f>""</f>
        <v/>
      </c>
      <c r="L1726" t="str">
        <f>""</f>
        <v/>
      </c>
      <c r="M1726" t="str">
        <f>""</f>
        <v/>
      </c>
      <c r="N1726" t="str">
        <f>""</f>
        <v/>
      </c>
      <c r="O1726" t="str">
        <f>""</f>
        <v/>
      </c>
    </row>
    <row r="1727" spans="1:15" x14ac:dyDescent="0.25">
      <c r="A1727" t="str">
        <f>$A$626</f>
        <v xml:space="preserve">                    Valmont Industries Inc</v>
      </c>
      <c r="B1727" t="str">
        <f>$B$626</f>
        <v>VMI US Equity</v>
      </c>
      <c r="C1727" t="str">
        <f>$C$626</f>
        <v>F0946</v>
      </c>
      <c r="D1727" t="str">
        <f>$D$626</f>
        <v>TOTAL_GHG_CO2_EMISSIONS</v>
      </c>
      <c r="E1727" t="str">
        <f>$E$626</f>
        <v>Dynamic</v>
      </c>
      <c r="F1727">
        <f ca="1">_xll.BDH($B$626,$C$626,$B$1130,$B$1131,CONCATENATE("Per=",$B$1128),"Dts=H","Dir=H",CONCATENATE("Points=",$B$1129),"Sort=R","Days=A","Fill=B",CONCATENATE("FX=", $B$1127),"cols=5;rows=1")</f>
        <v>0.1933</v>
      </c>
      <c r="G1727">
        <v>0.1971</v>
      </c>
      <c r="H1727">
        <v>0.2019</v>
      </c>
      <c r="I1727">
        <v>0.20830000000000001</v>
      </c>
      <c r="J1727">
        <v>0.21759999999999999</v>
      </c>
      <c r="K1727" t="str">
        <f>""</f>
        <v/>
      </c>
      <c r="L1727" t="str">
        <f>""</f>
        <v/>
      </c>
      <c r="M1727" t="str">
        <f>""</f>
        <v/>
      </c>
      <c r="N1727" t="str">
        <f>""</f>
        <v/>
      </c>
      <c r="O1727" t="str">
        <f>""</f>
        <v/>
      </c>
    </row>
    <row r="1728" spans="1:15" x14ac:dyDescent="0.25">
      <c r="A1728" t="str">
        <f>$A$627</f>
        <v xml:space="preserve">                    Volvo AB</v>
      </c>
      <c r="B1728" t="str">
        <f>$B$627</f>
        <v>VOLVB SS Equity</v>
      </c>
      <c r="C1728" t="str">
        <f>$C$627</f>
        <v>F0946</v>
      </c>
      <c r="D1728" t="str">
        <f>$D$627</f>
        <v>TOTAL_GHG_CO2_EMISSIONS</v>
      </c>
      <c r="E1728" t="str">
        <f>$E$627</f>
        <v>Dynamic</v>
      </c>
      <c r="F1728">
        <f ca="1">_xll.BDH($B$627,$C$627,$B$1130,$B$1131,CONCATENATE("Per=",$B$1128),"Dts=H","Dir=H",CONCATENATE("Points=",$B$1129),"Sort=R","Days=A","Fill=B",CONCATENATE("FX=", $B$1127),"cols=5;rows=1")</f>
        <v>0.42299999999999999</v>
      </c>
      <c r="G1728">
        <v>0.44900000000000001</v>
      </c>
      <c r="H1728">
        <v>0.39800000000000002</v>
      </c>
      <c r="I1728">
        <v>0.46</v>
      </c>
      <c r="J1728">
        <v>0.42099999999999999</v>
      </c>
      <c r="K1728" t="str">
        <f>""</f>
        <v/>
      </c>
      <c r="L1728" t="str">
        <f>""</f>
        <v/>
      </c>
      <c r="M1728" t="str">
        <f>""</f>
        <v/>
      </c>
      <c r="N1728" t="str">
        <f>""</f>
        <v/>
      </c>
      <c r="O1728" t="str">
        <f>""</f>
        <v/>
      </c>
    </row>
    <row r="1729" spans="1:15" x14ac:dyDescent="0.25">
      <c r="A1729" t="str">
        <f>$A$628</f>
        <v xml:space="preserve">                    Wacker Neuson SE</v>
      </c>
      <c r="B1729" t="str">
        <f>$B$628</f>
        <v>WAC GR Equity</v>
      </c>
      <c r="C1729" t="str">
        <f>$C$628</f>
        <v>F0946</v>
      </c>
      <c r="D1729" t="str">
        <f>$D$628</f>
        <v>TOTAL_GHG_CO2_EMISSIONS</v>
      </c>
      <c r="E1729" t="str">
        <f>$E$628</f>
        <v>Dynamic</v>
      </c>
      <c r="F1729">
        <f ca="1">_xll.BDH($B$628,$C$628,$B$1130,$B$1131,CONCATENATE("Per=",$B$1128),"Dts=H","Dir=H",CONCATENATE("Points=",$B$1129),"Sort=R","Days=A","Fill=B",CONCATENATE("FX=", $B$1127),"cols=5;rows=1")</f>
        <v>1.8700000000000001E-2</v>
      </c>
      <c r="G1729">
        <v>1.8200000000000001E-2</v>
      </c>
      <c r="H1729">
        <v>3.04E-2</v>
      </c>
      <c r="I1729">
        <v>3.7699999999999997E-2</v>
      </c>
      <c r="J1729">
        <v>3.6600000000000001E-2</v>
      </c>
      <c r="K1729" t="str">
        <f>""</f>
        <v/>
      </c>
      <c r="L1729" t="str">
        <f>""</f>
        <v/>
      </c>
      <c r="M1729" t="str">
        <f>""</f>
        <v/>
      </c>
      <c r="N1729" t="str">
        <f>""</f>
        <v/>
      </c>
      <c r="O1729" t="str">
        <f>""</f>
        <v/>
      </c>
    </row>
    <row r="1730" spans="1:15" x14ac:dyDescent="0.25">
      <c r="A1730" t="str">
        <f>$A$629</f>
        <v xml:space="preserve">                    Wajax Corp</v>
      </c>
      <c r="B1730" t="str">
        <f>$B$629</f>
        <v>WJX CN Equity</v>
      </c>
      <c r="C1730" t="str">
        <f>$C$629</f>
        <v>F0946</v>
      </c>
      <c r="D1730" t="str">
        <f>$D$629</f>
        <v>TOTAL_GHG_CO2_EMISSIONS</v>
      </c>
      <c r="E1730" t="str">
        <f>$E$629</f>
        <v>Dynamic</v>
      </c>
      <c r="F1730">
        <f ca="1">_xll.BDH($B$629,$C$629,$B$1130,$B$1131,CONCATENATE("Per=",$B$1128),"Dts=H","Dir=H",CONCATENATE("Points=",$B$1129),"Sort=R","Days=A","Fill=B",CONCATENATE("FX=", $B$1127),"cols=5;rows=1")</f>
        <v>1.95E-2</v>
      </c>
      <c r="G1730">
        <v>2.0500000000000001E-2</v>
      </c>
      <c r="H1730">
        <v>1.7000000000000001E-2</v>
      </c>
      <c r="K1730" t="str">
        <f>""</f>
        <v/>
      </c>
      <c r="L1730" t="str">
        <f>""</f>
        <v/>
      </c>
      <c r="M1730" t="str">
        <f>""</f>
        <v/>
      </c>
      <c r="N1730" t="str">
        <f>""</f>
        <v/>
      </c>
      <c r="O1730" t="str">
        <f>""</f>
        <v/>
      </c>
    </row>
    <row r="1731" spans="1:15" x14ac:dyDescent="0.25">
      <c r="A1731" t="str">
        <f>$A$630</f>
        <v xml:space="preserve">                    XCMG Construction Machinery Co</v>
      </c>
      <c r="B1731" t="str">
        <f>$B$630</f>
        <v>000425 CH Equity</v>
      </c>
      <c r="C1731" t="str">
        <f>$C$630</f>
        <v>F0946</v>
      </c>
      <c r="D1731" t="str">
        <f>$D$630</f>
        <v>TOTAL_GHG_CO2_EMISSIONS</v>
      </c>
      <c r="E1731" t="str">
        <f>$E$630</f>
        <v>Dynamic</v>
      </c>
      <c r="F1731" t="str">
        <f ca="1">_xll.BDH($B$630,$C$630,$B$1130,$B$1131,CONCATENATE("Per=",$B$1128),"Dts=H","Dir=H",CONCATENATE("Points=",$B$1129),"Sort=R","Days=A","Fill=B",CONCATENATE("FX=", $B$1127) )</f>
        <v/>
      </c>
      <c r="K1731" t="str">
        <f>""</f>
        <v/>
      </c>
      <c r="L1731" t="str">
        <f>""</f>
        <v/>
      </c>
      <c r="M1731" t="str">
        <f>""</f>
        <v/>
      </c>
      <c r="N1731" t="str">
        <f>""</f>
        <v/>
      </c>
      <c r="O1731" t="str">
        <f>""</f>
        <v/>
      </c>
    </row>
    <row r="1732" spans="1:15" x14ac:dyDescent="0.25">
      <c r="A1732" t="str">
        <f>$A$631</f>
        <v xml:space="preserve">                    Xiamen XGMA Machinery Co Ltd</v>
      </c>
      <c r="B1732" t="str">
        <f>$B$631</f>
        <v>600815 CH Equity</v>
      </c>
      <c r="C1732" t="str">
        <f>$C$631</f>
        <v>F0946</v>
      </c>
      <c r="D1732" t="str">
        <f>$D$631</f>
        <v>TOTAL_GHG_CO2_EMISSIONS</v>
      </c>
      <c r="E1732" t="str">
        <f>$E$631</f>
        <v>Dynamic</v>
      </c>
      <c r="F1732" t="str">
        <f ca="1">_xll.BDH($B$631,$C$631,$B$1130,$B$1131,CONCATENATE("Per=",$B$1128),"Dts=H","Dir=H",CONCATENATE("Points=",$B$1129),"Sort=R","Days=A","Fill=B",CONCATENATE("FX=", $B$1127) )</f>
        <v/>
      </c>
      <c r="K1732" t="str">
        <f>""</f>
        <v/>
      </c>
      <c r="L1732" t="str">
        <f>""</f>
        <v/>
      </c>
      <c r="M1732" t="str">
        <f>""</f>
        <v/>
      </c>
      <c r="N1732" t="str">
        <f>""</f>
        <v/>
      </c>
      <c r="O1732" t="str">
        <f>""</f>
        <v/>
      </c>
    </row>
    <row r="1733" spans="1:15" x14ac:dyDescent="0.25">
      <c r="A1733" t="str">
        <f>$A$632</f>
        <v xml:space="preserve">                    Xiamen Xiagong Machine Constru</v>
      </c>
      <c r="B1733" t="str">
        <f>$B$632</f>
        <v>XMXGMZ CH Equity</v>
      </c>
      <c r="C1733" t="str">
        <f>$C$632</f>
        <v>F0946</v>
      </c>
      <c r="D1733" t="str">
        <f>$D$632</f>
        <v>TOTAL_GHG_CO2_EMISSIONS</v>
      </c>
      <c r="E1733" t="str">
        <f>$E$632</f>
        <v>Dynamic</v>
      </c>
      <c r="F1733" t="str">
        <f ca="1">_xll.BDH($B$632,$C$632,$B$1130,$B$1131,CONCATENATE("Per=",$B$1128),"Dts=H","Dir=H",CONCATENATE("Points=",$B$1129),"Sort=R","Days=A","Fill=B",CONCATENATE("FX=", $B$1127) )</f>
        <v/>
      </c>
      <c r="K1733" t="str">
        <f>""</f>
        <v/>
      </c>
      <c r="L1733" t="str">
        <f>""</f>
        <v/>
      </c>
      <c r="M1733" t="str">
        <f>""</f>
        <v/>
      </c>
      <c r="N1733" t="str">
        <f>""</f>
        <v/>
      </c>
      <c r="O1733" t="str">
        <f>""</f>
        <v/>
      </c>
    </row>
    <row r="1734" spans="1:15" x14ac:dyDescent="0.25">
      <c r="A1734" t="str">
        <f>$A$633</f>
        <v xml:space="preserve">                    Yanmar Power Technology Co Ltd</v>
      </c>
      <c r="B1734" t="str">
        <f>$B$633</f>
        <v>YANMZ JP Equity</v>
      </c>
      <c r="C1734" t="str">
        <f>$C$633</f>
        <v>F0946</v>
      </c>
      <c r="D1734" t="str">
        <f>$D$633</f>
        <v>TOTAL_GHG_CO2_EMISSIONS</v>
      </c>
      <c r="E1734" t="str">
        <f>$E$633</f>
        <v>Dynamic</v>
      </c>
      <c r="F1734" t="str">
        <f ca="1">_xll.BDH($B$633,$C$633,$B$1130,$B$1131,CONCATENATE("Per=",$B$1128),"Dts=H","Dir=H",CONCATENATE("Points=",$B$1129),"Sort=R","Days=A","Fill=B",CONCATENATE("FX=", $B$1127) )</f>
        <v/>
      </c>
      <c r="K1734" t="str">
        <f>""</f>
        <v/>
      </c>
      <c r="L1734" t="str">
        <f>""</f>
        <v/>
      </c>
      <c r="M1734" t="str">
        <f>""</f>
        <v/>
      </c>
      <c r="N1734" t="str">
        <f>""</f>
        <v/>
      </c>
      <c r="O1734" t="str">
        <f>""</f>
        <v/>
      </c>
    </row>
    <row r="1735" spans="1:15" x14ac:dyDescent="0.25">
      <c r="A1735" t="str">
        <f>$A$634</f>
        <v xml:space="preserve">                    YTO Group Corp</v>
      </c>
      <c r="B1735" t="str">
        <f>$B$634</f>
        <v>YTGGRZ CH Equity</v>
      </c>
      <c r="C1735" t="str">
        <f>$C$634</f>
        <v>F0946</v>
      </c>
      <c r="D1735" t="str">
        <f>$D$634</f>
        <v>TOTAL_GHG_CO2_EMISSIONS</v>
      </c>
      <c r="E1735" t="str">
        <f>$E$634</f>
        <v>Dynamic</v>
      </c>
      <c r="F1735" t="str">
        <f ca="1">_xll.BDH($B$634,$C$634,$B$1130,$B$1131,CONCATENATE("Per=",$B$1128),"Dts=H","Dir=H",CONCATENATE("Points=",$B$1129),"Sort=R","Days=A","Fill=B",CONCATENATE("FX=", $B$1127) )</f>
        <v/>
      </c>
      <c r="K1735" t="str">
        <f>""</f>
        <v/>
      </c>
      <c r="L1735" t="str">
        <f>""</f>
        <v/>
      </c>
      <c r="M1735" t="str">
        <f>""</f>
        <v/>
      </c>
      <c r="N1735" t="str">
        <f>""</f>
        <v/>
      </c>
      <c r="O1735" t="str">
        <f>""</f>
        <v/>
      </c>
    </row>
    <row r="1736" spans="1:15" x14ac:dyDescent="0.25">
      <c r="A1736" t="str">
        <f>$A$635</f>
        <v xml:space="preserve">                    Zaklady Sprzetu Mechanicznego</v>
      </c>
      <c r="B1736" t="str">
        <f>$B$635</f>
        <v>4625985Z PW Equity</v>
      </c>
      <c r="C1736" t="str">
        <f>$C$635</f>
        <v>F0946</v>
      </c>
      <c r="D1736" t="str">
        <f>$D$635</f>
        <v>TOTAL_GHG_CO2_EMISSIONS</v>
      </c>
      <c r="E1736" t="str">
        <f>$E$635</f>
        <v>Dynamic</v>
      </c>
      <c r="F1736" t="str">
        <f ca="1">_xll.BDH($B$635,$C$635,$B$1130,$B$1131,CONCATENATE("Per=",$B$1128),"Dts=H","Dir=H",CONCATENATE("Points=",$B$1129),"Sort=R","Days=A","Fill=B",CONCATENATE("FX=", $B$1127) )</f>
        <v/>
      </c>
      <c r="K1736" t="str">
        <f>""</f>
        <v/>
      </c>
      <c r="L1736" t="str">
        <f>""</f>
        <v/>
      </c>
      <c r="M1736" t="str">
        <f>""</f>
        <v/>
      </c>
      <c r="N1736" t="str">
        <f>""</f>
        <v/>
      </c>
      <c r="O1736" t="str">
        <f>""</f>
        <v/>
      </c>
    </row>
    <row r="1737" spans="1:15" x14ac:dyDescent="0.25">
      <c r="A1737" t="str">
        <f>$A$636</f>
        <v xml:space="preserve">                    Zetor AS</v>
      </c>
      <c r="B1737" t="str">
        <f>$B$636</f>
        <v>ZETOR CP Equity</v>
      </c>
      <c r="C1737" t="str">
        <f>$C$636</f>
        <v>F0946</v>
      </c>
      <c r="D1737" t="str">
        <f>$D$636</f>
        <v>TOTAL_GHG_CO2_EMISSIONS</v>
      </c>
      <c r="E1737" t="str">
        <f>$E$636</f>
        <v>Dynamic</v>
      </c>
      <c r="F1737" t="str">
        <f ca="1">_xll.BDH($B$636,$C$636,$B$1130,$B$1131,CONCATENATE("Per=",$B$1128),"Dts=H","Dir=H",CONCATENATE("Points=",$B$1129),"Sort=R","Days=A","Fill=B",CONCATENATE("FX=", $B$1127) )</f>
        <v/>
      </c>
      <c r="K1737" t="str">
        <f>""</f>
        <v/>
      </c>
      <c r="L1737" t="str">
        <f>""</f>
        <v/>
      </c>
      <c r="M1737" t="str">
        <f>""</f>
        <v/>
      </c>
      <c r="N1737" t="str">
        <f>""</f>
        <v/>
      </c>
      <c r="O1737" t="str">
        <f>""</f>
        <v/>
      </c>
    </row>
    <row r="1738" spans="1:15" x14ac:dyDescent="0.25">
      <c r="A1738" t="str">
        <f>$A$637</f>
        <v xml:space="preserve">                    Zoomlion Heavy Industry Scienc</v>
      </c>
      <c r="B1738" t="str">
        <f>$B$637</f>
        <v>000157 CH Equity</v>
      </c>
      <c r="C1738" t="str">
        <f>$C$637</f>
        <v>F0946</v>
      </c>
      <c r="D1738" t="str">
        <f>$D$637</f>
        <v>TOTAL_GHG_CO2_EMISSIONS</v>
      </c>
      <c r="E1738" t="str">
        <f>$E$637</f>
        <v>Dynamic</v>
      </c>
      <c r="F1738">
        <f ca="1">_xll.BDH($B$637,$C$637,$B$1130,$B$1131,CONCATENATE("Per=",$B$1128),"Dts=H","Dir=H",CONCATENATE("Points=",$B$1129),"Sort=R","Days=A","Fill=B",CONCATENATE("FX=", $B$1127),"cols=5;rows=1")</f>
        <v>0.17299999999999999</v>
      </c>
      <c r="G1738">
        <v>0.20810000000000001</v>
      </c>
      <c r="H1738">
        <v>0.2044</v>
      </c>
      <c r="I1738">
        <v>0.16900000000000001</v>
      </c>
      <c r="J1738">
        <v>0.1028</v>
      </c>
      <c r="K1738" t="str">
        <f>""</f>
        <v/>
      </c>
      <c r="L1738" t="str">
        <f>""</f>
        <v/>
      </c>
      <c r="M1738" t="str">
        <f>""</f>
        <v/>
      </c>
      <c r="N1738" t="str">
        <f>""</f>
        <v/>
      </c>
      <c r="O1738" t="str">
        <f>""</f>
        <v/>
      </c>
    </row>
    <row r="1739" spans="1:15" x14ac:dyDescent="0.25">
      <c r="A1739" t="str">
        <f>$A$641</f>
        <v xml:space="preserve">                        Allegiant Travel Co</v>
      </c>
      <c r="B1739" t="str">
        <f>$B$641</f>
        <v>ALGT US Equity</v>
      </c>
      <c r="C1739" t="str">
        <f>$C$641</f>
        <v>F0946</v>
      </c>
      <c r="D1739" t="str">
        <f>$D$641</f>
        <v>TOTAL_GHG_CO2_EMISSIONS</v>
      </c>
      <c r="E1739" t="str">
        <f>$E$641</f>
        <v>Dynamic</v>
      </c>
      <c r="F1739" t="str">
        <f ca="1">_xll.BDH($B$641,$C$641,$B$1130,$B$1131,CONCATENATE("Per=",$B$1128),"Dts=H","Dir=H",CONCATENATE("Points=",$B$1129),"Sort=R","Days=A","Fill=B",CONCATENATE("FX=", $B$1127),"cols=5;rows=1")</f>
        <v/>
      </c>
      <c r="G1739">
        <v>1.9878</v>
      </c>
      <c r="K1739" t="str">
        <f>""</f>
        <v/>
      </c>
      <c r="L1739" t="str">
        <f>""</f>
        <v/>
      </c>
      <c r="M1739" t="str">
        <f>""</f>
        <v/>
      </c>
      <c r="N1739" t="str">
        <f>""</f>
        <v/>
      </c>
      <c r="O1739" t="str">
        <f>""</f>
        <v/>
      </c>
    </row>
    <row r="1740" spans="1:15" x14ac:dyDescent="0.25">
      <c r="A1740" t="str">
        <f>$A$642</f>
        <v xml:space="preserve">                        American Airlines Group Inc</v>
      </c>
      <c r="B1740" t="str">
        <f>$B$642</f>
        <v>AAL US Equity</v>
      </c>
      <c r="C1740" t="str">
        <f>$C$642</f>
        <v>F0946</v>
      </c>
      <c r="D1740" t="str">
        <f>$D$642</f>
        <v>TOTAL_GHG_CO2_EMISSIONS</v>
      </c>
      <c r="E1740" t="str">
        <f>$E$642</f>
        <v>Dynamic</v>
      </c>
      <c r="F1740" t="str">
        <f ca="1">_xll.BDH($B$642,$C$642,$B$1130,$B$1131,CONCATENATE("Per=",$B$1128),"Dts=H","Dir=H",CONCATENATE("Points=",$B$1129),"Sort=R","Days=A","Fill=B",CONCATENATE("FX=", $B$1127),"cols=5;rows=1")</f>
        <v/>
      </c>
      <c r="G1740">
        <v>29.0609</v>
      </c>
      <c r="H1740">
        <v>20.088999999999999</v>
      </c>
      <c r="I1740">
        <v>41.439599999999999</v>
      </c>
      <c r="J1740">
        <v>40.604900000000001</v>
      </c>
      <c r="K1740" t="str">
        <f>""</f>
        <v/>
      </c>
      <c r="L1740" t="str">
        <f>""</f>
        <v/>
      </c>
      <c r="M1740" t="str">
        <f>""</f>
        <v/>
      </c>
      <c r="N1740" t="str">
        <f>""</f>
        <v/>
      </c>
      <c r="O1740" t="str">
        <f>""</f>
        <v/>
      </c>
    </row>
    <row r="1741" spans="1:15" x14ac:dyDescent="0.25">
      <c r="A1741" t="str">
        <f>$A$643</f>
        <v xml:space="preserve">                        Air Canada</v>
      </c>
      <c r="B1741" t="str">
        <f>$B$643</f>
        <v>AC CN Equity</v>
      </c>
      <c r="C1741" t="str">
        <f>$C$643</f>
        <v>F0946</v>
      </c>
      <c r="D1741" t="str">
        <f>$D$643</f>
        <v>TOTAL_GHG_CO2_EMISSIONS</v>
      </c>
      <c r="E1741" t="str">
        <f>$E$643</f>
        <v>Dynamic</v>
      </c>
      <c r="F1741" t="str">
        <f ca="1">_xll.BDH($B$643,$C$643,$B$1130,$B$1131,CONCATENATE("Per=",$B$1128),"Dts=H","Dir=H",CONCATENATE("Points=",$B$1129),"Sort=R","Days=A","Fill=B",CONCATENATE("FX=", $B$1127),"cols=5;rows=1")</f>
        <v/>
      </c>
      <c r="G1741">
        <v>4.9203999999999999</v>
      </c>
      <c r="H1741">
        <v>5.0442999999999998</v>
      </c>
      <c r="I1741">
        <v>13.2158</v>
      </c>
      <c r="J1741">
        <v>12.885199999999999</v>
      </c>
      <c r="K1741" t="str">
        <f>""</f>
        <v/>
      </c>
      <c r="L1741" t="str">
        <f>""</f>
        <v/>
      </c>
      <c r="M1741" t="str">
        <f>""</f>
        <v/>
      </c>
      <c r="N1741" t="str">
        <f>""</f>
        <v/>
      </c>
      <c r="O1741" t="str">
        <f>""</f>
        <v/>
      </c>
    </row>
    <row r="1742" spans="1:15" x14ac:dyDescent="0.25">
      <c r="A1742" t="str">
        <f>$A$644</f>
        <v xml:space="preserve">                        Alaska Air Group Inc</v>
      </c>
      <c r="B1742" t="str">
        <f>$B$644</f>
        <v>ALK US Equity</v>
      </c>
      <c r="C1742" t="str">
        <f>$C$644</f>
        <v>F0946</v>
      </c>
      <c r="D1742" t="str">
        <f>$D$644</f>
        <v>TOTAL_GHG_CO2_EMISSIONS</v>
      </c>
      <c r="E1742" t="str">
        <f>$E$644</f>
        <v>Dynamic</v>
      </c>
      <c r="F1742" t="str">
        <f ca="1">_xll.BDH($B$644,$C$644,$B$1130,$B$1131,CONCATENATE("Per=",$B$1128),"Dts=H","Dir=H",CONCATENATE("Points=",$B$1129),"Sort=R","Days=A","Fill=B",CONCATENATE("FX=", $B$1127),"cols=5;rows=1")</f>
        <v/>
      </c>
      <c r="G1742">
        <v>5.9703999999999997</v>
      </c>
      <c r="H1742">
        <v>4.1798999999999999</v>
      </c>
      <c r="I1742">
        <v>7.9870000000000001</v>
      </c>
      <c r="J1742">
        <v>7.7619999999999996</v>
      </c>
      <c r="K1742" t="str">
        <f>""</f>
        <v/>
      </c>
      <c r="L1742" t="str">
        <f>""</f>
        <v/>
      </c>
      <c r="M1742" t="str">
        <f>""</f>
        <v/>
      </c>
      <c r="N1742" t="str">
        <f>""</f>
        <v/>
      </c>
      <c r="O1742" t="str">
        <f>""</f>
        <v/>
      </c>
    </row>
    <row r="1743" spans="1:15" x14ac:dyDescent="0.25">
      <c r="A1743" t="str">
        <f>$A$645</f>
        <v xml:space="preserve">                        Copa Holdings SA</v>
      </c>
      <c r="B1743" t="str">
        <f>$B$645</f>
        <v>CPA US Equity</v>
      </c>
      <c r="C1743" t="str">
        <f>$C$645</f>
        <v>F0946</v>
      </c>
      <c r="D1743" t="str">
        <f>$D$645</f>
        <v>TOTAL_GHG_CO2_EMISSIONS</v>
      </c>
      <c r="E1743" t="str">
        <f>$E$645</f>
        <v>Dynamic</v>
      </c>
      <c r="F1743" t="str">
        <f ca="1">_xll.BDH($B$645,$C$645,$B$1130,$B$1131,CONCATENATE("Per=",$B$1128),"Dts=H","Dir=H",CONCATENATE("Points=",$B$1129),"Sort=R","Days=A","Fill=B",CONCATENATE("FX=", $B$1127),"cols=5;rows=1")</f>
        <v/>
      </c>
      <c r="G1743">
        <v>1.7035</v>
      </c>
      <c r="H1743">
        <v>0.88629999999999998</v>
      </c>
      <c r="K1743" t="str">
        <f>""</f>
        <v/>
      </c>
      <c r="L1743" t="str">
        <f>""</f>
        <v/>
      </c>
      <c r="M1743" t="str">
        <f>""</f>
        <v/>
      </c>
      <c r="N1743" t="str">
        <f>""</f>
        <v/>
      </c>
      <c r="O1743" t="str">
        <f>""</f>
        <v/>
      </c>
    </row>
    <row r="1744" spans="1:15" x14ac:dyDescent="0.25">
      <c r="A1744" t="str">
        <f>$A$646</f>
        <v xml:space="preserve">                        Controladora Vuela Cia de Avia</v>
      </c>
      <c r="B1744" t="str">
        <f>$B$646</f>
        <v>VOLARA MM Equity</v>
      </c>
      <c r="C1744" t="str">
        <f>$C$646</f>
        <v>F0946</v>
      </c>
      <c r="D1744" t="str">
        <f>$D$646</f>
        <v>TOTAL_GHG_CO2_EMISSIONS</v>
      </c>
      <c r="E1744" t="str">
        <f>$E$646</f>
        <v>Dynamic</v>
      </c>
      <c r="F1744" t="str">
        <f ca="1">_xll.BDH($B$646,$C$646,$B$1130,$B$1131,CONCATENATE("Per=",$B$1128),"Dts=H","Dir=H",CONCATENATE("Points=",$B$1129),"Sort=R","Days=A","Fill=B",CONCATENATE("FX=", $B$1127),"cols=5;rows=1")</f>
        <v/>
      </c>
      <c r="G1744">
        <v>2.6844999999999999</v>
      </c>
      <c r="H1744">
        <v>2.117</v>
      </c>
      <c r="I1744">
        <v>2.4169999999999998</v>
      </c>
      <c r="J1744">
        <v>2.3332000000000002</v>
      </c>
      <c r="K1744" t="str">
        <f>""</f>
        <v/>
      </c>
      <c r="L1744" t="str">
        <f>""</f>
        <v/>
      </c>
      <c r="M1744" t="str">
        <f>""</f>
        <v/>
      </c>
      <c r="N1744" t="str">
        <f>""</f>
        <v/>
      </c>
      <c r="O1744" t="str">
        <f>""</f>
        <v/>
      </c>
    </row>
    <row r="1745" spans="1:15" x14ac:dyDescent="0.25">
      <c r="A1745" t="str">
        <f>$A$647</f>
        <v xml:space="preserve">                        Delta Air Lines Inc</v>
      </c>
      <c r="B1745" t="str">
        <f>$B$647</f>
        <v>DAL US Equity</v>
      </c>
      <c r="C1745" t="str">
        <f>$C$647</f>
        <v>F0946</v>
      </c>
      <c r="D1745" t="str">
        <f>$D$647</f>
        <v>TOTAL_GHG_CO2_EMISSIONS</v>
      </c>
      <c r="E1745" t="str">
        <f>$E$647</f>
        <v>Dynamic</v>
      </c>
      <c r="F1745">
        <f ca="1">_xll.BDH($B$647,$C$647,$B$1130,$B$1131,CONCATENATE("Per=",$B$1128),"Dts=H","Dir=H",CONCATENATE("Points=",$B$1129),"Sort=R","Days=A","Fill=B",CONCATENATE("FX=", $B$1127),"cols=5;rows=1")</f>
        <v>30.944500000000001</v>
      </c>
      <c r="G1745">
        <v>24.807500000000001</v>
      </c>
      <c r="H1745">
        <v>17.8156</v>
      </c>
      <c r="I1745">
        <v>38.452599999999997</v>
      </c>
      <c r="J1745">
        <v>37.267899999999997</v>
      </c>
      <c r="K1745" t="str">
        <f>""</f>
        <v/>
      </c>
      <c r="L1745" t="str">
        <f>""</f>
        <v/>
      </c>
      <c r="M1745" t="str">
        <f>""</f>
        <v/>
      </c>
      <c r="N1745" t="str">
        <f>""</f>
        <v/>
      </c>
      <c r="O1745" t="str">
        <f>""</f>
        <v/>
      </c>
    </row>
    <row r="1746" spans="1:15" x14ac:dyDescent="0.25">
      <c r="A1746" t="str">
        <f>$A$648</f>
        <v xml:space="preserve">                        Frontier Group Holdings Inc</v>
      </c>
      <c r="B1746" t="str">
        <f>$B$648</f>
        <v>ULCC US Equity</v>
      </c>
      <c r="C1746" t="str">
        <f>$C$648</f>
        <v>F0946</v>
      </c>
      <c r="D1746" t="str">
        <f>$D$648</f>
        <v>TOTAL_GHG_CO2_EMISSIONS</v>
      </c>
      <c r="E1746" t="str">
        <f>$E$648</f>
        <v>Dynamic</v>
      </c>
      <c r="F1746" t="str">
        <f ca="1">_xll.BDH($B$648,$C$648,$B$1130,$B$1131,CONCATENATE("Per=",$B$1128),"Dts=H","Dir=H",CONCATENATE("Points=",$B$1129),"Sort=R","Days=A","Fill=B",CONCATENATE("FX=", $B$1127) )</f>
        <v/>
      </c>
      <c r="K1746" t="str">
        <f>""</f>
        <v/>
      </c>
      <c r="L1746" t="str">
        <f>""</f>
        <v/>
      </c>
      <c r="M1746" t="str">
        <f>""</f>
        <v/>
      </c>
      <c r="N1746" t="str">
        <f>""</f>
        <v/>
      </c>
      <c r="O1746" t="str">
        <f>""</f>
        <v/>
      </c>
    </row>
    <row r="1747" spans="1:15" x14ac:dyDescent="0.25">
      <c r="A1747" t="str">
        <f>$A$649</f>
        <v xml:space="preserve">                        Grupo Aeromexico SAB de CV</v>
      </c>
      <c r="B1747" t="str">
        <f>$B$649</f>
        <v>AEROMEX* MM Equity</v>
      </c>
      <c r="C1747" t="str">
        <f>$C$649</f>
        <v>F0946</v>
      </c>
      <c r="D1747" t="str">
        <f>$D$649</f>
        <v>TOTAL_GHG_CO2_EMISSIONS</v>
      </c>
      <c r="E1747" t="str">
        <f>$E$649</f>
        <v>Dynamic</v>
      </c>
      <c r="F1747" t="str">
        <f ca="1">_xll.BDH($B$649,$C$649,$B$1130,$B$1131,CONCATENATE("Per=",$B$1128),"Dts=H","Dir=H",CONCATENATE("Points=",$B$1129),"Sort=R","Days=A","Fill=B",CONCATENATE("FX=", $B$1127),"cols=5;rows=1")</f>
        <v/>
      </c>
      <c r="G1747">
        <v>2.8746999999999998</v>
      </c>
      <c r="H1747">
        <v>2.0476999999999999</v>
      </c>
      <c r="I1747">
        <v>4.1866000000000003</v>
      </c>
      <c r="J1747">
        <v>4.2915000000000001</v>
      </c>
      <c r="K1747" t="str">
        <f>""</f>
        <v/>
      </c>
      <c r="L1747" t="str">
        <f>""</f>
        <v/>
      </c>
      <c r="M1747" t="str">
        <f>""</f>
        <v/>
      </c>
      <c r="N1747" t="str">
        <f>""</f>
        <v/>
      </c>
      <c r="O1747" t="str">
        <f>""</f>
        <v/>
      </c>
    </row>
    <row r="1748" spans="1:15" x14ac:dyDescent="0.25">
      <c r="A1748" t="str">
        <f>$A$650</f>
        <v xml:space="preserve">                        Hawaiian Holdings Inc</v>
      </c>
      <c r="B1748" t="str">
        <f>$B$650</f>
        <v>HA US Equity</v>
      </c>
      <c r="C1748" t="str">
        <f>$C$650</f>
        <v>F0946</v>
      </c>
      <c r="D1748" t="str">
        <f>$D$650</f>
        <v>TOTAL_GHG_CO2_EMISSIONS</v>
      </c>
      <c r="E1748" t="str">
        <f>$E$650</f>
        <v>Dynamic</v>
      </c>
      <c r="F1748" t="str">
        <f ca="1">_xll.BDH($B$650,$C$650,$B$1130,$B$1131,CONCATENATE("Per=",$B$1128),"Dts=H","Dir=H",CONCATENATE("Points=",$B$1129),"Sort=R","Days=A","Fill=B",CONCATENATE("FX=", $B$1127),"cols=5;rows=1")</f>
        <v/>
      </c>
      <c r="G1748">
        <v>1.7343</v>
      </c>
      <c r="H1748">
        <v>1.0291999999999999</v>
      </c>
      <c r="K1748" t="str">
        <f>""</f>
        <v/>
      </c>
      <c r="L1748" t="str">
        <f>""</f>
        <v/>
      </c>
      <c r="M1748" t="str">
        <f>""</f>
        <v/>
      </c>
      <c r="N1748" t="str">
        <f>""</f>
        <v/>
      </c>
      <c r="O1748" t="str">
        <f>""</f>
        <v/>
      </c>
    </row>
    <row r="1749" spans="1:15" x14ac:dyDescent="0.25">
      <c r="A1749" t="str">
        <f>$A$651</f>
        <v xml:space="preserve">                        JetBlue Airways Corp</v>
      </c>
      <c r="B1749" t="str">
        <f>$B$651</f>
        <v>JBLU US Equity</v>
      </c>
      <c r="C1749" t="str">
        <f>$C$651</f>
        <v>F0946</v>
      </c>
      <c r="D1749" t="str">
        <f>$D$651</f>
        <v>TOTAL_GHG_CO2_EMISSIONS</v>
      </c>
      <c r="E1749" t="str">
        <f>$E$651</f>
        <v>Dynamic</v>
      </c>
      <c r="F1749" t="str">
        <f ca="1">_xll.BDH($B$651,$C$651,$B$1130,$B$1131,CONCATENATE("Per=",$B$1128),"Dts=H","Dir=H",CONCATENATE("Points=",$B$1129),"Sort=R","Days=A","Fill=B",CONCATENATE("FX=", $B$1127),"cols=5;rows=1")</f>
        <v/>
      </c>
      <c r="G1749">
        <v>6.8799000000000001</v>
      </c>
      <c r="H1749">
        <v>4.0872999999999999</v>
      </c>
      <c r="I1749">
        <v>8.7567000000000004</v>
      </c>
      <c r="J1749">
        <v>8.3976000000000006</v>
      </c>
      <c r="K1749" t="str">
        <f>""</f>
        <v/>
      </c>
      <c r="L1749" t="str">
        <f>""</f>
        <v/>
      </c>
      <c r="M1749" t="str">
        <f>""</f>
        <v/>
      </c>
      <c r="N1749" t="str">
        <f>""</f>
        <v/>
      </c>
      <c r="O1749" t="str">
        <f>""</f>
        <v/>
      </c>
    </row>
    <row r="1750" spans="1:15" x14ac:dyDescent="0.25">
      <c r="A1750" t="str">
        <f>$A$652</f>
        <v xml:space="preserve">                        SkyWest Inc</v>
      </c>
      <c r="B1750" t="str">
        <f>$B$652</f>
        <v>SKYW US Equity</v>
      </c>
      <c r="C1750" t="str">
        <f>$C$652</f>
        <v>F0946</v>
      </c>
      <c r="D1750" t="str">
        <f>$D$652</f>
        <v>TOTAL_GHG_CO2_EMISSIONS</v>
      </c>
      <c r="E1750" t="str">
        <f>$E$652</f>
        <v>Dynamic</v>
      </c>
      <c r="F1750" t="str">
        <f ca="1">_xll.BDH($B$652,$C$652,$B$1130,$B$1131,CONCATENATE("Per=",$B$1128),"Dts=H","Dir=H",CONCATENATE("Points=",$B$1129),"Sort=R","Days=A","Fill=B",CONCATENATE("FX=", $B$1127),"cols=5;rows=1")</f>
        <v/>
      </c>
      <c r="G1750">
        <v>5.7286000000000001</v>
      </c>
      <c r="K1750" t="str">
        <f>""</f>
        <v/>
      </c>
      <c r="L1750" t="str">
        <f>""</f>
        <v/>
      </c>
      <c r="M1750" t="str">
        <f>""</f>
        <v/>
      </c>
      <c r="N1750" t="str">
        <f>""</f>
        <v/>
      </c>
      <c r="O1750" t="str">
        <f>""</f>
        <v/>
      </c>
    </row>
    <row r="1751" spans="1:15" x14ac:dyDescent="0.25">
      <c r="A1751" t="str">
        <f>$A$653</f>
        <v xml:space="preserve">                        Southwest Airlines Co</v>
      </c>
      <c r="B1751" t="str">
        <f>$B$653</f>
        <v>LUV US Equity</v>
      </c>
      <c r="C1751" t="str">
        <f>$C$653</f>
        <v>F0946</v>
      </c>
      <c r="D1751" t="str">
        <f>$D$653</f>
        <v>TOTAL_GHG_CO2_EMISSIONS</v>
      </c>
      <c r="E1751" t="str">
        <f>$E$653</f>
        <v>Dynamic</v>
      </c>
      <c r="F1751" t="str">
        <f ca="1">_xll.BDH($B$653,$C$653,$B$1130,$B$1131,CONCATENATE("Per=",$B$1128),"Dts=H","Dir=H",CONCATENATE("Points=",$B$1129),"Sort=R","Days=A","Fill=B",CONCATENATE("FX=", $B$1127),"cols=5;rows=1")</f>
        <v/>
      </c>
      <c r="G1751">
        <v>16.385999999999999</v>
      </c>
      <c r="H1751">
        <v>12.6303</v>
      </c>
      <c r="I1751">
        <v>20.577100000000002</v>
      </c>
      <c r="J1751">
        <v>20.584700000000002</v>
      </c>
      <c r="K1751" t="str">
        <f>""</f>
        <v/>
      </c>
      <c r="L1751" t="str">
        <f>""</f>
        <v/>
      </c>
      <c r="M1751" t="str">
        <f>""</f>
        <v/>
      </c>
      <c r="N1751" t="str">
        <f>""</f>
        <v/>
      </c>
      <c r="O1751" t="str">
        <f>""</f>
        <v/>
      </c>
    </row>
    <row r="1752" spans="1:15" x14ac:dyDescent="0.25">
      <c r="A1752" t="str">
        <f>$A$654</f>
        <v xml:space="preserve">                        Spirit Airlines Inc</v>
      </c>
      <c r="B1752" t="str">
        <f>$B$654</f>
        <v>SAVE US Equity</v>
      </c>
      <c r="C1752" t="str">
        <f>$C$654</f>
        <v>F0946</v>
      </c>
      <c r="D1752" t="str">
        <f>$D$654</f>
        <v>TOTAL_GHG_CO2_EMISSIONS</v>
      </c>
      <c r="E1752" t="str">
        <f>$E$654</f>
        <v>Dynamic</v>
      </c>
      <c r="F1752" t="str">
        <f ca="1">_xll.BDH($B$654,$C$654,$B$1130,$B$1131,CONCATENATE("Per=",$B$1128),"Dts=H","Dir=H",CONCATENATE("Points=",$B$1129),"Sort=R","Days=A","Fill=B",CONCATENATE("FX=", $B$1127) )</f>
        <v/>
      </c>
      <c r="K1752" t="str">
        <f>""</f>
        <v/>
      </c>
      <c r="L1752" t="str">
        <f>""</f>
        <v/>
      </c>
      <c r="M1752" t="str">
        <f>""</f>
        <v/>
      </c>
      <c r="N1752" t="str">
        <f>""</f>
        <v/>
      </c>
      <c r="O1752" t="str">
        <f>""</f>
        <v/>
      </c>
    </row>
    <row r="1753" spans="1:15" x14ac:dyDescent="0.25">
      <c r="A1753" t="str">
        <f>$A$655</f>
        <v xml:space="preserve">                        United Airlines Holdings Inc</v>
      </c>
      <c r="B1753" t="str">
        <f>$B$655</f>
        <v>UAL US Equity</v>
      </c>
      <c r="C1753" t="str">
        <f>$C$655</f>
        <v>F0946</v>
      </c>
      <c r="D1753" t="str">
        <f>$D$655</f>
        <v>TOTAL_GHG_CO2_EMISSIONS</v>
      </c>
      <c r="E1753" t="str">
        <f>$E$655</f>
        <v>Dynamic</v>
      </c>
      <c r="F1753">
        <f ca="1">_xll.BDH($B$655,$C$655,$B$1130,$B$1131,CONCATENATE("Per=",$B$1128),"Dts=H","Dir=H",CONCATENATE("Points=",$B$1129),"Sort=R","Days=A","Fill=B",CONCATENATE("FX=", $B$1127),"cols=5;rows=1")</f>
        <v>30.565000000000001</v>
      </c>
      <c r="G1753">
        <v>21.553799999999999</v>
      </c>
      <c r="H1753">
        <v>15.6814</v>
      </c>
      <c r="I1753">
        <v>34.608600000000003</v>
      </c>
      <c r="J1753">
        <v>33.466500000000003</v>
      </c>
      <c r="K1753" t="str">
        <f>""</f>
        <v/>
      </c>
      <c r="L1753" t="str">
        <f>""</f>
        <v/>
      </c>
      <c r="M1753" t="str">
        <f>""</f>
        <v/>
      </c>
      <c r="N1753" t="str">
        <f>""</f>
        <v/>
      </c>
      <c r="O1753" t="str">
        <f>""</f>
        <v/>
      </c>
    </row>
    <row r="1754" spans="1:15" x14ac:dyDescent="0.25">
      <c r="A1754" t="str">
        <f>$A$657</f>
        <v xml:space="preserve">                        Canadian Pacific Railway Ltd</v>
      </c>
      <c r="B1754" t="str">
        <f>$B$657</f>
        <v>CP CN Equity</v>
      </c>
      <c r="C1754" t="str">
        <f>$C$657</f>
        <v>F0946</v>
      </c>
      <c r="D1754" t="str">
        <f>$D$657</f>
        <v>TOTAL_GHG_CO2_EMISSIONS</v>
      </c>
      <c r="E1754" t="str">
        <f>$E$657</f>
        <v>Dynamic</v>
      </c>
      <c r="F1754" t="str">
        <f ca="1">_xll.BDH($B$657,$C$657,$B$1130,$B$1131,CONCATENATE("Per=",$B$1128),"Dts=H","Dir=H",CONCATENATE("Points=",$B$1129),"Sort=R","Days=A","Fill=B",CONCATENATE("FX=", $B$1127),"cols=5;rows=1")</f>
        <v/>
      </c>
      <c r="G1754">
        <v>2.9912000000000001</v>
      </c>
      <c r="H1754">
        <v>3.0308999999999999</v>
      </c>
      <c r="I1754">
        <v>3.1791999999999998</v>
      </c>
      <c r="J1754">
        <v>3.1019000000000001</v>
      </c>
      <c r="K1754" t="str">
        <f>""</f>
        <v/>
      </c>
      <c r="L1754" t="str">
        <f>""</f>
        <v/>
      </c>
      <c r="M1754" t="str">
        <f>""</f>
        <v/>
      </c>
      <c r="N1754" t="str">
        <f>""</f>
        <v/>
      </c>
      <c r="O1754" t="str">
        <f>""</f>
        <v/>
      </c>
    </row>
    <row r="1755" spans="1:15" x14ac:dyDescent="0.25">
      <c r="A1755" t="str">
        <f>$A$658</f>
        <v xml:space="preserve">                        CSX Corp</v>
      </c>
      <c r="B1755" t="str">
        <f>$B$658</f>
        <v>CSX US Equity</v>
      </c>
      <c r="C1755" t="str">
        <f>$C$658</f>
        <v>F0946</v>
      </c>
      <c r="D1755" t="str">
        <f>$D$658</f>
        <v>TOTAL_GHG_CO2_EMISSIONS</v>
      </c>
      <c r="E1755" t="str">
        <f>$E$658</f>
        <v>Dynamic</v>
      </c>
      <c r="F1755" t="str">
        <f ca="1">_xll.BDH($B$658,$C$658,$B$1130,$B$1131,CONCATENATE("Per=",$B$1128),"Dts=H","Dir=H",CONCATENATE("Points=",$B$1129),"Sort=R","Days=A","Fill=B",CONCATENATE("FX=", $B$1127),"cols=5;rows=1")</f>
        <v/>
      </c>
      <c r="G1755">
        <v>4.1294000000000004</v>
      </c>
      <c r="H1755">
        <v>4.0007000000000001</v>
      </c>
      <c r="I1755">
        <v>4.5049000000000001</v>
      </c>
      <c r="J1755">
        <v>4.7816000000000001</v>
      </c>
      <c r="K1755" t="str">
        <f>""</f>
        <v/>
      </c>
      <c r="L1755" t="str">
        <f>""</f>
        <v/>
      </c>
      <c r="M1755" t="str">
        <f>""</f>
        <v/>
      </c>
      <c r="N1755" t="str">
        <f>""</f>
        <v/>
      </c>
      <c r="O1755" t="str">
        <f>""</f>
        <v/>
      </c>
    </row>
    <row r="1756" spans="1:15" x14ac:dyDescent="0.25">
      <c r="A1756" t="str">
        <f>$A$659</f>
        <v xml:space="preserve">                        Canadian National Railway Co</v>
      </c>
      <c r="B1756" t="str">
        <f>$B$659</f>
        <v>CNR CN Equity</v>
      </c>
      <c r="C1756" t="str">
        <f>$C$659</f>
        <v>F0946</v>
      </c>
      <c r="D1756" t="str">
        <f>$D$659</f>
        <v>TOTAL_GHG_CO2_EMISSIONS</v>
      </c>
      <c r="E1756" t="str">
        <f>$E$659</f>
        <v>Dynamic</v>
      </c>
      <c r="F1756" t="str">
        <f ca="1">_xll.BDH($B$659,$C$659,$B$1130,$B$1131,CONCATENATE("Per=",$B$1128),"Dts=H","Dir=H",CONCATENATE("Points=",$B$1129),"Sort=R","Days=A","Fill=B",CONCATENATE("FX=", $B$1127),"cols=5;rows=1")</f>
        <v/>
      </c>
      <c r="G1756">
        <v>5.2336</v>
      </c>
      <c r="H1756">
        <v>5.3977000000000004</v>
      </c>
      <c r="I1756">
        <v>5.9340999999999999</v>
      </c>
      <c r="J1756">
        <v>5.9652000000000003</v>
      </c>
      <c r="K1756" t="str">
        <f>""</f>
        <v/>
      </c>
      <c r="L1756" t="str">
        <f>""</f>
        <v/>
      </c>
      <c r="M1756" t="str">
        <f>""</f>
        <v/>
      </c>
      <c r="N1756" t="str">
        <f>""</f>
        <v/>
      </c>
      <c r="O1756" t="str">
        <f>""</f>
        <v/>
      </c>
    </row>
    <row r="1757" spans="1:15" x14ac:dyDescent="0.25">
      <c r="A1757" t="str">
        <f>$A$660</f>
        <v xml:space="preserve">                        Norfolk Southern Corp</v>
      </c>
      <c r="B1757" t="str">
        <f>$B$660</f>
        <v>NSC US Equity</v>
      </c>
      <c r="C1757" t="str">
        <f>$C$660</f>
        <v>F0946</v>
      </c>
      <c r="D1757" t="str">
        <f>$D$660</f>
        <v>TOTAL_GHG_CO2_EMISSIONS</v>
      </c>
      <c r="E1757" t="str">
        <f>$E$660</f>
        <v>Dynamic</v>
      </c>
      <c r="F1757" t="str">
        <f ca="1">_xll.BDH($B$660,$C$660,$B$1130,$B$1131,CONCATENATE("Per=",$B$1128),"Dts=H","Dir=H",CONCATENATE("Points=",$B$1129),"Sort=R","Days=A","Fill=B",CONCATENATE("FX=", $B$1127),"cols=5;rows=1")</f>
        <v/>
      </c>
      <c r="G1757">
        <v>4.3136999999999999</v>
      </c>
      <c r="H1757">
        <v>3.9799000000000002</v>
      </c>
      <c r="I1757">
        <v>4.9855</v>
      </c>
      <c r="J1757">
        <v>5.1262999999999996</v>
      </c>
      <c r="K1757" t="str">
        <f>""</f>
        <v/>
      </c>
      <c r="L1757" t="str">
        <f>""</f>
        <v/>
      </c>
      <c r="M1757" t="str">
        <f>""</f>
        <v/>
      </c>
      <c r="N1757" t="str">
        <f>""</f>
        <v/>
      </c>
      <c r="O1757" t="str">
        <f>""</f>
        <v/>
      </c>
    </row>
    <row r="1758" spans="1:15" x14ac:dyDescent="0.25">
      <c r="A1758" t="str">
        <f>$A$661</f>
        <v xml:space="preserve">                        Union Pacific Corp</v>
      </c>
      <c r="B1758" t="str">
        <f>$B$661</f>
        <v>UNP US Equity</v>
      </c>
      <c r="C1758" t="str">
        <f>$C$661</f>
        <v>F0946</v>
      </c>
      <c r="D1758" t="str">
        <f>$D$661</f>
        <v>TOTAL_GHG_CO2_EMISSIONS</v>
      </c>
      <c r="E1758" t="str">
        <f>$E$661</f>
        <v>Dynamic</v>
      </c>
      <c r="F1758" t="str">
        <f ca="1">_xll.BDH($B$661,$C$661,$B$1130,$B$1131,CONCATENATE("Per=",$B$1128),"Dts=H","Dir=H",CONCATENATE("Points=",$B$1129),"Sort=R","Days=A","Fill=B",CONCATENATE("FX=", $B$1127),"cols=5;rows=1")</f>
        <v/>
      </c>
      <c r="G1758">
        <v>9.4657999999999998</v>
      </c>
      <c r="H1758">
        <v>9.1575000000000006</v>
      </c>
      <c r="I1758">
        <v>10.4155</v>
      </c>
      <c r="J1758">
        <v>11.7592</v>
      </c>
      <c r="K1758" t="str">
        <f>""</f>
        <v/>
      </c>
      <c r="L1758" t="str">
        <f>""</f>
        <v/>
      </c>
      <c r="M1758" t="str">
        <f>""</f>
        <v/>
      </c>
      <c r="N1758" t="str">
        <f>""</f>
        <v/>
      </c>
      <c r="O1758" t="str">
        <f>""</f>
        <v/>
      </c>
    </row>
    <row r="1759" spans="1:15" x14ac:dyDescent="0.25">
      <c r="A1759" t="str">
        <f>$A$664</f>
        <v xml:space="preserve">                        United States Postal Service</v>
      </c>
      <c r="B1759" t="str">
        <f>$B$664</f>
        <v>6507Z US Equity</v>
      </c>
      <c r="C1759" t="str">
        <f>$C$664</f>
        <v>F0946</v>
      </c>
      <c r="D1759" t="str">
        <f>$D$664</f>
        <v>TOTAL_GHG_CO2_EMISSIONS</v>
      </c>
      <c r="E1759" t="str">
        <f>$E$664</f>
        <v>Dynamic</v>
      </c>
      <c r="F1759" t="str">
        <f ca="1">_xll.BDH($B$664,$C$664,$B$1130,$B$1131,CONCATENATE("Per=",$B$1128),"Dts=H","Dir=H",CONCATENATE("Points=",$B$1129),"Sort=R","Days=A","Fill=B",CONCATENATE("FX=", $B$1127) )</f>
        <v/>
      </c>
      <c r="K1759" t="str">
        <f>""</f>
        <v/>
      </c>
      <c r="L1759" t="str">
        <f>""</f>
        <v/>
      </c>
      <c r="M1759" t="str">
        <f>""</f>
        <v/>
      </c>
      <c r="N1759" t="str">
        <f>""</f>
        <v/>
      </c>
      <c r="O1759" t="str">
        <f>""</f>
        <v/>
      </c>
    </row>
    <row r="1760" spans="1:15" x14ac:dyDescent="0.25">
      <c r="A1760" t="str">
        <f>$A$665</f>
        <v xml:space="preserve">                        Aramex PJSC</v>
      </c>
      <c r="B1760" t="str">
        <f>$B$665</f>
        <v>ARMX UH Equity</v>
      </c>
      <c r="C1760" t="str">
        <f>$C$665</f>
        <v>F0946</v>
      </c>
      <c r="D1760" t="str">
        <f>$D$665</f>
        <v>TOTAL_GHG_CO2_EMISSIONS</v>
      </c>
      <c r="E1760" t="str">
        <f>$E$665</f>
        <v>Dynamic</v>
      </c>
      <c r="F1760">
        <f ca="1">_xll.BDH($B$665,$C$665,$B$1130,$B$1131,CONCATENATE("Per=",$B$1128),"Dts=H","Dir=H",CONCATENATE("Points=",$B$1129),"Sort=R","Days=A","Fill=B",CONCATENATE("FX=", $B$1127),"cols=5;rows=1")</f>
        <v>8.6900000000000005E-2</v>
      </c>
      <c r="G1760">
        <v>9.5399999999999999E-2</v>
      </c>
      <c r="H1760">
        <v>9.8699999999999996E-2</v>
      </c>
      <c r="I1760">
        <v>9.9299999999999999E-2</v>
      </c>
      <c r="J1760">
        <v>8.0799999999999997E-2</v>
      </c>
      <c r="K1760" t="str">
        <f>""</f>
        <v/>
      </c>
      <c r="L1760" t="str">
        <f>""</f>
        <v/>
      </c>
      <c r="M1760" t="str">
        <f>""</f>
        <v/>
      </c>
      <c r="N1760" t="str">
        <f>""</f>
        <v/>
      </c>
      <c r="O1760" t="str">
        <f>""</f>
        <v/>
      </c>
    </row>
    <row r="1761" spans="1:15" x14ac:dyDescent="0.25">
      <c r="A1761" t="str">
        <f>$A$666</f>
        <v xml:space="preserve">                        Australian Postal Corp</v>
      </c>
      <c r="B1761" t="str">
        <f>$B$666</f>
        <v>1067Z AU Equity</v>
      </c>
      <c r="C1761" t="str">
        <f>$C$666</f>
        <v>F0946</v>
      </c>
      <c r="D1761" t="str">
        <f>$D$666</f>
        <v>TOTAL_GHG_CO2_EMISSIONS</v>
      </c>
      <c r="E1761" t="str">
        <f>$E$666</f>
        <v>Dynamic</v>
      </c>
      <c r="F1761" t="str">
        <f ca="1">_xll.BDH($B$666,$C$666,$B$1130,$B$1131,CONCATENATE("Per=",$B$1128),"Dts=H","Dir=H",CONCATENATE("Points=",$B$1129),"Sort=R","Days=A","Fill=B",CONCATENATE("FX=", $B$1127) )</f>
        <v/>
      </c>
      <c r="K1761" t="str">
        <f>""</f>
        <v/>
      </c>
      <c r="L1761" t="str">
        <f>""</f>
        <v/>
      </c>
      <c r="M1761" t="str">
        <f>""</f>
        <v/>
      </c>
      <c r="N1761" t="str">
        <f>""</f>
        <v/>
      </c>
      <c r="O1761" t="str">
        <f>""</f>
        <v/>
      </c>
    </row>
    <row r="1762" spans="1:15" x14ac:dyDescent="0.25">
      <c r="A1762" t="str">
        <f>$A$667</f>
        <v xml:space="preserve">                        Canada Post Corp</v>
      </c>
      <c r="B1762" t="str">
        <f>$B$667</f>
        <v>3471586Z US Equity</v>
      </c>
      <c r="C1762" t="str">
        <f>$C$667</f>
        <v>F0946</v>
      </c>
      <c r="D1762" t="str">
        <f>$D$667</f>
        <v>TOTAL_GHG_CO2_EMISSIONS</v>
      </c>
      <c r="E1762" t="str">
        <f>$E$667</f>
        <v>Dynamic</v>
      </c>
      <c r="F1762" t="str">
        <f ca="1">_xll.BDH($B$667,$C$667,$B$1130,$B$1131,CONCATENATE("Per=",$B$1128),"Dts=H","Dir=H",CONCATENATE("Points=",$B$1129),"Sort=R","Days=A","Fill=B",CONCATENATE("FX=", $B$1127) )</f>
        <v/>
      </c>
      <c r="K1762" t="str">
        <f>""</f>
        <v/>
      </c>
      <c r="L1762" t="str">
        <f>""</f>
        <v/>
      </c>
      <c r="M1762" t="str">
        <f>""</f>
        <v/>
      </c>
      <c r="N1762" t="str">
        <f>""</f>
        <v/>
      </c>
      <c r="O1762" t="str">
        <f>""</f>
        <v/>
      </c>
    </row>
    <row r="1763" spans="1:15" x14ac:dyDescent="0.25">
      <c r="A1763" t="str">
        <f>$A$668</f>
        <v xml:space="preserve">                        CJ Logistics Corp</v>
      </c>
      <c r="B1763" t="str">
        <f>$B$668</f>
        <v>000120 KS Equity</v>
      </c>
      <c r="C1763" t="str">
        <f>$C$668</f>
        <v>F0946</v>
      </c>
      <c r="D1763" t="str">
        <f>$D$668</f>
        <v>TOTAL_GHG_CO2_EMISSIONS</v>
      </c>
      <c r="E1763" t="str">
        <f>$E$668</f>
        <v>Dynamic</v>
      </c>
      <c r="F1763" t="str">
        <f ca="1">_xll.BDH($B$668,$C$668,$B$1130,$B$1131,CONCATENATE("Per=",$B$1128),"Dts=H","Dir=H",CONCATENATE("Points=",$B$1129),"Sort=R","Days=A","Fill=B",CONCATENATE("FX=", $B$1127),"cols=5;rows=1")</f>
        <v/>
      </c>
      <c r="G1763">
        <v>0.2283</v>
      </c>
      <c r="H1763">
        <v>0.22720000000000001</v>
      </c>
      <c r="I1763">
        <v>0.21479999999999999</v>
      </c>
      <c r="J1763">
        <v>0.2167</v>
      </c>
      <c r="K1763" t="str">
        <f>""</f>
        <v/>
      </c>
      <c r="L1763" t="str">
        <f>""</f>
        <v/>
      </c>
      <c r="M1763" t="str">
        <f>""</f>
        <v/>
      </c>
      <c r="N1763" t="str">
        <f>""</f>
        <v/>
      </c>
      <c r="O1763" t="str">
        <f>""</f>
        <v/>
      </c>
    </row>
    <row r="1764" spans="1:15" x14ac:dyDescent="0.25">
      <c r="A1764" t="str">
        <f>$A$669</f>
        <v xml:space="preserve">                        Deutsche Post AG</v>
      </c>
      <c r="B1764" t="str">
        <f>$B$669</f>
        <v>DPW GR Equity</v>
      </c>
      <c r="C1764" t="str">
        <f>$C$669</f>
        <v>F0946</v>
      </c>
      <c r="D1764" t="str">
        <f>$D$669</f>
        <v>TOTAL_GHG_CO2_EMISSIONS</v>
      </c>
      <c r="E1764" t="str">
        <f>$E$669</f>
        <v>Dynamic</v>
      </c>
      <c r="F1764">
        <f ca="1">_xll.BDH($B$669,$C$669,$B$1130,$B$1131,CONCATENATE("Per=",$B$1128),"Dts=H","Dir=H",CONCATENATE("Points=",$B$1129),"Sort=R","Days=A","Fill=B",CONCATENATE("FX=", $B$1127),"cols=5;rows=1")</f>
        <v>8.99</v>
      </c>
      <c r="G1764">
        <v>8.07</v>
      </c>
      <c r="H1764">
        <v>7.2480000000000002</v>
      </c>
      <c r="I1764">
        <v>7.13</v>
      </c>
      <c r="J1764">
        <v>7.1</v>
      </c>
      <c r="K1764" t="str">
        <f>""</f>
        <v/>
      </c>
      <c r="L1764" t="str">
        <f>""</f>
        <v/>
      </c>
      <c r="M1764" t="str">
        <f>""</f>
        <v/>
      </c>
      <c r="N1764" t="str">
        <f>""</f>
        <v/>
      </c>
      <c r="O1764" t="str">
        <f>""</f>
        <v/>
      </c>
    </row>
    <row r="1765" spans="1:15" x14ac:dyDescent="0.25">
      <c r="A1765" t="str">
        <f>$A$670</f>
        <v xml:space="preserve">                        Empresa Brasileira de Correios</v>
      </c>
      <c r="B1765" t="str">
        <f>$B$670</f>
        <v>3623171Z BZ Equity</v>
      </c>
      <c r="C1765" t="str">
        <f>$C$670</f>
        <v>F0946</v>
      </c>
      <c r="D1765" t="str">
        <f>$D$670</f>
        <v>TOTAL_GHG_CO2_EMISSIONS</v>
      </c>
      <c r="E1765" t="str">
        <f>$E$670</f>
        <v>Dynamic</v>
      </c>
      <c r="F1765" t="str">
        <f ca="1">_xll.BDH($B$670,$C$670,$B$1130,$B$1131,CONCATENATE("Per=",$B$1128),"Dts=H","Dir=H",CONCATENATE("Points=",$B$1129),"Sort=R","Days=A","Fill=B",CONCATENATE("FX=", $B$1127) )</f>
        <v/>
      </c>
      <c r="K1765" t="str">
        <f>""</f>
        <v/>
      </c>
      <c r="L1765" t="str">
        <f>""</f>
        <v/>
      </c>
      <c r="M1765" t="str">
        <f>""</f>
        <v/>
      </c>
      <c r="N1765" t="str">
        <f>""</f>
        <v/>
      </c>
      <c r="O1765" t="str">
        <f>""</f>
        <v/>
      </c>
    </row>
    <row r="1766" spans="1:15" x14ac:dyDescent="0.25">
      <c r="A1766" t="str">
        <f>$A$671</f>
        <v xml:space="preserve">                        FedEx Corp</v>
      </c>
      <c r="B1766" t="str">
        <f>$B$671</f>
        <v>FDX US Equity</v>
      </c>
      <c r="C1766" t="str">
        <f>$C$671</f>
        <v>F0946</v>
      </c>
      <c r="D1766" t="str">
        <f>$D$671</f>
        <v>TOTAL_GHG_CO2_EMISSIONS</v>
      </c>
      <c r="E1766" t="str">
        <f>$E$671</f>
        <v>Dynamic</v>
      </c>
      <c r="F1766" t="str">
        <f ca="1">_xll.BDH($B$671,$C$671,$B$1130,$B$1131,CONCATENATE("Per=",$B$1128),"Dts=H","Dir=H",CONCATENATE("Points=",$B$1129),"Sort=R","Days=A","Fill=B",CONCATENATE("FX=", $B$1127),"cols=5;rows=1")</f>
        <v/>
      </c>
      <c r="G1766">
        <v>17.978300000000001</v>
      </c>
      <c r="H1766">
        <v>17.593900000000001</v>
      </c>
      <c r="I1766">
        <v>16.183599999999998</v>
      </c>
      <c r="J1766">
        <v>16.402200000000001</v>
      </c>
      <c r="K1766" t="str">
        <f>""</f>
        <v/>
      </c>
      <c r="L1766" t="str">
        <f>""</f>
        <v/>
      </c>
      <c r="M1766" t="str">
        <f>""</f>
        <v/>
      </c>
      <c r="N1766" t="str">
        <f>""</f>
        <v/>
      </c>
      <c r="O1766" t="str">
        <f>""</f>
        <v/>
      </c>
    </row>
    <row r="1767" spans="1:15" x14ac:dyDescent="0.25">
      <c r="A1767" t="str">
        <f>$A$672</f>
        <v xml:space="preserve">                        Freightways Group Ltd</v>
      </c>
      <c r="B1767" t="str">
        <f>$B$672</f>
        <v>FRW NZ Equity</v>
      </c>
      <c r="C1767" t="str">
        <f>$C$672</f>
        <v>F0946</v>
      </c>
      <c r="D1767" t="str">
        <f>$D$672</f>
        <v>TOTAL_GHG_CO2_EMISSIONS</v>
      </c>
      <c r="E1767" t="str">
        <f>$E$672</f>
        <v>Dynamic</v>
      </c>
      <c r="F1767" t="str">
        <f ca="1">_xll.BDH($B$672,$C$672,$B$1130,$B$1131,CONCATENATE("Per=",$B$1128),"Dts=H","Dir=H",CONCATENATE("Points=",$B$1129),"Sort=R","Days=A","Fill=B",CONCATENATE("FX=", $B$1127),"cols=5;rows=1")</f>
        <v/>
      </c>
      <c r="G1767">
        <v>1.41E-2</v>
      </c>
      <c r="H1767">
        <v>4.4999999999999997E-3</v>
      </c>
      <c r="I1767">
        <v>4.7000000000000002E-3</v>
      </c>
      <c r="J1767">
        <v>4.7999999999999996E-3</v>
      </c>
      <c r="K1767" t="str">
        <f>""</f>
        <v/>
      </c>
      <c r="L1767" t="str">
        <f>""</f>
        <v/>
      </c>
      <c r="M1767" t="str">
        <f>""</f>
        <v/>
      </c>
      <c r="N1767" t="str">
        <f>""</f>
        <v/>
      </c>
      <c r="O1767" t="str">
        <f>""</f>
        <v/>
      </c>
    </row>
    <row r="1768" spans="1:15" x14ac:dyDescent="0.25">
      <c r="A1768" t="str">
        <f>$A$673</f>
        <v xml:space="preserve">                        HMM Co Ltd</v>
      </c>
      <c r="B1768" t="str">
        <f>$B$673</f>
        <v>011200 KS Equity</v>
      </c>
      <c r="C1768" t="str">
        <f>$C$673</f>
        <v>F0946</v>
      </c>
      <c r="D1768" t="str">
        <f>$D$673</f>
        <v>TOTAL_GHG_CO2_EMISSIONS</v>
      </c>
      <c r="E1768" t="str">
        <f>$E$673</f>
        <v>Dynamic</v>
      </c>
      <c r="F1768" t="str">
        <f ca="1">_xll.BDH($B$673,$C$673,$B$1130,$B$1131,CONCATENATE("Per=",$B$1128),"Dts=H","Dir=H",CONCATENATE("Points=",$B$1129),"Sort=R","Days=A","Fill=B",CONCATENATE("FX=", $B$1127),"cols=5;rows=1")</f>
        <v/>
      </c>
      <c r="G1768">
        <v>5.5133999999999999</v>
      </c>
      <c r="H1768">
        <v>4.9119999999999999</v>
      </c>
      <c r="I1768">
        <v>4.2374999999999998</v>
      </c>
      <c r="J1768">
        <v>4.7312000000000003</v>
      </c>
      <c r="K1768" t="str">
        <f>""</f>
        <v/>
      </c>
      <c r="L1768" t="str">
        <f>""</f>
        <v/>
      </c>
      <c r="M1768" t="str">
        <f>""</f>
        <v/>
      </c>
      <c r="N1768" t="str">
        <f>""</f>
        <v/>
      </c>
      <c r="O1768" t="str">
        <f>""</f>
        <v/>
      </c>
    </row>
    <row r="1769" spans="1:15" x14ac:dyDescent="0.25">
      <c r="A1769" t="str">
        <f>$A$674</f>
        <v xml:space="preserve">                        Hanjin Transportation Co Ltd</v>
      </c>
      <c r="B1769" t="str">
        <f>$B$674</f>
        <v>002320 KS Equity</v>
      </c>
      <c r="C1769" t="str">
        <f>$C$674</f>
        <v>F0946</v>
      </c>
      <c r="D1769" t="str">
        <f>$D$674</f>
        <v>TOTAL_GHG_CO2_EMISSIONS</v>
      </c>
      <c r="E1769" t="str">
        <f>$E$674</f>
        <v>Dynamic</v>
      </c>
      <c r="F1769" t="str">
        <f ca="1">_xll.BDH($B$674,$C$674,$B$1130,$B$1131,CONCATENATE("Per=",$B$1128),"Dts=H","Dir=H",CONCATENATE("Points=",$B$1129),"Sort=R","Days=A","Fill=B",CONCATENATE("FX=", $B$1127),"cols=5;rows=1")</f>
        <v/>
      </c>
      <c r="G1769">
        <v>0.10879999999999999</v>
      </c>
      <c r="H1769">
        <v>0.1081</v>
      </c>
      <c r="I1769">
        <v>0.1245</v>
      </c>
      <c r="J1769">
        <v>0.12429999999999999</v>
      </c>
      <c r="K1769" t="str">
        <f>""</f>
        <v/>
      </c>
      <c r="L1769" t="str">
        <f>""</f>
        <v/>
      </c>
      <c r="M1769" t="str">
        <f>""</f>
        <v/>
      </c>
      <c r="N1769" t="str">
        <f>""</f>
        <v/>
      </c>
      <c r="O1769" t="str">
        <f>""</f>
        <v/>
      </c>
    </row>
    <row r="1770" spans="1:15" x14ac:dyDescent="0.25">
      <c r="A1770" t="str">
        <f>$A$675</f>
        <v xml:space="preserve">                        Japan Post Service Co Ltd</v>
      </c>
      <c r="B1770" t="str">
        <f>$B$675</f>
        <v>JPSRVZ JP Equity</v>
      </c>
      <c r="C1770" t="str">
        <f>$C$675</f>
        <v>F0946</v>
      </c>
      <c r="D1770" t="str">
        <f>$D$675</f>
        <v>TOTAL_GHG_CO2_EMISSIONS</v>
      </c>
      <c r="E1770" t="str">
        <f>$E$675</f>
        <v>Dynamic</v>
      </c>
      <c r="F1770" t="str">
        <f ca="1">_xll.BDH($B$675,$C$675,$B$1130,$B$1131,CONCATENATE("Per=",$B$1128),"Dts=H","Dir=H",CONCATENATE("Points=",$B$1129),"Sort=R","Days=A","Fill=B",CONCATENATE("FX=", $B$1127) )</f>
        <v/>
      </c>
      <c r="K1770" t="str">
        <f>""</f>
        <v/>
      </c>
      <c r="L1770" t="str">
        <f>""</f>
        <v/>
      </c>
      <c r="M1770" t="str">
        <f>""</f>
        <v/>
      </c>
      <c r="N1770" t="str">
        <f>""</f>
        <v/>
      </c>
      <c r="O1770" t="str">
        <f>""</f>
        <v/>
      </c>
    </row>
    <row r="1771" spans="1:15" x14ac:dyDescent="0.25">
      <c r="A1771" t="str">
        <f>$A$676</f>
        <v xml:space="preserve">                        La Poste SA</v>
      </c>
      <c r="B1771" t="str">
        <f>$B$676</f>
        <v>222691Z FP Equity</v>
      </c>
      <c r="C1771" t="str">
        <f>$C$676</f>
        <v>F0946</v>
      </c>
      <c r="D1771" t="str">
        <f>$D$676</f>
        <v>TOTAL_GHG_CO2_EMISSIONS</v>
      </c>
      <c r="E1771" t="str">
        <f>$E$676</f>
        <v>Dynamic</v>
      </c>
      <c r="F1771" t="str">
        <f ca="1">_xll.BDH($B$676,$C$676,$B$1130,$B$1131,CONCATENATE("Per=",$B$1128),"Dts=H","Dir=H",CONCATENATE("Points=",$B$1129),"Sort=R","Days=A","Fill=B",CONCATENATE("FX=", $B$1127),"cols=5;rows=1")</f>
        <v/>
      </c>
      <c r="G1771">
        <v>0.50490000000000002</v>
      </c>
      <c r="H1771">
        <v>0.44540000000000002</v>
      </c>
      <c r="K1771" t="str">
        <f>""</f>
        <v/>
      </c>
      <c r="L1771" t="str">
        <f>""</f>
        <v/>
      </c>
      <c r="M1771" t="str">
        <f>""</f>
        <v/>
      </c>
      <c r="N1771" t="str">
        <f>""</f>
        <v/>
      </c>
      <c r="O1771" t="str">
        <f>""</f>
        <v/>
      </c>
    </row>
    <row r="1772" spans="1:15" x14ac:dyDescent="0.25">
      <c r="A1772" t="str">
        <f>$A$677</f>
        <v xml:space="preserve">                        Oesterreichische Post AG</v>
      </c>
      <c r="B1772" t="str">
        <f>$B$677</f>
        <v>POST AV Equity</v>
      </c>
      <c r="C1772" t="str">
        <f>$C$677</f>
        <v>F0946</v>
      </c>
      <c r="D1772" t="str">
        <f>$D$677</f>
        <v>TOTAL_GHG_CO2_EMISSIONS</v>
      </c>
      <c r="E1772" t="str">
        <f>$E$677</f>
        <v>Dynamic</v>
      </c>
      <c r="F1772">
        <f ca="1">_xll.BDH($B$677,$C$677,$B$1130,$B$1131,CONCATENATE("Per=",$B$1128),"Dts=H","Dir=H",CONCATENATE("Points=",$B$1129),"Sort=R","Days=A","Fill=B",CONCATENATE("FX=", $B$1127),"cols=5;rows=1")</f>
        <v>8.0799999999999997E-2</v>
      </c>
      <c r="G1772">
        <v>8.8499999999999995E-2</v>
      </c>
      <c r="H1772">
        <v>6.7599999999999993E-2</v>
      </c>
      <c r="I1772">
        <v>7.1400000000000005E-2</v>
      </c>
      <c r="J1772">
        <v>6.5799999999999997E-2</v>
      </c>
      <c r="K1772" t="str">
        <f>""</f>
        <v/>
      </c>
      <c r="L1772" t="str">
        <f>""</f>
        <v/>
      </c>
      <c r="M1772" t="str">
        <f>""</f>
        <v/>
      </c>
      <c r="N1772" t="str">
        <f>""</f>
        <v/>
      </c>
      <c r="O1772" t="str">
        <f>""</f>
        <v/>
      </c>
    </row>
    <row r="1773" spans="1:15" x14ac:dyDescent="0.25">
      <c r="A1773" t="str">
        <f>$A$678</f>
        <v xml:space="preserve">                        Postal Services Holding Co Ltd</v>
      </c>
      <c r="B1773" t="str">
        <f>$B$678</f>
        <v>3900202Z LN Equity</v>
      </c>
      <c r="C1773" t="str">
        <f>$C$678</f>
        <v>F0946</v>
      </c>
      <c r="D1773" t="str">
        <f>$D$678</f>
        <v>TOTAL_GHG_CO2_EMISSIONS</v>
      </c>
      <c r="E1773" t="str">
        <f>$E$678</f>
        <v>Dynamic</v>
      </c>
      <c r="F1773" t="str">
        <f ca="1">_xll.BDH($B$678,$C$678,$B$1130,$B$1131,CONCATENATE("Per=",$B$1128),"Dts=H","Dir=H",CONCATENATE("Points=",$B$1129),"Sort=R","Days=A","Fill=B",CONCATENATE("FX=", $B$1127) )</f>
        <v/>
      </c>
      <c r="K1773" t="str">
        <f>""</f>
        <v/>
      </c>
      <c r="L1773" t="str">
        <f>""</f>
        <v/>
      </c>
      <c r="M1773" t="str">
        <f>""</f>
        <v/>
      </c>
      <c r="N1773" t="str">
        <f>""</f>
        <v/>
      </c>
      <c r="O1773" t="str">
        <f>""</f>
        <v/>
      </c>
    </row>
    <row r="1774" spans="1:15" x14ac:dyDescent="0.25">
      <c r="A1774" t="str">
        <f>$A$679</f>
        <v xml:space="preserve">                        Poste Italiane SpA</v>
      </c>
      <c r="B1774" t="str">
        <f>$B$679</f>
        <v>PST IM Equity</v>
      </c>
      <c r="C1774" t="str">
        <f>$C$679</f>
        <v>F0946</v>
      </c>
      <c r="D1774" t="str">
        <f>$D$679</f>
        <v>TOTAL_GHG_CO2_EMISSIONS</v>
      </c>
      <c r="E1774" t="str">
        <f>$E$679</f>
        <v>Dynamic</v>
      </c>
      <c r="F1774">
        <f ca="1">_xll.BDH($B$679,$C$679,$B$1130,$B$1131,CONCATENATE("Per=",$B$1128),"Dts=H","Dir=H",CONCATENATE("Points=",$B$1129),"Sort=R","Days=A","Fill=B",CONCATENATE("FX=", $B$1127),"cols=5;rows=1")</f>
        <v>0.29189999999999999</v>
      </c>
      <c r="G1774">
        <v>0.3085</v>
      </c>
      <c r="H1774">
        <v>0.3095</v>
      </c>
      <c r="I1774">
        <v>0.3236</v>
      </c>
      <c r="J1774">
        <v>0.318</v>
      </c>
      <c r="K1774" t="str">
        <f>""</f>
        <v/>
      </c>
      <c r="L1774" t="str">
        <f>""</f>
        <v/>
      </c>
      <c r="M1774" t="str">
        <f>""</f>
        <v/>
      </c>
      <c r="N1774" t="str">
        <f>""</f>
        <v/>
      </c>
      <c r="O1774" t="str">
        <f>""</f>
        <v/>
      </c>
    </row>
    <row r="1775" spans="1:15" x14ac:dyDescent="0.25">
      <c r="A1775" t="str">
        <f>$A$680</f>
        <v xml:space="preserve">                        PostNL NV</v>
      </c>
      <c r="B1775" t="str">
        <f>$B$680</f>
        <v>PNL NA Equity</v>
      </c>
      <c r="C1775" t="str">
        <f>$C$680</f>
        <v>F0946</v>
      </c>
      <c r="D1775" t="str">
        <f>$D$680</f>
        <v>TOTAL_GHG_CO2_EMISSIONS</v>
      </c>
      <c r="E1775" t="str">
        <f>$E$680</f>
        <v>Dynamic</v>
      </c>
      <c r="F1775" t="str">
        <f ca="1">_xll.BDH($B$680,$C$680,$B$1130,$B$1131,CONCATENATE("Per=",$B$1128),"Dts=H","Dir=H",CONCATENATE("Points=",$B$1129),"Sort=R","Days=A","Fill=B",CONCATENATE("FX=", $B$1127),"cols=5;rows=1")</f>
        <v/>
      </c>
      <c r="G1775">
        <v>3.4500000000000003E-2</v>
      </c>
      <c r="H1775">
        <v>0.04</v>
      </c>
      <c r="I1775">
        <v>0.04</v>
      </c>
      <c r="J1775">
        <v>7.5999999999999998E-2</v>
      </c>
      <c r="K1775" t="str">
        <f>""</f>
        <v/>
      </c>
      <c r="L1775" t="str">
        <f>""</f>
        <v/>
      </c>
      <c r="M1775" t="str">
        <f>""</f>
        <v/>
      </c>
      <c r="N1775" t="str">
        <f>""</f>
        <v/>
      </c>
      <c r="O1775" t="str">
        <f>""</f>
        <v/>
      </c>
    </row>
    <row r="1776" spans="1:15" x14ac:dyDescent="0.25">
      <c r="A1776" t="str">
        <f>$A$681</f>
        <v xml:space="preserve">                        Quest Holdings SA</v>
      </c>
      <c r="B1776" t="str">
        <f>$B$681</f>
        <v>QUEST GA Equity</v>
      </c>
      <c r="C1776" t="str">
        <f>$C$681</f>
        <v>F0946</v>
      </c>
      <c r="D1776" t="str">
        <f>$D$681</f>
        <v>TOTAL_GHG_CO2_EMISSIONS</v>
      </c>
      <c r="E1776" t="str">
        <f>$E$681</f>
        <v>Dynamic</v>
      </c>
      <c r="F1776" t="str">
        <f ca="1">_xll.BDH($B$681,$C$681,$B$1130,$B$1131,CONCATENATE("Per=",$B$1128),"Dts=H","Dir=H",CONCATENATE("Points=",$B$1129),"Sort=R","Days=A","Fill=B",CONCATENATE("FX=", $B$1127),"cols=5;rows=1")</f>
        <v/>
      </c>
      <c r="G1776">
        <v>1.6000000000000001E-3</v>
      </c>
      <c r="H1776">
        <v>1.5E-3</v>
      </c>
      <c r="I1776">
        <v>2.3E-3</v>
      </c>
      <c r="J1776">
        <v>2.0999999999999999E-3</v>
      </c>
      <c r="K1776" t="str">
        <f>""</f>
        <v/>
      </c>
      <c r="L1776" t="str">
        <f>""</f>
        <v/>
      </c>
      <c r="M1776" t="str">
        <f>""</f>
        <v/>
      </c>
      <c r="N1776" t="str">
        <f>""</f>
        <v/>
      </c>
      <c r="O1776" t="str">
        <f>""</f>
        <v/>
      </c>
    </row>
    <row r="1777" spans="1:15" x14ac:dyDescent="0.25">
      <c r="A1777" t="str">
        <f>$A$682</f>
        <v xml:space="preserve">                        Rentokil Initial PLC</v>
      </c>
      <c r="B1777" t="str">
        <f>$B$682</f>
        <v>RTO LN Equity</v>
      </c>
      <c r="C1777" t="str">
        <f>$C$682</f>
        <v>F0946</v>
      </c>
      <c r="D1777" t="str">
        <f>$D$682</f>
        <v>TOTAL_GHG_CO2_EMISSIONS</v>
      </c>
      <c r="E1777" t="str">
        <f>$E$682</f>
        <v>Dynamic</v>
      </c>
      <c r="F1777">
        <f ca="1">_xll.BDH($B$682,$C$682,$B$1130,$B$1131,CONCATENATE("Per=",$B$1128),"Dts=H","Dir=H",CONCATENATE("Points=",$B$1129),"Sort=R","Days=A","Fill=B",CONCATENATE("FX=", $B$1127),"cols=5;rows=1")</f>
        <v>0.21679999999999999</v>
      </c>
      <c r="G1777">
        <v>0.2001</v>
      </c>
      <c r="H1777">
        <v>0.18509999999999999</v>
      </c>
      <c r="I1777">
        <v>0.1961</v>
      </c>
      <c r="J1777">
        <v>0.18690000000000001</v>
      </c>
      <c r="K1777" t="str">
        <f>""</f>
        <v/>
      </c>
      <c r="L1777" t="str">
        <f>""</f>
        <v/>
      </c>
      <c r="M1777" t="str">
        <f>""</f>
        <v/>
      </c>
      <c r="N1777" t="str">
        <f>""</f>
        <v/>
      </c>
      <c r="O1777" t="str">
        <f>""</f>
        <v/>
      </c>
    </row>
    <row r="1778" spans="1:15" x14ac:dyDescent="0.25">
      <c r="A1778" t="str">
        <f>$A$683</f>
        <v xml:space="preserve">                        Russian Post FGUP</v>
      </c>
      <c r="B1778" t="str">
        <f>$B$683</f>
        <v>POCHT RU Equity</v>
      </c>
      <c r="C1778" t="str">
        <f>$C$683</f>
        <v>F0946</v>
      </c>
      <c r="D1778" t="str">
        <f>$D$683</f>
        <v>TOTAL_GHG_CO2_EMISSIONS</v>
      </c>
      <c r="E1778" t="str">
        <f>$E$683</f>
        <v>Dynamic</v>
      </c>
      <c r="F1778" t="str">
        <f ca="1">_xll.BDH($B$683,$C$683,$B$1130,$B$1131,CONCATENATE("Per=",$B$1128),"Dts=H","Dir=H",CONCATENATE("Points=",$B$1129),"Sort=R","Days=A","Fill=B",CONCATENATE("FX=", $B$1127) )</f>
        <v/>
      </c>
      <c r="K1778" t="str">
        <f>""</f>
        <v/>
      </c>
      <c r="L1778" t="str">
        <f>""</f>
        <v/>
      </c>
      <c r="M1778" t="str">
        <f>""</f>
        <v/>
      </c>
      <c r="N1778" t="str">
        <f>""</f>
        <v/>
      </c>
      <c r="O1778" t="str">
        <f>""</f>
        <v/>
      </c>
    </row>
    <row r="1779" spans="1:15" x14ac:dyDescent="0.25">
      <c r="A1779" t="str">
        <f>$A$684</f>
        <v xml:space="preserve">                        SG Holdings Co Ltd</v>
      </c>
      <c r="B1779" t="str">
        <f>$B$684</f>
        <v>9143 JP Equity</v>
      </c>
      <c r="C1779" t="str">
        <f>$C$684</f>
        <v>F0946</v>
      </c>
      <c r="D1779" t="str">
        <f>$D$684</f>
        <v>TOTAL_GHG_CO2_EMISSIONS</v>
      </c>
      <c r="E1779" t="str">
        <f>$E$684</f>
        <v>Dynamic</v>
      </c>
      <c r="F1779" t="str">
        <f ca="1">_xll.BDH($B$684,$C$684,$B$1130,$B$1131,CONCATENATE("Per=",$B$1128),"Dts=H","Dir=H",CONCATENATE("Points=",$B$1129),"Sort=R","Days=A","Fill=B",CONCATENATE("FX=", $B$1127),"cols=5;rows=1")</f>
        <v/>
      </c>
      <c r="G1779">
        <v>0.39450000000000002</v>
      </c>
      <c r="H1779">
        <v>0.40179999999999999</v>
      </c>
      <c r="I1779">
        <v>0.41089999999999999</v>
      </c>
      <c r="J1779">
        <v>0.42049999999999998</v>
      </c>
      <c r="K1779" t="str">
        <f>""</f>
        <v/>
      </c>
      <c r="L1779" t="str">
        <f>""</f>
        <v/>
      </c>
      <c r="M1779" t="str">
        <f>""</f>
        <v/>
      </c>
      <c r="N1779" t="str">
        <f>""</f>
        <v/>
      </c>
      <c r="O1779" t="str">
        <f>""</f>
        <v/>
      </c>
    </row>
    <row r="1780" spans="1:15" x14ac:dyDescent="0.25">
      <c r="A1780" t="str">
        <f>$A$685</f>
        <v xml:space="preserve">                        TFI International Inc</v>
      </c>
      <c r="B1780" t="str">
        <f>$B$685</f>
        <v>TFII CN Equity</v>
      </c>
      <c r="C1780" t="str">
        <f>$C$685</f>
        <v>F0946</v>
      </c>
      <c r="D1780" t="str">
        <f>$D$685</f>
        <v>TOTAL_GHG_CO2_EMISSIONS</v>
      </c>
      <c r="E1780" t="str">
        <f>$E$685</f>
        <v>Dynamic</v>
      </c>
      <c r="F1780" t="str">
        <f ca="1">_xll.BDH($B$685,$C$685,$B$1130,$B$1131,CONCATENATE("Per=",$B$1128),"Dts=H","Dir=H",CONCATENATE("Points=",$B$1129),"Sort=R","Days=A","Fill=B",CONCATENATE("FX=", $B$1127) )</f>
        <v/>
      </c>
      <c r="K1780" t="str">
        <f>""</f>
        <v/>
      </c>
      <c r="L1780" t="str">
        <f>""</f>
        <v/>
      </c>
      <c r="M1780" t="str">
        <f>""</f>
        <v/>
      </c>
      <c r="N1780" t="str">
        <f>""</f>
        <v/>
      </c>
      <c r="O1780" t="str">
        <f>""</f>
        <v/>
      </c>
    </row>
    <row r="1781" spans="1:15" x14ac:dyDescent="0.25">
      <c r="A1781" t="str">
        <f>$A$686</f>
        <v xml:space="preserve">                        Transport Corp of India Ltd</v>
      </c>
      <c r="B1781" t="str">
        <f>$B$686</f>
        <v>TRPC IN Equity</v>
      </c>
      <c r="C1781" t="str">
        <f>$C$686</f>
        <v>F0946</v>
      </c>
      <c r="D1781" t="str">
        <f>$D$686</f>
        <v>TOTAL_GHG_CO2_EMISSIONS</v>
      </c>
      <c r="E1781" t="str">
        <f>$E$686</f>
        <v>Dynamic</v>
      </c>
      <c r="F1781" t="str">
        <f ca="1">_xll.BDH($B$686,$C$686,$B$1130,$B$1131,CONCATENATE("Per=",$B$1128),"Dts=H","Dir=H",CONCATENATE("Points=",$B$1129),"Sort=R","Days=A","Fill=B",CONCATENATE("FX=", $B$1127),"cols=5;rows=1")</f>
        <v/>
      </c>
      <c r="G1781">
        <v>0.1149</v>
      </c>
      <c r="H1781">
        <v>0.1163</v>
      </c>
      <c r="K1781" t="str">
        <f>""</f>
        <v/>
      </c>
      <c r="L1781" t="str">
        <f>""</f>
        <v/>
      </c>
      <c r="M1781" t="str">
        <f>""</f>
        <v/>
      </c>
      <c r="N1781" t="str">
        <f>""</f>
        <v/>
      </c>
      <c r="O1781" t="str">
        <f>""</f>
        <v/>
      </c>
    </row>
    <row r="1782" spans="1:15" x14ac:dyDescent="0.25">
      <c r="A1782" t="str">
        <f>$A$687</f>
        <v xml:space="preserve">                        United Parcel Service Inc</v>
      </c>
      <c r="B1782" t="str">
        <f>$B$687</f>
        <v>UPS US Equity</v>
      </c>
      <c r="C1782" t="str">
        <f>$C$687</f>
        <v>F0946</v>
      </c>
      <c r="D1782" t="str">
        <f>$D$687</f>
        <v>TOTAL_GHG_CO2_EMISSIONS</v>
      </c>
      <c r="E1782" t="str">
        <f>$E$687</f>
        <v>Dynamic</v>
      </c>
      <c r="F1782">
        <f ca="1">_xll.BDH($B$687,$C$687,$B$1130,$B$1131,CONCATENATE("Per=",$B$1128),"Dts=H","Dir=H",CONCATENATE("Points=",$B$1129),"Sort=R","Days=A","Fill=B",CONCATENATE("FX=", $B$1127),"cols=5;rows=1")</f>
        <v>16.504999999999999</v>
      </c>
      <c r="G1782">
        <v>16.344000000000001</v>
      </c>
      <c r="H1782">
        <v>16.55</v>
      </c>
      <c r="I1782">
        <v>14.977</v>
      </c>
      <c r="J1782">
        <v>14.635</v>
      </c>
      <c r="K1782" t="str">
        <f>""</f>
        <v/>
      </c>
      <c r="L1782" t="str">
        <f>""</f>
        <v/>
      </c>
      <c r="M1782" t="str">
        <f>""</f>
        <v/>
      </c>
      <c r="N1782" t="str">
        <f>""</f>
        <v/>
      </c>
      <c r="O1782" t="str">
        <f>""</f>
        <v/>
      </c>
    </row>
    <row r="1783" spans="1:15" x14ac:dyDescent="0.25">
      <c r="A1783" t="str">
        <f>$A$688</f>
        <v xml:space="preserve">                        Yamato Holdings Co Ltd</v>
      </c>
      <c r="B1783" t="str">
        <f>$B$688</f>
        <v>9064 JP Equity</v>
      </c>
      <c r="C1783" t="str">
        <f>$C$688</f>
        <v>F0946</v>
      </c>
      <c r="D1783" t="str">
        <f>$D$688</f>
        <v>TOTAL_GHG_CO2_EMISSIONS</v>
      </c>
      <c r="E1783" t="str">
        <f>$E$688</f>
        <v>Dynamic</v>
      </c>
      <c r="F1783" t="str">
        <f ca="1">_xll.BDH($B$688,$C$688,$B$1130,$B$1131,CONCATENATE("Per=",$B$1128),"Dts=H","Dir=H",CONCATENATE("Points=",$B$1129),"Sort=R","Days=A","Fill=B",CONCATENATE("FX=", $B$1127),"cols=5;rows=1")</f>
        <v/>
      </c>
      <c r="G1783">
        <v>0.92879999999999996</v>
      </c>
      <c r="H1783">
        <v>0.91510000000000002</v>
      </c>
      <c r="I1783">
        <v>0.91690000000000005</v>
      </c>
      <c r="J1783">
        <v>0.93659999999999999</v>
      </c>
      <c r="K1783" t="str">
        <f>""</f>
        <v/>
      </c>
      <c r="L1783" t="str">
        <f>""</f>
        <v/>
      </c>
      <c r="M1783" t="str">
        <f>""</f>
        <v/>
      </c>
      <c r="N1783" t="str">
        <f>""</f>
        <v/>
      </c>
      <c r="O1783" t="str">
        <f>""</f>
        <v/>
      </c>
    </row>
    <row r="1784" spans="1:15" x14ac:dyDescent="0.25">
      <c r="A1784" t="str">
        <f>$A$692</f>
        <v xml:space="preserve">                    Abou Kir Fertilizers &amp; Chemica</v>
      </c>
      <c r="B1784" t="str">
        <f>$B$692</f>
        <v>ABUK EY Equity</v>
      </c>
      <c r="C1784" t="str">
        <f>$C$692</f>
        <v>F0946</v>
      </c>
      <c r="D1784" t="str">
        <f>$D$692</f>
        <v>TOTAL_GHG_CO2_EMISSIONS</v>
      </c>
      <c r="E1784" t="str">
        <f>$E$692</f>
        <v>Dynamic</v>
      </c>
      <c r="F1784" t="str">
        <f ca="1">_xll.BDH($B$692,$C$692,$B$1130,$B$1131,CONCATENATE("Per=",$B$1128),"Dts=H","Dir=H",CONCATENATE("Points=",$B$1129),"Sort=R","Days=A","Fill=B",CONCATENATE("FX=", $B$1127) )</f>
        <v/>
      </c>
      <c r="K1784" t="str">
        <f>""</f>
        <v/>
      </c>
      <c r="L1784" t="str">
        <f>""</f>
        <v/>
      </c>
      <c r="M1784" t="str">
        <f>""</f>
        <v/>
      </c>
      <c r="N1784" t="str">
        <f>""</f>
        <v/>
      </c>
      <c r="O1784" t="str">
        <f>""</f>
        <v/>
      </c>
    </row>
    <row r="1785" spans="1:15" x14ac:dyDescent="0.25">
      <c r="A1785" t="str">
        <f>$A$693</f>
        <v xml:space="preserve">                    Acron PJSC</v>
      </c>
      <c r="B1785" t="str">
        <f>$B$693</f>
        <v>AKRN RM Equity</v>
      </c>
      <c r="C1785" t="str">
        <f>$C$693</f>
        <v>F0946</v>
      </c>
      <c r="D1785" t="str">
        <f>$D$693</f>
        <v>TOTAL_GHG_CO2_EMISSIONS</v>
      </c>
      <c r="E1785" t="str">
        <f>$E$693</f>
        <v>Dynamic</v>
      </c>
      <c r="F1785" t="str">
        <f ca="1">_xll.BDH($B$693,$C$693,$B$1130,$B$1131,CONCATENATE("Per=",$B$1128),"Dts=H","Dir=H",CONCATENATE("Points=",$B$1129),"Sort=R","Days=A","Fill=B",CONCATENATE("FX=", $B$1127),"cols=5;rows=1")</f>
        <v/>
      </c>
      <c r="H1785">
        <v>3.6019999999999999</v>
      </c>
      <c r="I1785">
        <v>4.4039999999999999</v>
      </c>
      <c r="J1785">
        <v>4.5270000000000001</v>
      </c>
      <c r="K1785" t="str">
        <f>""</f>
        <v/>
      </c>
      <c r="L1785" t="str">
        <f>""</f>
        <v/>
      </c>
      <c r="M1785" t="str">
        <f>""</f>
        <v/>
      </c>
      <c r="N1785" t="str">
        <f>""</f>
        <v/>
      </c>
      <c r="O1785" t="str">
        <f>""</f>
        <v/>
      </c>
    </row>
    <row r="1786" spans="1:15" x14ac:dyDescent="0.25">
      <c r="A1786" t="str">
        <f>$A$694</f>
        <v xml:space="preserve">                    American Vanguard Corp</v>
      </c>
      <c r="B1786" t="str">
        <f>$B$694</f>
        <v>AVD US Equity</v>
      </c>
      <c r="C1786" t="str">
        <f>$C$694</f>
        <v>F0946</v>
      </c>
      <c r="D1786" t="str">
        <f>$D$694</f>
        <v>TOTAL_GHG_CO2_EMISSIONS</v>
      </c>
      <c r="E1786" t="str">
        <f>$E$694</f>
        <v>Dynamic</v>
      </c>
      <c r="F1786" t="str">
        <f ca="1">_xll.BDH($B$694,$C$694,$B$1130,$B$1131,CONCATENATE("Per=",$B$1128),"Dts=H","Dir=H",CONCATENATE("Points=",$B$1129),"Sort=R","Days=A","Fill=B",CONCATENATE("FX=", $B$1127) )</f>
        <v/>
      </c>
      <c r="K1786" t="str">
        <f>""</f>
        <v/>
      </c>
      <c r="L1786" t="str">
        <f>""</f>
        <v/>
      </c>
      <c r="M1786" t="str">
        <f>""</f>
        <v/>
      </c>
      <c r="N1786" t="str">
        <f>""</f>
        <v/>
      </c>
      <c r="O1786" t="str">
        <f>""</f>
        <v/>
      </c>
    </row>
    <row r="1787" spans="1:15" x14ac:dyDescent="0.25">
      <c r="A1787" t="str">
        <f>$A$695</f>
        <v xml:space="preserve">                    CF Industries Holdings Inc</v>
      </c>
      <c r="B1787" t="str">
        <f>$B$695</f>
        <v>CF US Equity</v>
      </c>
      <c r="C1787" t="str">
        <f>$C$695</f>
        <v>F0946</v>
      </c>
      <c r="D1787" t="str">
        <f>$D$695</f>
        <v>TOTAL_GHG_CO2_EMISSIONS</v>
      </c>
      <c r="E1787" t="str">
        <f>$E$695</f>
        <v>Dynamic</v>
      </c>
      <c r="F1787">
        <f ca="1">_xll.BDH($B$695,$C$695,$B$1130,$B$1131,CONCATENATE("Per=",$B$1128),"Dts=H","Dir=H",CONCATENATE("Points=",$B$1129),"Sort=R","Days=A","Fill=B",CONCATENATE("FX=", $B$1127),"cols=5;rows=1")</f>
        <v>17.7804</v>
      </c>
      <c r="G1787">
        <v>17.325600000000001</v>
      </c>
      <c r="H1787">
        <v>18.7972</v>
      </c>
      <c r="I1787">
        <v>19.241499999999998</v>
      </c>
      <c r="J1787">
        <v>17.633199999999999</v>
      </c>
      <c r="K1787" t="str">
        <f>""</f>
        <v/>
      </c>
      <c r="L1787" t="str">
        <f>""</f>
        <v/>
      </c>
      <c r="M1787" t="str">
        <f>""</f>
        <v/>
      </c>
      <c r="N1787" t="str">
        <f>""</f>
        <v/>
      </c>
      <c r="O1787" t="str">
        <f>""</f>
        <v/>
      </c>
    </row>
    <row r="1788" spans="1:15" x14ac:dyDescent="0.25">
      <c r="A1788" t="str">
        <f>$A$696</f>
        <v xml:space="preserve">                    Chambal Fertilisers and Chemic</v>
      </c>
      <c r="B1788" t="str">
        <f>$B$696</f>
        <v>CHMB IN Equity</v>
      </c>
      <c r="C1788" t="str">
        <f>$C$696</f>
        <v>F0946</v>
      </c>
      <c r="D1788" t="str">
        <f>$D$696</f>
        <v>TOTAL_GHG_CO2_EMISSIONS</v>
      </c>
      <c r="E1788" t="str">
        <f>$E$696</f>
        <v>Dynamic</v>
      </c>
      <c r="F1788" t="str">
        <f ca="1">_xll.BDH($B$696,$C$696,$B$1130,$B$1131,CONCATENATE("Per=",$B$1128),"Dts=H","Dir=H",CONCATENATE("Points=",$B$1129),"Sort=R","Days=A","Fill=B",CONCATENATE("FX=", $B$1127) )</f>
        <v/>
      </c>
      <c r="K1788" t="str">
        <f>""</f>
        <v/>
      </c>
      <c r="L1788" t="str">
        <f>""</f>
        <v/>
      </c>
      <c r="M1788" t="str">
        <f>""</f>
        <v/>
      </c>
      <c r="N1788" t="str">
        <f>""</f>
        <v/>
      </c>
      <c r="O1788" t="str">
        <f>""</f>
        <v/>
      </c>
    </row>
    <row r="1789" spans="1:15" x14ac:dyDescent="0.25">
      <c r="A1789" t="str">
        <f>$A$697</f>
        <v xml:space="preserve">                    China BlueChemical Ltd</v>
      </c>
      <c r="B1789" t="str">
        <f>$B$697</f>
        <v>3983 HK Equity</v>
      </c>
      <c r="C1789" t="str">
        <f>$C$697</f>
        <v>F0946</v>
      </c>
      <c r="D1789" t="str">
        <f>$D$697</f>
        <v>TOTAL_GHG_CO2_EMISSIONS</v>
      </c>
      <c r="E1789" t="str">
        <f>$E$697</f>
        <v>Dynamic</v>
      </c>
      <c r="F1789">
        <f ca="1">_xll.BDH($B$697,$C$697,$B$1130,$B$1131,CONCATENATE("Per=",$B$1128),"Dts=H","Dir=H",CONCATENATE("Points=",$B$1129),"Sort=R","Days=A","Fill=B",CONCATENATE("FX=", $B$1127),"cols=5;rows=1")</f>
        <v>5.4394</v>
      </c>
      <c r="G1789">
        <v>5.5307000000000004</v>
      </c>
      <c r="H1789">
        <v>6.7422000000000004</v>
      </c>
      <c r="I1789">
        <v>6.4454000000000002</v>
      </c>
      <c r="J1789">
        <v>6.3339999999999996</v>
      </c>
      <c r="K1789" t="str">
        <f>""</f>
        <v/>
      </c>
      <c r="L1789" t="str">
        <f>""</f>
        <v/>
      </c>
      <c r="M1789" t="str">
        <f>""</f>
        <v/>
      </c>
      <c r="N1789" t="str">
        <f>""</f>
        <v/>
      </c>
      <c r="O1789" t="str">
        <f>""</f>
        <v/>
      </c>
    </row>
    <row r="1790" spans="1:15" x14ac:dyDescent="0.25">
      <c r="A1790" t="str">
        <f>$A$698</f>
        <v xml:space="preserve">                    China Green Agriculture Inc</v>
      </c>
      <c r="B1790" t="str">
        <f>$B$698</f>
        <v>CGA US Equity</v>
      </c>
      <c r="C1790" t="str">
        <f>$C$698</f>
        <v>F0946</v>
      </c>
      <c r="D1790" t="str">
        <f>$D$698</f>
        <v>TOTAL_GHG_CO2_EMISSIONS</v>
      </c>
      <c r="E1790" t="str">
        <f>$E$698</f>
        <v>Dynamic</v>
      </c>
      <c r="F1790" t="str">
        <f ca="1">_xll.BDH($B$698,$C$698,$B$1130,$B$1131,CONCATENATE("Per=",$B$1128),"Dts=H","Dir=H",CONCATENATE("Points=",$B$1129),"Sort=R","Days=A","Fill=B",CONCATENATE("FX=", $B$1127) )</f>
        <v/>
      </c>
      <c r="K1790" t="str">
        <f>""</f>
        <v/>
      </c>
      <c r="L1790" t="str">
        <f>""</f>
        <v/>
      </c>
      <c r="M1790" t="str">
        <f>""</f>
        <v/>
      </c>
      <c r="N1790" t="str">
        <f>""</f>
        <v/>
      </c>
      <c r="O1790" t="str">
        <f>""</f>
        <v/>
      </c>
    </row>
    <row r="1791" spans="1:15" x14ac:dyDescent="0.25">
      <c r="A1791" t="str">
        <f>$A$699</f>
        <v xml:space="preserve">                    Coromandel International Ltd</v>
      </c>
      <c r="B1791" t="str">
        <f>$B$699</f>
        <v>CRIN IN Equity</v>
      </c>
      <c r="C1791" t="str">
        <f>$C$699</f>
        <v>F0946</v>
      </c>
      <c r="D1791" t="str">
        <f>$D$699</f>
        <v>TOTAL_GHG_CO2_EMISSIONS</v>
      </c>
      <c r="E1791" t="str">
        <f>$E$699</f>
        <v>Dynamic</v>
      </c>
      <c r="F1791" t="str">
        <f ca="1">_xll.BDH($B$699,$C$699,$B$1130,$B$1131,CONCATENATE("Per=",$B$1128),"Dts=H","Dir=H",CONCATENATE("Points=",$B$1129),"Sort=R","Days=A","Fill=B",CONCATENATE("FX=", $B$1127),"cols=5;rows=1")</f>
        <v/>
      </c>
      <c r="G1791">
        <v>0.14549999999999999</v>
      </c>
      <c r="H1791">
        <v>0.17829999999999999</v>
      </c>
      <c r="I1791">
        <v>0.17169999999999999</v>
      </c>
      <c r="J1791">
        <v>0.16420000000000001</v>
      </c>
      <c r="K1791" t="str">
        <f>""</f>
        <v/>
      </c>
      <c r="L1791" t="str">
        <f>""</f>
        <v/>
      </c>
      <c r="M1791" t="str">
        <f>""</f>
        <v/>
      </c>
      <c r="N1791" t="str">
        <f>""</f>
        <v/>
      </c>
      <c r="O1791" t="str">
        <f>""</f>
        <v/>
      </c>
    </row>
    <row r="1792" spans="1:15" x14ac:dyDescent="0.25">
      <c r="A1792" t="str">
        <f>$A$700</f>
        <v xml:space="preserve">                    Corteva Inc</v>
      </c>
      <c r="B1792" t="str">
        <f>$B$700</f>
        <v>CTVA US Equity</v>
      </c>
      <c r="C1792" t="str">
        <f>$C$700</f>
        <v>F0946</v>
      </c>
      <c r="D1792" t="str">
        <f>$D$700</f>
        <v>TOTAL_GHG_CO2_EMISSIONS</v>
      </c>
      <c r="E1792" t="str">
        <f>$E$700</f>
        <v>Dynamic</v>
      </c>
      <c r="F1792" t="str">
        <f ca="1">_xll.BDH($B$700,$C$700,$B$1130,$B$1131,CONCATENATE("Per=",$B$1128),"Dts=H","Dir=H",CONCATENATE("Points=",$B$1129),"Sort=R","Days=A","Fill=B",CONCATENATE("FX=", $B$1127) )</f>
        <v/>
      </c>
      <c r="K1792" t="str">
        <f>""</f>
        <v/>
      </c>
      <c r="L1792" t="str">
        <f>""</f>
        <v/>
      </c>
      <c r="M1792" t="str">
        <f>""</f>
        <v/>
      </c>
      <c r="N1792" t="str">
        <f>""</f>
        <v/>
      </c>
      <c r="O1792" t="str">
        <f>""</f>
        <v/>
      </c>
    </row>
    <row r="1793" spans="1:15" x14ac:dyDescent="0.25">
      <c r="A1793" t="str">
        <f>$A$701</f>
        <v xml:space="preserve">                    Evogene Ltd</v>
      </c>
      <c r="B1793" t="str">
        <f>$B$701</f>
        <v>EVGN IT Equity</v>
      </c>
      <c r="C1793" t="str">
        <f>$C$701</f>
        <v>F0946</v>
      </c>
      <c r="D1793" t="str">
        <f>$D$701</f>
        <v>TOTAL_GHG_CO2_EMISSIONS</v>
      </c>
      <c r="E1793" t="str">
        <f>$E$701</f>
        <v>Dynamic</v>
      </c>
      <c r="F1793" t="str">
        <f ca="1">_xll.BDH($B$701,$C$701,$B$1130,$B$1131,CONCATENATE("Per=",$B$1128),"Dts=H","Dir=H",CONCATENATE("Points=",$B$1129),"Sort=R","Days=A","Fill=B",CONCATENATE("FX=", $B$1127) )</f>
        <v/>
      </c>
      <c r="K1793" t="str">
        <f>""</f>
        <v/>
      </c>
      <c r="L1793" t="str">
        <f>""</f>
        <v/>
      </c>
      <c r="M1793" t="str">
        <f>""</f>
        <v/>
      </c>
      <c r="N1793" t="str">
        <f>""</f>
        <v/>
      </c>
      <c r="O1793" t="str">
        <f>""</f>
        <v/>
      </c>
    </row>
    <row r="1794" spans="1:15" x14ac:dyDescent="0.25">
      <c r="A1794" t="str">
        <f>$A$702</f>
        <v xml:space="preserve">                    Fauji Fertilizer Bin Qasim Ltd</v>
      </c>
      <c r="B1794" t="str">
        <f>$B$702</f>
        <v>FFBL PA Equity</v>
      </c>
      <c r="C1794" t="str">
        <f>$C$702</f>
        <v>F0946</v>
      </c>
      <c r="D1794" t="str">
        <f>$D$702</f>
        <v>TOTAL_GHG_CO2_EMISSIONS</v>
      </c>
      <c r="E1794" t="str">
        <f>$E$702</f>
        <v>Dynamic</v>
      </c>
      <c r="F1794" t="str">
        <f ca="1">_xll.BDH($B$702,$C$702,$B$1130,$B$1131,CONCATENATE("Per=",$B$1128),"Dts=H","Dir=H",CONCATENATE("Points=",$B$1129),"Sort=R","Days=A","Fill=B",CONCATENATE("FX=", $B$1127) )</f>
        <v/>
      </c>
      <c r="K1794" t="str">
        <f>""</f>
        <v/>
      </c>
      <c r="L1794" t="str">
        <f>""</f>
        <v/>
      </c>
      <c r="M1794" t="str">
        <f>""</f>
        <v/>
      </c>
      <c r="N1794" t="str">
        <f>""</f>
        <v/>
      </c>
      <c r="O1794" t="str">
        <f>""</f>
        <v/>
      </c>
    </row>
    <row r="1795" spans="1:15" x14ac:dyDescent="0.25">
      <c r="A1795" t="str">
        <f>$A$703</f>
        <v xml:space="preserve">                    Fauji Fertilizer Co Ltd</v>
      </c>
      <c r="B1795" t="str">
        <f>$B$703</f>
        <v>FFC PA Equity</v>
      </c>
      <c r="C1795" t="str">
        <f>$C$703</f>
        <v>F0946</v>
      </c>
      <c r="D1795" t="str">
        <f>$D$703</f>
        <v>TOTAL_GHG_CO2_EMISSIONS</v>
      </c>
      <c r="E1795" t="str">
        <f>$E$703</f>
        <v>Dynamic</v>
      </c>
      <c r="F1795">
        <f ca="1">_xll.BDH($B$703,$C$703,$B$1130,$B$1131,CONCATENATE("Per=",$B$1128),"Dts=H","Dir=H",CONCATENATE("Points=",$B$1129),"Sort=R","Days=A","Fill=B",CONCATENATE("FX=", $B$1127),"cols=5;rows=1")</f>
        <v>1.8637999999999999</v>
      </c>
      <c r="G1795">
        <v>1.9084000000000001</v>
      </c>
      <c r="H1795">
        <v>1.88</v>
      </c>
      <c r="I1795">
        <v>1.871</v>
      </c>
      <c r="J1795">
        <v>1.8735999999999999</v>
      </c>
      <c r="K1795" t="str">
        <f>""</f>
        <v/>
      </c>
      <c r="L1795" t="str">
        <f>""</f>
        <v/>
      </c>
      <c r="M1795" t="str">
        <f>""</f>
        <v/>
      </c>
      <c r="N1795" t="str">
        <f>""</f>
        <v/>
      </c>
      <c r="O1795" t="str">
        <f>""</f>
        <v/>
      </c>
    </row>
    <row r="1796" spans="1:15" x14ac:dyDescent="0.25">
      <c r="A1796" t="str">
        <f>$A$704</f>
        <v xml:space="preserve">                    Fertilizantes Heringer SA</v>
      </c>
      <c r="B1796" t="str">
        <f>$B$704</f>
        <v>FHER3 BZ Equity</v>
      </c>
      <c r="C1796" t="str">
        <f>$C$704</f>
        <v>F0946</v>
      </c>
      <c r="D1796" t="str">
        <f>$D$704</f>
        <v>TOTAL_GHG_CO2_EMISSIONS</v>
      </c>
      <c r="E1796" t="str">
        <f>$E$704</f>
        <v>Dynamic</v>
      </c>
      <c r="F1796" t="str">
        <f ca="1">_xll.BDH($B$704,$C$704,$B$1130,$B$1131,CONCATENATE("Per=",$B$1128),"Dts=H","Dir=H",CONCATENATE("Points=",$B$1129),"Sort=R","Days=A","Fill=B",CONCATENATE("FX=", $B$1127) )</f>
        <v/>
      </c>
      <c r="K1796" t="str">
        <f>""</f>
        <v/>
      </c>
      <c r="L1796" t="str">
        <f>""</f>
        <v/>
      </c>
      <c r="M1796" t="str">
        <f>""</f>
        <v/>
      </c>
      <c r="N1796" t="str">
        <f>""</f>
        <v/>
      </c>
      <c r="O1796" t="str">
        <f>""</f>
        <v/>
      </c>
    </row>
    <row r="1797" spans="1:15" x14ac:dyDescent="0.25">
      <c r="A1797" t="str">
        <f>$A$705</f>
        <v xml:space="preserve">                    FMC Corp</v>
      </c>
      <c r="B1797" t="str">
        <f>$B$705</f>
        <v>FMC US Equity</v>
      </c>
      <c r="C1797" t="str">
        <f>$C$705</f>
        <v>F0946</v>
      </c>
      <c r="D1797" t="str">
        <f>$D$705</f>
        <v>TOTAL_GHG_CO2_EMISSIONS</v>
      </c>
      <c r="E1797" t="str">
        <f>$E$705</f>
        <v>Dynamic</v>
      </c>
      <c r="F1797">
        <f ca="1">_xll.BDH($B$705,$C$705,$B$1130,$B$1131,CONCATENATE("Per=",$B$1128),"Dts=H","Dir=H",CONCATENATE("Points=",$B$1129),"Sort=R","Days=A","Fill=B",CONCATENATE("FX=", $B$1127),"cols=5;rows=1")</f>
        <v>0.155</v>
      </c>
      <c r="G1797">
        <v>0.16589999999999999</v>
      </c>
      <c r="H1797">
        <v>0.15190000000000001</v>
      </c>
      <c r="I1797">
        <v>0.15279999999999999</v>
      </c>
      <c r="J1797">
        <v>0.28710000000000002</v>
      </c>
      <c r="K1797" t="str">
        <f>""</f>
        <v/>
      </c>
      <c r="L1797" t="str">
        <f>""</f>
        <v/>
      </c>
      <c r="M1797" t="str">
        <f>""</f>
        <v/>
      </c>
      <c r="N1797" t="str">
        <f>""</f>
        <v/>
      </c>
      <c r="O1797" t="str">
        <f>""</f>
        <v/>
      </c>
    </row>
    <row r="1798" spans="1:15" x14ac:dyDescent="0.25">
      <c r="A1798" t="str">
        <f>$A$706</f>
        <v xml:space="preserve">                    ICL Group Ltd</v>
      </c>
      <c r="B1798" t="str">
        <f>$B$706</f>
        <v>ICL IT Equity</v>
      </c>
      <c r="C1798" t="str">
        <f>$C$706</f>
        <v>F0946</v>
      </c>
      <c r="D1798" t="str">
        <f>$D$706</f>
        <v>TOTAL_GHG_CO2_EMISSIONS</v>
      </c>
      <c r="E1798" t="str">
        <f>$E$706</f>
        <v>Dynamic</v>
      </c>
      <c r="F1798" t="str">
        <f ca="1">_xll.BDH($B$706,$C$706,$B$1130,$B$1131,CONCATENATE("Per=",$B$1128),"Dts=H","Dir=H",CONCATENATE("Points=",$B$1129),"Sort=R","Days=A","Fill=B",CONCATENATE("FX=", $B$1127),"cols=5;rows=1")</f>
        <v/>
      </c>
      <c r="G1798">
        <v>2.6242999999999999</v>
      </c>
      <c r="H1798">
        <v>2.5640000000000001</v>
      </c>
      <c r="I1798">
        <v>3.1642999999999999</v>
      </c>
      <c r="J1798">
        <v>3.2286000000000001</v>
      </c>
      <c r="K1798" t="str">
        <f>""</f>
        <v/>
      </c>
      <c r="L1798" t="str">
        <f>""</f>
        <v/>
      </c>
      <c r="M1798" t="str">
        <f>""</f>
        <v/>
      </c>
      <c r="N1798" t="str">
        <f>""</f>
        <v/>
      </c>
      <c r="O1798" t="str">
        <f>""</f>
        <v/>
      </c>
    </row>
    <row r="1799" spans="1:15" x14ac:dyDescent="0.25">
      <c r="A1799" t="str">
        <f>$A$707</f>
        <v xml:space="preserve">                    Intrepid Potash Inc</v>
      </c>
      <c r="B1799" t="str">
        <f>$B$707</f>
        <v>IPI US Equity</v>
      </c>
      <c r="C1799" t="str">
        <f>$C$707</f>
        <v>F0946</v>
      </c>
      <c r="D1799" t="str">
        <f>$D$707</f>
        <v>TOTAL_GHG_CO2_EMISSIONS</v>
      </c>
      <c r="E1799" t="str">
        <f>$E$707</f>
        <v>Dynamic</v>
      </c>
      <c r="F1799" t="str">
        <f ca="1">_xll.BDH($B$707,$C$707,$B$1130,$B$1131,CONCATENATE("Per=",$B$1128),"Dts=H","Dir=H",CONCATENATE("Points=",$B$1129),"Sort=R","Days=A","Fill=B",CONCATENATE("FX=", $B$1127) )</f>
        <v/>
      </c>
      <c r="K1799" t="str">
        <f>""</f>
        <v/>
      </c>
      <c r="L1799" t="str">
        <f>""</f>
        <v/>
      </c>
      <c r="M1799" t="str">
        <f>""</f>
        <v/>
      </c>
      <c r="N1799" t="str">
        <f>""</f>
        <v/>
      </c>
      <c r="O1799" t="str">
        <f>""</f>
        <v/>
      </c>
    </row>
    <row r="1800" spans="1:15" x14ac:dyDescent="0.25">
      <c r="A1800" t="str">
        <f>$A$708</f>
        <v xml:space="preserve">                    Incitec Pivot Ltd</v>
      </c>
      <c r="B1800" t="str">
        <f>$B$708</f>
        <v>IPL AU Equity</v>
      </c>
      <c r="C1800" t="str">
        <f>$C$708</f>
        <v>F0946</v>
      </c>
      <c r="D1800" t="str">
        <f>$D$708</f>
        <v>TOTAL_GHG_CO2_EMISSIONS</v>
      </c>
      <c r="E1800" t="str">
        <f>$E$708</f>
        <v>Dynamic</v>
      </c>
      <c r="F1800">
        <f ca="1">_xll.BDH($B$708,$C$708,$B$1130,$B$1131,CONCATENATE("Per=",$B$1128),"Dts=H","Dir=H",CONCATENATE("Points=",$B$1129),"Sort=R","Days=A","Fill=B",CONCATENATE("FX=", $B$1127),"cols=5;rows=1")</f>
        <v>3.8</v>
      </c>
      <c r="G1800">
        <v>3.4119999999999999</v>
      </c>
      <c r="H1800">
        <v>3.6166999999999998</v>
      </c>
      <c r="I1800">
        <v>3.3875000000000002</v>
      </c>
      <c r="J1800">
        <v>3.7513999999999998</v>
      </c>
      <c r="K1800" t="str">
        <f>""</f>
        <v/>
      </c>
      <c r="L1800" t="str">
        <f>""</f>
        <v/>
      </c>
      <c r="M1800" t="str">
        <f>""</f>
        <v/>
      </c>
      <c r="N1800" t="str">
        <f>""</f>
        <v/>
      </c>
      <c r="O1800" t="str">
        <f>""</f>
        <v/>
      </c>
    </row>
    <row r="1801" spans="1:15" x14ac:dyDescent="0.25">
      <c r="A1801" t="str">
        <f>$A$709</f>
        <v xml:space="preserve">                    Ishihara Sangyo Kaisha Ltd</v>
      </c>
      <c r="B1801" t="str">
        <f>$B$709</f>
        <v>4028 JP Equity</v>
      </c>
      <c r="C1801" t="str">
        <f>$C$709</f>
        <v>F0946</v>
      </c>
      <c r="D1801" t="str">
        <f>$D$709</f>
        <v>TOTAL_GHG_CO2_EMISSIONS</v>
      </c>
      <c r="E1801" t="str">
        <f>$E$709</f>
        <v>Dynamic</v>
      </c>
      <c r="F1801" t="str">
        <f ca="1">_xll.BDH($B$709,$C$709,$B$1130,$B$1131,CONCATENATE("Per=",$B$1128),"Dts=H","Dir=H",CONCATENATE("Points=",$B$1129),"Sort=R","Days=A","Fill=B",CONCATENATE("FX=", $B$1127),"cols=5;rows=1")</f>
        <v/>
      </c>
      <c r="G1801">
        <v>0.50800000000000001</v>
      </c>
      <c r="H1801">
        <v>0.442</v>
      </c>
      <c r="I1801">
        <v>0.48899999999999999</v>
      </c>
      <c r="K1801" t="str">
        <f>""</f>
        <v/>
      </c>
      <c r="L1801" t="str">
        <f>""</f>
        <v/>
      </c>
      <c r="M1801" t="str">
        <f>""</f>
        <v/>
      </c>
      <c r="N1801" t="str">
        <f>""</f>
        <v/>
      </c>
      <c r="O1801" t="str">
        <f>""</f>
        <v/>
      </c>
    </row>
    <row r="1802" spans="1:15" x14ac:dyDescent="0.25">
      <c r="A1802" t="str">
        <f>$A$710</f>
        <v xml:space="preserve">                    Jordan Phosphate Mines</v>
      </c>
      <c r="B1802" t="str">
        <f>$B$710</f>
        <v>JOPH JR Equity</v>
      </c>
      <c r="C1802" t="str">
        <f>$C$710</f>
        <v>F0946</v>
      </c>
      <c r="D1802" t="str">
        <f>$D$710</f>
        <v>TOTAL_GHG_CO2_EMISSIONS</v>
      </c>
      <c r="E1802" t="str">
        <f>$E$710</f>
        <v>Dynamic</v>
      </c>
      <c r="F1802" t="str">
        <f ca="1">_xll.BDH($B$710,$C$710,$B$1130,$B$1131,CONCATENATE("Per=",$B$1128),"Dts=H","Dir=H",CONCATENATE("Points=",$B$1129),"Sort=R","Days=A","Fill=B",CONCATENATE("FX=", $B$1127) )</f>
        <v/>
      </c>
      <c r="K1802" t="str">
        <f>""</f>
        <v/>
      </c>
      <c r="L1802" t="str">
        <f>""</f>
        <v/>
      </c>
      <c r="M1802" t="str">
        <f>""</f>
        <v/>
      </c>
      <c r="N1802" t="str">
        <f>""</f>
        <v/>
      </c>
      <c r="O1802" t="str">
        <f>""</f>
        <v/>
      </c>
    </row>
    <row r="1803" spans="1:15" x14ac:dyDescent="0.25">
      <c r="A1803" t="str">
        <f>$A$711</f>
        <v xml:space="preserve">                    K+S AG</v>
      </c>
      <c r="B1803" t="str">
        <f>$B$711</f>
        <v>SDF GR Equity</v>
      </c>
      <c r="C1803" t="str">
        <f>$C$711</f>
        <v>F0946</v>
      </c>
      <c r="D1803" t="str">
        <f>$D$711</f>
        <v>TOTAL_GHG_CO2_EMISSIONS</v>
      </c>
      <c r="E1803" t="str">
        <f>$E$711</f>
        <v>Dynamic</v>
      </c>
      <c r="F1803">
        <f ca="1">_xll.BDH($B$711,$C$711,$B$1130,$B$1131,CONCATENATE("Per=",$B$1128),"Dts=H","Dir=H",CONCATENATE("Points=",$B$1129),"Sort=R","Days=A","Fill=B",CONCATENATE("FX=", $B$1127),"cols=5;rows=1")</f>
        <v>2</v>
      </c>
      <c r="G1803">
        <v>2.2000000000000002</v>
      </c>
      <c r="H1803">
        <v>2.6</v>
      </c>
      <c r="I1803">
        <v>2.6</v>
      </c>
      <c r="J1803">
        <v>2.6</v>
      </c>
      <c r="K1803" t="str">
        <f>""</f>
        <v/>
      </c>
      <c r="L1803" t="str">
        <f>""</f>
        <v/>
      </c>
      <c r="M1803" t="str">
        <f>""</f>
        <v/>
      </c>
      <c r="N1803" t="str">
        <f>""</f>
        <v/>
      </c>
      <c r="O1803" t="str">
        <f>""</f>
        <v/>
      </c>
    </row>
    <row r="1804" spans="1:15" x14ac:dyDescent="0.25">
      <c r="A1804" t="str">
        <f>$A$712</f>
        <v xml:space="preserve">                    KWS Saat SE &amp; Co KGaA</v>
      </c>
      <c r="B1804" t="str">
        <f>$B$712</f>
        <v>KWS GR Equity</v>
      </c>
      <c r="C1804" t="str">
        <f>$C$712</f>
        <v>F0946</v>
      </c>
      <c r="D1804" t="str">
        <f>$D$712</f>
        <v>TOTAL_GHG_CO2_EMISSIONS</v>
      </c>
      <c r="E1804" t="str">
        <f>$E$712</f>
        <v>Dynamic</v>
      </c>
      <c r="F1804" t="str">
        <f ca="1">_xll.BDH($B$712,$C$712,$B$1130,$B$1131,CONCATENATE("Per=",$B$1128),"Dts=H","Dir=H",CONCATENATE("Points=",$B$1129),"Sort=R","Days=A","Fill=B",CONCATENATE("FX=", $B$1127),"cols=5;rows=1")</f>
        <v/>
      </c>
      <c r="G1804">
        <v>7.0400000000000004E-2</v>
      </c>
      <c r="H1804">
        <v>6.4500000000000002E-2</v>
      </c>
      <c r="K1804" t="str">
        <f>""</f>
        <v/>
      </c>
      <c r="L1804" t="str">
        <f>""</f>
        <v/>
      </c>
      <c r="M1804" t="str">
        <f>""</f>
        <v/>
      </c>
      <c r="N1804" t="str">
        <f>""</f>
        <v/>
      </c>
      <c r="O1804" t="str">
        <f>""</f>
        <v/>
      </c>
    </row>
    <row r="1805" spans="1:15" x14ac:dyDescent="0.25">
      <c r="A1805" t="str">
        <f>$A$713</f>
        <v xml:space="preserve">                    Kingenta Ecological Engineerin</v>
      </c>
      <c r="B1805" t="str">
        <f>$B$713</f>
        <v>002470 CH Equity</v>
      </c>
      <c r="C1805" t="str">
        <f>$C$713</f>
        <v>F0946</v>
      </c>
      <c r="D1805" t="str">
        <f>$D$713</f>
        <v>TOTAL_GHG_CO2_EMISSIONS</v>
      </c>
      <c r="E1805" t="str">
        <f>$E$713</f>
        <v>Dynamic</v>
      </c>
      <c r="F1805" t="str">
        <f ca="1">_xll.BDH($B$713,$C$713,$B$1130,$B$1131,CONCATENATE("Per=",$B$1128),"Dts=H","Dir=H",CONCATENATE("Points=",$B$1129),"Sort=R","Days=A","Fill=B",CONCATENATE("FX=", $B$1127) )</f>
        <v/>
      </c>
      <c r="K1805" t="str">
        <f>""</f>
        <v/>
      </c>
      <c r="L1805" t="str">
        <f>""</f>
        <v/>
      </c>
      <c r="M1805" t="str">
        <f>""</f>
        <v/>
      </c>
      <c r="N1805" t="str">
        <f>""</f>
        <v/>
      </c>
      <c r="O1805" t="str">
        <f>""</f>
        <v/>
      </c>
    </row>
    <row r="1806" spans="1:15" x14ac:dyDescent="0.25">
      <c r="A1806" t="str">
        <f>$A$714</f>
        <v xml:space="preserve">                    Lier Chemical Co Ltd</v>
      </c>
      <c r="B1806" t="str">
        <f>$B$714</f>
        <v>002258 CH Equity</v>
      </c>
      <c r="C1806" t="str">
        <f>$C$714</f>
        <v>F0946</v>
      </c>
      <c r="D1806" t="str">
        <f>$D$714</f>
        <v>TOTAL_GHG_CO2_EMISSIONS</v>
      </c>
      <c r="E1806" t="str">
        <f>$E$714</f>
        <v>Dynamic</v>
      </c>
      <c r="F1806" t="str">
        <f ca="1">_xll.BDH($B$714,$C$714,$B$1130,$B$1131,CONCATENATE("Per=",$B$1128),"Dts=H","Dir=H",CONCATENATE("Points=",$B$1129),"Sort=R","Days=A","Fill=B",CONCATENATE("FX=", $B$1127) )</f>
        <v/>
      </c>
      <c r="K1806" t="str">
        <f>""</f>
        <v/>
      </c>
      <c r="L1806" t="str">
        <f>""</f>
        <v/>
      </c>
      <c r="M1806" t="str">
        <f>""</f>
        <v/>
      </c>
      <c r="N1806" t="str">
        <f>""</f>
        <v/>
      </c>
      <c r="O1806" t="str">
        <f>""</f>
        <v/>
      </c>
    </row>
    <row r="1807" spans="1:15" x14ac:dyDescent="0.25">
      <c r="A1807" t="str">
        <f>$A$715</f>
        <v xml:space="preserve">                    Mosaic Co/The</v>
      </c>
      <c r="B1807" t="str">
        <f>$B$715</f>
        <v>MOS US Equity</v>
      </c>
      <c r="C1807" t="str">
        <f>$C$715</f>
        <v>F0946</v>
      </c>
      <c r="D1807" t="str">
        <f>$D$715</f>
        <v>TOTAL_GHG_CO2_EMISSIONS</v>
      </c>
      <c r="E1807" t="str">
        <f>$E$715</f>
        <v>Dynamic</v>
      </c>
      <c r="F1807" t="str">
        <f ca="1">_xll.BDH($B$715,$C$715,$B$1130,$B$1131,CONCATENATE("Per=",$B$1128),"Dts=H","Dir=H",CONCATENATE("Points=",$B$1129),"Sort=R","Days=A","Fill=B",CONCATENATE("FX=", $B$1127),"cols=5;rows=1")</f>
        <v/>
      </c>
      <c r="G1807">
        <v>4.5343999999999998</v>
      </c>
      <c r="H1807">
        <v>4.92</v>
      </c>
      <c r="I1807">
        <v>4.5839999999999996</v>
      </c>
      <c r="J1807">
        <v>5.4404000000000003</v>
      </c>
      <c r="K1807" t="str">
        <f>""</f>
        <v/>
      </c>
      <c r="L1807" t="str">
        <f>""</f>
        <v/>
      </c>
      <c r="M1807" t="str">
        <f>""</f>
        <v/>
      </c>
      <c r="N1807" t="str">
        <f>""</f>
        <v/>
      </c>
      <c r="O1807" t="str">
        <f>""</f>
        <v/>
      </c>
    </row>
    <row r="1808" spans="1:15" x14ac:dyDescent="0.25">
      <c r="A1808" t="str">
        <f>$A$716</f>
        <v xml:space="preserve">                    National Fertilizers Ltd</v>
      </c>
      <c r="B1808" t="str">
        <f>$B$716</f>
        <v>NFL IN Equity</v>
      </c>
      <c r="C1808" t="str">
        <f>$C$716</f>
        <v>F0946</v>
      </c>
      <c r="D1808" t="str">
        <f>$D$716</f>
        <v>TOTAL_GHG_CO2_EMISSIONS</v>
      </c>
      <c r="E1808" t="str">
        <f>$E$716</f>
        <v>Dynamic</v>
      </c>
      <c r="F1808" t="str">
        <f ca="1">_xll.BDH($B$716,$C$716,$B$1130,$B$1131,CONCATENATE("Per=",$B$1128),"Dts=H","Dir=H",CONCATENATE("Points=",$B$1129),"Sort=R","Days=A","Fill=B",CONCATENATE("FX=", $B$1127) )</f>
        <v/>
      </c>
      <c r="K1808" t="str">
        <f>""</f>
        <v/>
      </c>
      <c r="L1808" t="str">
        <f>""</f>
        <v/>
      </c>
      <c r="M1808" t="str">
        <f>""</f>
        <v/>
      </c>
      <c r="N1808" t="str">
        <f>""</f>
        <v/>
      </c>
      <c r="O1808" t="str">
        <f>""</f>
        <v/>
      </c>
    </row>
    <row r="1809" spans="1:15" x14ac:dyDescent="0.25">
      <c r="A1809" t="str">
        <f>$A$717</f>
        <v xml:space="preserve">                    Nufarm Ltd</v>
      </c>
      <c r="B1809" t="str">
        <f>$B$717</f>
        <v>NUF AU Equity</v>
      </c>
      <c r="C1809" t="str">
        <f>$C$717</f>
        <v>F0946</v>
      </c>
      <c r="D1809" t="str">
        <f>$D$717</f>
        <v>TOTAL_GHG_CO2_EMISSIONS</v>
      </c>
      <c r="E1809" t="str">
        <f>$E$717</f>
        <v>Dynamic</v>
      </c>
      <c r="F1809" t="str">
        <f ca="1">_xll.BDH($B$717,$C$717,$B$1130,$B$1131,CONCATENATE("Per=",$B$1128),"Dts=H","Dir=H",CONCATENATE("Points=",$B$1129),"Sort=R","Days=A","Fill=B",CONCATENATE("FX=", $B$1127),"cols=5;rows=1")</f>
        <v/>
      </c>
      <c r="G1809">
        <v>8.5599999999999996E-2</v>
      </c>
      <c r="H1809">
        <v>9.1600000000000001E-2</v>
      </c>
      <c r="I1809">
        <v>9.4E-2</v>
      </c>
      <c r="J1809">
        <v>0.10580000000000001</v>
      </c>
      <c r="K1809" t="str">
        <f>""</f>
        <v/>
      </c>
      <c r="L1809" t="str">
        <f>""</f>
        <v/>
      </c>
      <c r="M1809" t="str">
        <f>""</f>
        <v/>
      </c>
      <c r="N1809" t="str">
        <f>""</f>
        <v/>
      </c>
      <c r="O1809" t="str">
        <f>""</f>
        <v/>
      </c>
    </row>
    <row r="1810" spans="1:15" x14ac:dyDescent="0.25">
      <c r="A1810" t="str">
        <f>$A$718</f>
        <v xml:space="preserve">                    Nippon Soda Co Ltd</v>
      </c>
      <c r="B1810" t="str">
        <f>$B$718</f>
        <v>4041 JP Equity</v>
      </c>
      <c r="C1810" t="str">
        <f>$C$718</f>
        <v>F0946</v>
      </c>
      <c r="D1810" t="str">
        <f>$D$718</f>
        <v>TOTAL_GHG_CO2_EMISSIONS</v>
      </c>
      <c r="E1810" t="str">
        <f>$E$718</f>
        <v>Dynamic</v>
      </c>
      <c r="F1810" t="str">
        <f ca="1">_xll.BDH($B$718,$C$718,$B$1130,$B$1131,CONCATENATE("Per=",$B$1128),"Dts=H","Dir=H",CONCATENATE("Points=",$B$1129),"Sort=R","Days=A","Fill=B",CONCATENATE("FX=", $B$1127) )</f>
        <v/>
      </c>
      <c r="K1810" t="str">
        <f>""</f>
        <v/>
      </c>
      <c r="L1810" t="str">
        <f>""</f>
        <v/>
      </c>
      <c r="M1810" t="str">
        <f>""</f>
        <v/>
      </c>
      <c r="N1810" t="str">
        <f>""</f>
        <v/>
      </c>
      <c r="O1810" t="str">
        <f>""</f>
        <v/>
      </c>
    </row>
    <row r="1811" spans="1:15" x14ac:dyDescent="0.25">
      <c r="A1811" t="str">
        <f>$A$719</f>
        <v xml:space="preserve">                    Nutrien Ltd</v>
      </c>
      <c r="B1811" t="str">
        <f>$B$719</f>
        <v>NTR US Equity</v>
      </c>
      <c r="C1811" t="str">
        <f>$C$719</f>
        <v>F0946</v>
      </c>
      <c r="D1811" t="str">
        <f>$D$719</f>
        <v>TOTAL_GHG_CO2_EMISSIONS</v>
      </c>
      <c r="E1811" t="str">
        <f>$E$719</f>
        <v>Dynamic</v>
      </c>
      <c r="F1811">
        <f ca="1">_xll.BDH($B$719,$C$719,$B$1130,$B$1131,CONCATENATE("Per=",$B$1128),"Dts=H","Dir=H",CONCATENATE("Points=",$B$1129),"Sort=R","Days=A","Fill=B",CONCATENATE("FX=", $B$1127),"cols=5;rows=1")</f>
        <v>12.76</v>
      </c>
      <c r="G1811">
        <v>13.75</v>
      </c>
      <c r="H1811">
        <v>13.16</v>
      </c>
      <c r="I1811">
        <v>13.38</v>
      </c>
      <c r="J1811">
        <v>14.24</v>
      </c>
      <c r="K1811" t="str">
        <f>""</f>
        <v/>
      </c>
      <c r="L1811" t="str">
        <f>""</f>
        <v/>
      </c>
      <c r="M1811" t="str">
        <f>""</f>
        <v/>
      </c>
      <c r="N1811" t="str">
        <f>""</f>
        <v/>
      </c>
      <c r="O1811" t="str">
        <f>""</f>
        <v/>
      </c>
    </row>
    <row r="1812" spans="1:15" x14ac:dyDescent="0.25">
      <c r="A1812" t="str">
        <f>$A$720</f>
        <v xml:space="preserve">                    Origin Agritech Ltd</v>
      </c>
      <c r="B1812" t="str">
        <f>$B$720</f>
        <v>SEED US Equity</v>
      </c>
      <c r="C1812" t="str">
        <f>$C$720</f>
        <v>F0946</v>
      </c>
      <c r="D1812" t="str">
        <f>$D$720</f>
        <v>TOTAL_GHG_CO2_EMISSIONS</v>
      </c>
      <c r="E1812" t="str">
        <f>$E$720</f>
        <v>Dynamic</v>
      </c>
      <c r="F1812" t="str">
        <f ca="1">_xll.BDH($B$720,$C$720,$B$1130,$B$1131,CONCATENATE("Per=",$B$1128),"Dts=H","Dir=H",CONCATENATE("Points=",$B$1129),"Sort=R","Days=A","Fill=B",CONCATENATE("FX=", $B$1127) )</f>
        <v/>
      </c>
      <c r="K1812" t="str">
        <f>""</f>
        <v/>
      </c>
      <c r="L1812" t="str">
        <f>""</f>
        <v/>
      </c>
      <c r="M1812" t="str">
        <f>""</f>
        <v/>
      </c>
      <c r="N1812" t="str">
        <f>""</f>
        <v/>
      </c>
      <c r="O1812" t="str">
        <f>""</f>
        <v/>
      </c>
    </row>
    <row r="1813" spans="1:15" x14ac:dyDescent="0.25">
      <c r="A1813" t="str">
        <f>$A$721</f>
        <v xml:space="preserve">                    PhosAgro PJSC</v>
      </c>
      <c r="B1813" t="str">
        <f>$B$721</f>
        <v>PHOR RM Equity</v>
      </c>
      <c r="C1813" t="str">
        <f>$C$721</f>
        <v>F0946</v>
      </c>
      <c r="D1813" t="str">
        <f>$D$721</f>
        <v>TOTAL_GHG_CO2_EMISSIONS</v>
      </c>
      <c r="E1813" t="str">
        <f>$E$721</f>
        <v>Dynamic</v>
      </c>
      <c r="F1813" t="str">
        <f ca="1">_xll.BDH($B$721,$C$721,$B$1130,$B$1131,CONCATENATE("Per=",$B$1128),"Dts=H","Dir=H",CONCATENATE("Points=",$B$1129),"Sort=R","Days=A","Fill=B",CONCATENATE("FX=", $B$1127),"cols=5;rows=1")</f>
        <v/>
      </c>
      <c r="G1813">
        <v>5.5690999999999997</v>
      </c>
      <c r="H1813">
        <v>5.9607000000000001</v>
      </c>
      <c r="I1813">
        <v>5.8476999999999997</v>
      </c>
      <c r="J1813">
        <v>4.5124000000000004</v>
      </c>
      <c r="K1813" t="str">
        <f>""</f>
        <v/>
      </c>
      <c r="L1813" t="str">
        <f>""</f>
        <v/>
      </c>
      <c r="M1813" t="str">
        <f>""</f>
        <v/>
      </c>
      <c r="N1813" t="str">
        <f>""</f>
        <v/>
      </c>
      <c r="O1813" t="str">
        <f>""</f>
        <v/>
      </c>
    </row>
    <row r="1814" spans="1:15" x14ac:dyDescent="0.25">
      <c r="A1814" t="str">
        <f>$A$722</f>
        <v xml:space="preserve">                    Qinghai Salt Lake Industry Co</v>
      </c>
      <c r="B1814" t="str">
        <f>$B$722</f>
        <v>000792 CH Equity</v>
      </c>
      <c r="C1814" t="str">
        <f>$C$722</f>
        <v>F0946</v>
      </c>
      <c r="D1814" t="str">
        <f>$D$722</f>
        <v>TOTAL_GHG_CO2_EMISSIONS</v>
      </c>
      <c r="E1814" t="str">
        <f>$E$722</f>
        <v>Dynamic</v>
      </c>
      <c r="F1814" t="str">
        <f ca="1">_xll.BDH($B$722,$C$722,$B$1130,$B$1131,CONCATENATE("Per=",$B$1128),"Dts=H","Dir=H",CONCATENATE("Points=",$B$1129),"Sort=R","Days=A","Fill=B",CONCATENATE("FX=", $B$1127) )</f>
        <v/>
      </c>
      <c r="K1814" t="str">
        <f>""</f>
        <v/>
      </c>
      <c r="L1814" t="str">
        <f>""</f>
        <v/>
      </c>
      <c r="M1814" t="str">
        <f>""</f>
        <v/>
      </c>
      <c r="N1814" t="str">
        <f>""</f>
        <v/>
      </c>
      <c r="O1814" t="str">
        <f>""</f>
        <v/>
      </c>
    </row>
    <row r="1815" spans="1:15" x14ac:dyDescent="0.25">
      <c r="A1815" t="str">
        <f>$A$723</f>
        <v xml:space="preserve">                    Rashtriya Chemicals &amp; Fertiliz</v>
      </c>
      <c r="B1815" t="str">
        <f>$B$723</f>
        <v>RCF IN Equity</v>
      </c>
      <c r="C1815" t="str">
        <f>$C$723</f>
        <v>F0946</v>
      </c>
      <c r="D1815" t="str">
        <f>$D$723</f>
        <v>TOTAL_GHG_CO2_EMISSIONS</v>
      </c>
      <c r="E1815" t="str">
        <f>$E$723</f>
        <v>Dynamic</v>
      </c>
      <c r="F1815" t="str">
        <f ca="1">_xll.BDH($B$723,$C$723,$B$1130,$B$1131,CONCATENATE("Per=",$B$1128),"Dts=H","Dir=H",CONCATENATE("Points=",$B$1129),"Sort=R","Days=A","Fill=B",CONCATENATE("FX=", $B$1127) )</f>
        <v/>
      </c>
      <c r="K1815" t="str">
        <f>""</f>
        <v/>
      </c>
      <c r="L1815" t="str">
        <f>""</f>
        <v/>
      </c>
      <c r="M1815" t="str">
        <f>""</f>
        <v/>
      </c>
      <c r="N1815" t="str">
        <f>""</f>
        <v/>
      </c>
      <c r="O1815" t="str">
        <f>""</f>
        <v/>
      </c>
    </row>
    <row r="1816" spans="1:15" x14ac:dyDescent="0.25">
      <c r="A1816" t="str">
        <f>$A$724</f>
        <v xml:space="preserve">                    SABIC Agri-Nutrients Co</v>
      </c>
      <c r="B1816" t="str">
        <f>$B$724</f>
        <v>SAFCO AB Equity</v>
      </c>
      <c r="C1816" t="str">
        <f>$C$724</f>
        <v>F0946</v>
      </c>
      <c r="D1816" t="str">
        <f>$D$724</f>
        <v>TOTAL_GHG_CO2_EMISSIONS</v>
      </c>
      <c r="E1816" t="str">
        <f>$E$724</f>
        <v>Dynamic</v>
      </c>
      <c r="F1816" t="str">
        <f ca="1">_xll.BDH($B$724,$C$724,$B$1130,$B$1131,CONCATENATE("Per=",$B$1128),"Dts=H","Dir=H",CONCATENATE("Points=",$B$1129),"Sort=R","Days=A","Fill=B",CONCATENATE("FX=", $B$1127) )</f>
        <v/>
      </c>
      <c r="K1816" t="str">
        <f>""</f>
        <v/>
      </c>
      <c r="L1816" t="str">
        <f>""</f>
        <v/>
      </c>
      <c r="M1816" t="str">
        <f>""</f>
        <v/>
      </c>
      <c r="N1816" t="str">
        <f>""</f>
        <v/>
      </c>
      <c r="O1816" t="str">
        <f>""</f>
        <v/>
      </c>
    </row>
    <row r="1817" spans="1:15" x14ac:dyDescent="0.25">
      <c r="A1817" t="str">
        <f>$A$725</f>
        <v xml:space="preserve">                    Shenzhen Noposion Agrochemical</v>
      </c>
      <c r="B1817" t="str">
        <f>$B$725</f>
        <v>002215 CH Equity</v>
      </c>
      <c r="C1817" t="str">
        <f>$C$725</f>
        <v>F0946</v>
      </c>
      <c r="D1817" t="str">
        <f>$D$725</f>
        <v>TOTAL_GHG_CO2_EMISSIONS</v>
      </c>
      <c r="E1817" t="str">
        <f>$E$725</f>
        <v>Dynamic</v>
      </c>
      <c r="F1817" t="str">
        <f ca="1">_xll.BDH($B$725,$C$725,$B$1130,$B$1131,CONCATENATE("Per=",$B$1128),"Dts=H","Dir=H",CONCATENATE("Points=",$B$1129),"Sort=R","Days=A","Fill=B",CONCATENATE("FX=", $B$1127) )</f>
        <v/>
      </c>
      <c r="K1817" t="str">
        <f>""</f>
        <v/>
      </c>
      <c r="L1817" t="str">
        <f>""</f>
        <v/>
      </c>
      <c r="M1817" t="str">
        <f>""</f>
        <v/>
      </c>
      <c r="N1817" t="str">
        <f>""</f>
        <v/>
      </c>
      <c r="O1817" t="str">
        <f>""</f>
        <v/>
      </c>
    </row>
    <row r="1818" spans="1:15" x14ac:dyDescent="0.25">
      <c r="A1818" t="str">
        <f>$A$726</f>
        <v xml:space="preserve">                    Sinofert Holdings Ltd</v>
      </c>
      <c r="B1818" t="str">
        <f>$B$726</f>
        <v>297 HK Equity</v>
      </c>
      <c r="C1818" t="str">
        <f>$C$726</f>
        <v>F0946</v>
      </c>
      <c r="D1818" t="str">
        <f>$D$726</f>
        <v>TOTAL_GHG_CO2_EMISSIONS</v>
      </c>
      <c r="E1818" t="str">
        <f>$E$726</f>
        <v>Dynamic</v>
      </c>
      <c r="F1818">
        <f ca="1">_xll.BDH($B$726,$C$726,$B$1130,$B$1131,CONCATENATE("Per=",$B$1128),"Dts=H","Dir=H",CONCATENATE("Points=",$B$1129),"Sort=R","Days=A","Fill=B",CONCATENATE("FX=", $B$1127),"cols=5;rows=1")</f>
        <v>1.7263999999999999</v>
      </c>
      <c r="G1818">
        <v>1.5874999999999999</v>
      </c>
      <c r="H1818">
        <v>1.1959</v>
      </c>
      <c r="I1818">
        <v>1.9228000000000001</v>
      </c>
      <c r="K1818" t="str">
        <f>""</f>
        <v/>
      </c>
      <c r="L1818" t="str">
        <f>""</f>
        <v/>
      </c>
      <c r="M1818" t="str">
        <f>""</f>
        <v/>
      </c>
      <c r="N1818" t="str">
        <f>""</f>
        <v/>
      </c>
      <c r="O1818" t="str">
        <f>""</f>
        <v/>
      </c>
    </row>
    <row r="1819" spans="1:15" x14ac:dyDescent="0.25">
      <c r="A1819" t="str">
        <f>$A$727</f>
        <v xml:space="preserve">                    Sociedad Quimica y Minera de C</v>
      </c>
      <c r="B1819" t="str">
        <f>$B$727</f>
        <v>SQM US Equity</v>
      </c>
      <c r="C1819" t="str">
        <f>$C$727</f>
        <v>F0946</v>
      </c>
      <c r="D1819" t="str">
        <f>$D$727</f>
        <v>TOTAL_GHG_CO2_EMISSIONS</v>
      </c>
      <c r="E1819" t="str">
        <f>$E$727</f>
        <v>Dynamic</v>
      </c>
      <c r="F1819">
        <f ca="1">_xll.BDH($B$727,$C$727,$B$1130,$B$1131,CONCATENATE("Per=",$B$1128),"Dts=H","Dir=H",CONCATENATE("Points=",$B$1129),"Sort=R","Days=A","Fill=B",CONCATENATE("FX=", $B$1127),"cols=5;rows=1")</f>
        <v>0.74760000000000004</v>
      </c>
      <c r="H1819">
        <v>0.79569999999999996</v>
      </c>
      <c r="J1819">
        <v>0.74760000000000004</v>
      </c>
      <c r="K1819" t="str">
        <f>""</f>
        <v/>
      </c>
      <c r="L1819" t="str">
        <f>""</f>
        <v/>
      </c>
      <c r="M1819" t="str">
        <f>""</f>
        <v/>
      </c>
      <c r="N1819" t="str">
        <f>""</f>
        <v/>
      </c>
      <c r="O1819" t="str">
        <f>""</f>
        <v/>
      </c>
    </row>
    <row r="1820" spans="1:15" x14ac:dyDescent="0.25">
      <c r="A1820" t="str">
        <f>$A$728</f>
        <v xml:space="preserve">                    Taiwan Fertilizer Co Ltd</v>
      </c>
      <c r="B1820" t="str">
        <f>$B$728</f>
        <v>1722 TT Equity</v>
      </c>
      <c r="C1820" t="str">
        <f>$C$728</f>
        <v>F0946</v>
      </c>
      <c r="D1820" t="str">
        <f>$D$728</f>
        <v>TOTAL_GHG_CO2_EMISSIONS</v>
      </c>
      <c r="E1820" t="str">
        <f>$E$728</f>
        <v>Dynamic</v>
      </c>
      <c r="F1820" t="str">
        <f ca="1">_xll.BDH($B$728,$C$728,$B$1130,$B$1131,CONCATENATE("Per=",$B$1128),"Dts=H","Dir=H",CONCATENATE("Points=",$B$1129),"Sort=R","Days=A","Fill=B",CONCATENATE("FX=", $B$1127),"cols=5;rows=1")</f>
        <v/>
      </c>
      <c r="G1820">
        <v>0.5292</v>
      </c>
      <c r="H1820">
        <v>0.53290000000000004</v>
      </c>
      <c r="I1820">
        <v>0.4899</v>
      </c>
      <c r="J1820">
        <v>0.4798</v>
      </c>
      <c r="K1820" t="str">
        <f>""</f>
        <v/>
      </c>
      <c r="L1820" t="str">
        <f>""</f>
        <v/>
      </c>
      <c r="M1820" t="str">
        <f>""</f>
        <v/>
      </c>
      <c r="N1820" t="str">
        <f>""</f>
        <v/>
      </c>
      <c r="O1820" t="str">
        <f>""</f>
        <v/>
      </c>
    </row>
    <row r="1821" spans="1:15" x14ac:dyDescent="0.25">
      <c r="A1821" t="str">
        <f>$A$729</f>
        <v xml:space="preserve">                    UPL Ltd</v>
      </c>
      <c r="B1821" t="str">
        <f>$B$729</f>
        <v>UPLL IN Equity</v>
      </c>
      <c r="C1821" t="str">
        <f>$C$729</f>
        <v>F0946</v>
      </c>
      <c r="D1821" t="str">
        <f>$D$729</f>
        <v>TOTAL_GHG_CO2_EMISSIONS</v>
      </c>
      <c r="E1821" t="str">
        <f>$E$729</f>
        <v>Dynamic</v>
      </c>
      <c r="F1821" t="str">
        <f ca="1">_xll.BDH($B$729,$C$729,$B$1130,$B$1131,CONCATENATE("Per=",$B$1128),"Dts=H","Dir=H",CONCATENATE("Points=",$B$1129),"Sort=R","Days=A","Fill=B",CONCATENATE("FX=", $B$1127),"cols=5;rows=1")</f>
        <v/>
      </c>
      <c r="G1821">
        <v>1.0185999999999999</v>
      </c>
      <c r="H1821">
        <v>0.93769999999999998</v>
      </c>
      <c r="I1821">
        <v>0.92410000000000003</v>
      </c>
      <c r="J1821">
        <v>0.77339999999999998</v>
      </c>
      <c r="K1821" t="str">
        <f>""</f>
        <v/>
      </c>
      <c r="L1821" t="str">
        <f>""</f>
        <v/>
      </c>
      <c r="M1821" t="str">
        <f>""</f>
        <v/>
      </c>
      <c r="N1821" t="str">
        <f>""</f>
        <v/>
      </c>
      <c r="O1821" t="str">
        <f>""</f>
        <v/>
      </c>
    </row>
    <row r="1822" spans="1:15" x14ac:dyDescent="0.25">
      <c r="A1822" t="str">
        <f>$A$730</f>
        <v xml:space="preserve">                    Vilmorin &amp; Cie SA</v>
      </c>
      <c r="B1822" t="str">
        <f>$B$730</f>
        <v>RIN FP Equity</v>
      </c>
      <c r="C1822" t="str">
        <f>$C$730</f>
        <v>F0946</v>
      </c>
      <c r="D1822" t="str">
        <f>$D$730</f>
        <v>TOTAL_GHG_CO2_EMISSIONS</v>
      </c>
      <c r="E1822" t="str">
        <f>$E$730</f>
        <v>Dynamic</v>
      </c>
      <c r="F1822" t="str">
        <f ca="1">_xll.BDH($B$730,$C$730,$B$1130,$B$1131,CONCATENATE("Per=",$B$1128),"Dts=H","Dir=H",CONCATENATE("Points=",$B$1129),"Sort=R","Days=A","Fill=B",CONCATENATE("FX=", $B$1127),"cols=5;rows=1")</f>
        <v/>
      </c>
      <c r="G1822">
        <v>6.0199999999999997E-2</v>
      </c>
      <c r="H1822">
        <v>6.0400000000000002E-2</v>
      </c>
      <c r="I1822">
        <v>5.8200000000000002E-2</v>
      </c>
      <c r="J1822">
        <v>5.5599999999999997E-2</v>
      </c>
      <c r="K1822" t="str">
        <f>""</f>
        <v/>
      </c>
      <c r="L1822" t="str">
        <f>""</f>
        <v/>
      </c>
      <c r="M1822" t="str">
        <f>""</f>
        <v/>
      </c>
      <c r="N1822" t="str">
        <f>""</f>
        <v/>
      </c>
      <c r="O1822" t="str">
        <f>""</f>
        <v/>
      </c>
    </row>
    <row r="1823" spans="1:15" x14ac:dyDescent="0.25">
      <c r="A1823" t="str">
        <f>$A$731</f>
        <v xml:space="preserve">                    Yara International ASA</v>
      </c>
      <c r="B1823" t="str">
        <f>$B$731</f>
        <v>YAR NO Equity</v>
      </c>
      <c r="C1823" t="str">
        <f>$C$731</f>
        <v>F0946</v>
      </c>
      <c r="D1823" t="str">
        <f>$D$731</f>
        <v>TOTAL_GHG_CO2_EMISSIONS</v>
      </c>
      <c r="E1823" t="str">
        <f>$E$731</f>
        <v>Dynamic</v>
      </c>
      <c r="F1823">
        <f ca="1">_xll.BDH($B$731,$C$731,$B$1130,$B$1131,CONCATENATE("Per=",$B$1128),"Dts=H","Dir=H",CONCATENATE("Points=",$B$1129),"Sort=R","Days=A","Fill=B",CONCATENATE("FX=", $B$1127),"cols=5;rows=1")</f>
        <v>15.7</v>
      </c>
      <c r="G1823">
        <v>17.3</v>
      </c>
      <c r="H1823">
        <v>17.399999999999999</v>
      </c>
      <c r="I1823">
        <v>18</v>
      </c>
      <c r="J1823">
        <v>17.600000000000001</v>
      </c>
      <c r="K1823" t="str">
        <f>""</f>
        <v/>
      </c>
      <c r="L1823" t="str">
        <f>""</f>
        <v/>
      </c>
      <c r="M1823" t="str">
        <f>""</f>
        <v/>
      </c>
      <c r="N1823" t="str">
        <f>""</f>
        <v/>
      </c>
      <c r="O1823" t="str">
        <f>""</f>
        <v/>
      </c>
    </row>
    <row r="1824" spans="1:15" x14ac:dyDescent="0.25">
      <c r="A1824" t="str">
        <f>$A$732</f>
        <v xml:space="preserve">                    Yunnan Yuntianhua Co Ltd</v>
      </c>
      <c r="B1824" t="str">
        <f>$B$732</f>
        <v>600096 CH Equity</v>
      </c>
      <c r="C1824" t="str">
        <f>$C$732</f>
        <v>F0946</v>
      </c>
      <c r="D1824" t="str">
        <f>$D$732</f>
        <v>TOTAL_GHG_CO2_EMISSIONS</v>
      </c>
      <c r="E1824" t="str">
        <f>$E$732</f>
        <v>Dynamic</v>
      </c>
      <c r="F1824" t="str">
        <f ca="1">_xll.BDH($B$732,$C$732,$B$1130,$B$1131,CONCATENATE("Per=",$B$1128),"Dts=H","Dir=H",CONCATENATE("Points=",$B$1129),"Sort=R","Days=A","Fill=B",CONCATENATE("FX=", $B$1127),"cols=5;rows=1")</f>
        <v/>
      </c>
      <c r="G1824">
        <v>10.15</v>
      </c>
      <c r="K1824" t="str">
        <f>""</f>
        <v/>
      </c>
      <c r="L1824" t="str">
        <f>""</f>
        <v/>
      </c>
      <c r="M1824" t="str">
        <f>""</f>
        <v/>
      </c>
      <c r="N1824" t="str">
        <f>""</f>
        <v/>
      </c>
      <c r="O1824" t="str">
        <f>""</f>
        <v/>
      </c>
    </row>
    <row r="1825" spans="1:15" x14ac:dyDescent="0.25">
      <c r="A1825" t="str">
        <f>$A$734</f>
        <v xml:space="preserve">                    ADEKA Corp</v>
      </c>
      <c r="B1825" t="str">
        <f>$B$734</f>
        <v>4401 JP Equity</v>
      </c>
      <c r="C1825" t="str">
        <f>$C$734</f>
        <v>F0946</v>
      </c>
      <c r="D1825" t="str">
        <f>$D$734</f>
        <v>TOTAL_GHG_CO2_EMISSIONS</v>
      </c>
      <c r="E1825" t="str">
        <f>$E$734</f>
        <v>Dynamic</v>
      </c>
      <c r="F1825" t="str">
        <f ca="1">_xll.BDH($B$734,$C$734,$B$1130,$B$1131,CONCATENATE("Per=",$B$1128),"Dts=H","Dir=H",CONCATENATE("Points=",$B$1129),"Sort=R","Days=A","Fill=B",CONCATENATE("FX=", $B$1127),"cols=5;rows=1")</f>
        <v/>
      </c>
      <c r="G1825">
        <v>0.25719999999999998</v>
      </c>
      <c r="H1825">
        <v>0.22720000000000001</v>
      </c>
      <c r="K1825" t="str">
        <f>""</f>
        <v/>
      </c>
      <c r="L1825" t="str">
        <f>""</f>
        <v/>
      </c>
      <c r="M1825" t="str">
        <f>""</f>
        <v/>
      </c>
      <c r="N1825" t="str">
        <f>""</f>
        <v/>
      </c>
      <c r="O1825" t="str">
        <f>""</f>
        <v/>
      </c>
    </row>
    <row r="1826" spans="1:15" x14ac:dyDescent="0.25">
      <c r="A1826" t="str">
        <f>$A$735</f>
        <v xml:space="preserve">                    Air Water Inc</v>
      </c>
      <c r="B1826" t="str">
        <f>$B$735</f>
        <v>4088 JP Equity</v>
      </c>
      <c r="C1826" t="str">
        <f>$C$735</f>
        <v>F0946</v>
      </c>
      <c r="D1826" t="str">
        <f>$D$735</f>
        <v>TOTAL_GHG_CO2_EMISSIONS</v>
      </c>
      <c r="E1826" t="str">
        <f>$E$735</f>
        <v>Dynamic</v>
      </c>
      <c r="F1826" t="str">
        <f ca="1">_xll.BDH($B$735,$C$735,$B$1130,$B$1131,CONCATENATE("Per=",$B$1128),"Dts=H","Dir=H",CONCATENATE("Points=",$B$1129),"Sort=R","Days=A","Fill=B",CONCATENATE("FX=", $B$1127),"cols=5;rows=1")</f>
        <v/>
      </c>
      <c r="H1826">
        <v>1.5309999999999999</v>
      </c>
      <c r="I1826">
        <v>1.5629999999999999</v>
      </c>
      <c r="J1826">
        <v>1.599</v>
      </c>
      <c r="K1826" t="str">
        <f>""</f>
        <v/>
      </c>
      <c r="L1826" t="str">
        <f>""</f>
        <v/>
      </c>
      <c r="M1826" t="str">
        <f>""</f>
        <v/>
      </c>
      <c r="N1826" t="str">
        <f>""</f>
        <v/>
      </c>
      <c r="O1826" t="str">
        <f>""</f>
        <v/>
      </c>
    </row>
    <row r="1827" spans="1:15" x14ac:dyDescent="0.25">
      <c r="A1827" t="str">
        <f>$A$736</f>
        <v xml:space="preserve">                    Alpek SAB de CV</v>
      </c>
      <c r="B1827" t="str">
        <f>$B$736</f>
        <v>ALPEKA MM Equity</v>
      </c>
      <c r="C1827" t="str">
        <f>$C$736</f>
        <v>F0946</v>
      </c>
      <c r="D1827" t="str">
        <f>$D$736</f>
        <v>TOTAL_GHG_CO2_EMISSIONS</v>
      </c>
      <c r="E1827" t="str">
        <f>$E$736</f>
        <v>Dynamic</v>
      </c>
      <c r="F1827">
        <f ca="1">_xll.BDH($B$736,$C$736,$B$1130,$B$1131,CONCATENATE("Per=",$B$1128),"Dts=H","Dir=H",CONCATENATE("Points=",$B$1129),"Sort=R","Days=A","Fill=B",CONCATENATE("FX=", $B$1127),"cols=5;rows=1")</f>
        <v>2.1</v>
      </c>
      <c r="G1827">
        <v>1.0811999999999999</v>
      </c>
      <c r="H1827">
        <v>2.21</v>
      </c>
      <c r="I1827">
        <v>2.42</v>
      </c>
      <c r="J1827">
        <v>2.42</v>
      </c>
      <c r="K1827" t="str">
        <f>""</f>
        <v/>
      </c>
      <c r="L1827" t="str">
        <f>""</f>
        <v/>
      </c>
      <c r="M1827" t="str">
        <f>""</f>
        <v/>
      </c>
      <c r="N1827" t="str">
        <f>""</f>
        <v/>
      </c>
      <c r="O1827" t="str">
        <f>""</f>
        <v/>
      </c>
    </row>
    <row r="1828" spans="1:15" x14ac:dyDescent="0.25">
      <c r="A1828" t="str">
        <f>$A$737</f>
        <v xml:space="preserve">                    Arkema SA</v>
      </c>
      <c r="B1828" t="str">
        <f>$B$737</f>
        <v>AKE FP Equity</v>
      </c>
      <c r="C1828" t="str">
        <f>$C$737</f>
        <v>F0946</v>
      </c>
      <c r="D1828" t="str">
        <f>$D$737</f>
        <v>TOTAL_GHG_CO2_EMISSIONS</v>
      </c>
      <c r="E1828" t="str">
        <f>$E$737</f>
        <v>Dynamic</v>
      </c>
      <c r="F1828">
        <f ca="1">_xll.BDH($B$737,$C$737,$B$1130,$B$1131,CONCATENATE("Per=",$B$1128),"Dts=H","Dir=H",CONCATENATE("Points=",$B$1129),"Sort=R","Days=A","Fill=B",CONCATENATE("FX=", $B$1127),"cols=5;rows=1")</f>
        <v>2.4319999999999999</v>
      </c>
      <c r="G1828">
        <v>2.883</v>
      </c>
      <c r="H1828">
        <v>3.371</v>
      </c>
      <c r="I1828">
        <v>3.84</v>
      </c>
      <c r="J1828">
        <v>3.9620000000000002</v>
      </c>
      <c r="K1828" t="str">
        <f>""</f>
        <v/>
      </c>
      <c r="L1828" t="str">
        <f>""</f>
        <v/>
      </c>
      <c r="M1828" t="str">
        <f>""</f>
        <v/>
      </c>
      <c r="N1828" t="str">
        <f>""</f>
        <v/>
      </c>
      <c r="O1828" t="str">
        <f>""</f>
        <v/>
      </c>
    </row>
    <row r="1829" spans="1:15" x14ac:dyDescent="0.25">
      <c r="A1829" t="str">
        <f>$A$738</f>
        <v xml:space="preserve">                    Asahi Kasei Corp</v>
      </c>
      <c r="B1829" t="str">
        <f>$B$738</f>
        <v>3407 JP Equity</v>
      </c>
      <c r="C1829" t="str">
        <f>$C$738</f>
        <v>F0946</v>
      </c>
      <c r="D1829" t="str">
        <f>$D$738</f>
        <v>TOTAL_GHG_CO2_EMISSIONS</v>
      </c>
      <c r="E1829" t="str">
        <f>$E$738</f>
        <v>Dynamic</v>
      </c>
      <c r="F1829" t="str">
        <f ca="1">_xll.BDH($B$738,$C$738,$B$1130,$B$1131,CONCATENATE("Per=",$B$1128),"Dts=H","Dir=H",CONCATENATE("Points=",$B$1129),"Sort=R","Days=A","Fill=B",CONCATENATE("FX=", $B$1127),"cols=5;rows=1")</f>
        <v/>
      </c>
      <c r="G1829">
        <v>4.1100000000000003</v>
      </c>
      <c r="H1829">
        <v>3.89</v>
      </c>
      <c r="I1829">
        <v>3.99</v>
      </c>
      <c r="J1829">
        <v>4.16</v>
      </c>
      <c r="K1829" t="str">
        <f>""</f>
        <v/>
      </c>
      <c r="L1829" t="str">
        <f>""</f>
        <v/>
      </c>
      <c r="M1829" t="str">
        <f>""</f>
        <v/>
      </c>
      <c r="N1829" t="str">
        <f>""</f>
        <v/>
      </c>
      <c r="O1829" t="str">
        <f>""</f>
        <v/>
      </c>
    </row>
    <row r="1830" spans="1:15" x14ac:dyDescent="0.25">
      <c r="A1830" t="str">
        <f>$A$739</f>
        <v xml:space="preserve">                    AdvanSix Inc</v>
      </c>
      <c r="B1830" t="str">
        <f>$B$739</f>
        <v>ASIX US Equity</v>
      </c>
      <c r="C1830" t="str">
        <f>$C$739</f>
        <v>F0946</v>
      </c>
      <c r="D1830" t="str">
        <f>$D$739</f>
        <v>TOTAL_GHG_CO2_EMISSIONS</v>
      </c>
      <c r="E1830" t="str">
        <f>$E$739</f>
        <v>Dynamic</v>
      </c>
      <c r="F1830" t="str">
        <f ca="1">_xll.BDH($B$739,$C$739,$B$1130,$B$1131,CONCATENATE("Per=",$B$1128),"Dts=H","Dir=H",CONCATENATE("Points=",$B$1129),"Sort=R","Days=A","Fill=B",CONCATENATE("FX=", $B$1127) )</f>
        <v/>
      </c>
      <c r="K1830" t="str">
        <f>""</f>
        <v/>
      </c>
      <c r="L1830" t="str">
        <f>""</f>
        <v/>
      </c>
      <c r="M1830" t="str">
        <f>""</f>
        <v/>
      </c>
      <c r="N1830" t="str">
        <f>""</f>
        <v/>
      </c>
      <c r="O1830" t="str">
        <f>""</f>
        <v/>
      </c>
    </row>
    <row r="1831" spans="1:15" x14ac:dyDescent="0.25">
      <c r="A1831" t="str">
        <f>$A$740</f>
        <v xml:space="preserve">                    BASF SE</v>
      </c>
      <c r="B1831" t="str">
        <f>$B$740</f>
        <v>BAS GR Equity</v>
      </c>
      <c r="C1831" t="str">
        <f>$C$740</f>
        <v>F0946</v>
      </c>
      <c r="D1831" t="str">
        <f>$D$740</f>
        <v>TOTAL_GHG_CO2_EMISSIONS</v>
      </c>
      <c r="E1831" t="str">
        <f>$E$740</f>
        <v>Dynamic</v>
      </c>
      <c r="F1831" t="str">
        <f ca="1">_xll.BDH($B$740,$C$740,$B$1130,$B$1131,CONCATENATE("Per=",$B$1128),"Dts=H","Dir=H",CONCATENATE("Points=",$B$1129),"Sort=R","Days=A","Fill=B",CONCATENATE("FX=", $B$1127),"cols=5;rows=1")</f>
        <v/>
      </c>
      <c r="G1831">
        <v>22.338000000000001</v>
      </c>
      <c r="H1831">
        <v>21.757000000000001</v>
      </c>
      <c r="I1831">
        <v>20.875</v>
      </c>
      <c r="J1831">
        <v>22.164999999999999</v>
      </c>
      <c r="K1831" t="str">
        <f>""</f>
        <v/>
      </c>
      <c r="L1831" t="str">
        <f>""</f>
        <v/>
      </c>
      <c r="M1831" t="str">
        <f>""</f>
        <v/>
      </c>
      <c r="N1831" t="str">
        <f>""</f>
        <v/>
      </c>
      <c r="O1831" t="str">
        <f>""</f>
        <v/>
      </c>
    </row>
    <row r="1832" spans="1:15" x14ac:dyDescent="0.25">
      <c r="A1832" t="str">
        <f>$A$741</f>
        <v xml:space="preserve">                    Braskem SA</v>
      </c>
      <c r="B1832" t="str">
        <f>$B$741</f>
        <v>BRKM5 BZ Equity</v>
      </c>
      <c r="C1832" t="str">
        <f>$C$741</f>
        <v>F0946</v>
      </c>
      <c r="D1832" t="str">
        <f>$D$741</f>
        <v>TOTAL_GHG_CO2_EMISSIONS</v>
      </c>
      <c r="E1832" t="str">
        <f>$E$741</f>
        <v>Dynamic</v>
      </c>
      <c r="F1832">
        <f ca="1">_xll.BDH($B$741,$C$741,$B$1130,$B$1131,CONCATENATE("Per=",$B$1128),"Dts=H","Dir=H",CONCATENATE("Points=",$B$1129),"Sort=R","Days=A","Fill=B",CONCATENATE("FX=", $B$1127),"cols=5;rows=1")</f>
        <v>10.775</v>
      </c>
      <c r="G1832">
        <v>10.9512</v>
      </c>
      <c r="H1832">
        <v>10.798299999999999</v>
      </c>
      <c r="I1832">
        <v>10.6492</v>
      </c>
      <c r="J1832">
        <v>11.0168</v>
      </c>
      <c r="K1832" t="str">
        <f>""</f>
        <v/>
      </c>
      <c r="L1832" t="str">
        <f>""</f>
        <v/>
      </c>
      <c r="M1832" t="str">
        <f>""</f>
        <v/>
      </c>
      <c r="N1832" t="str">
        <f>""</f>
        <v/>
      </c>
      <c r="O1832" t="str">
        <f>""</f>
        <v/>
      </c>
    </row>
    <row r="1833" spans="1:15" x14ac:dyDescent="0.25">
      <c r="A1833" t="str">
        <f>$A$742</f>
        <v xml:space="preserve">                    China Petrochemical Developmen</v>
      </c>
      <c r="B1833" t="str">
        <f>$B$742</f>
        <v>1314 TT Equity</v>
      </c>
      <c r="C1833" t="str">
        <f>$C$742</f>
        <v>F0946</v>
      </c>
      <c r="D1833" t="str">
        <f>$D$742</f>
        <v>TOTAL_GHG_CO2_EMISSIONS</v>
      </c>
      <c r="E1833" t="str">
        <f>$E$742</f>
        <v>Dynamic</v>
      </c>
      <c r="F1833" t="str">
        <f ca="1">_xll.BDH($B$742,$C$742,$B$1130,$B$1131,CONCATENATE("Per=",$B$1128),"Dts=H","Dir=H",CONCATENATE("Points=",$B$1129),"Sort=R","Days=A","Fill=B",CONCATENATE("FX=", $B$1127),"cols=5;rows=1")</f>
        <v/>
      </c>
      <c r="G1833">
        <v>1.9077999999999999</v>
      </c>
      <c r="H1833">
        <v>1.0793999999999999</v>
      </c>
      <c r="I1833">
        <v>1.9158999999999999</v>
      </c>
      <c r="J1833">
        <v>2.6223000000000001</v>
      </c>
      <c r="K1833" t="str">
        <f>""</f>
        <v/>
      </c>
      <c r="L1833" t="str">
        <f>""</f>
        <v/>
      </c>
      <c r="M1833" t="str">
        <f>""</f>
        <v/>
      </c>
      <c r="N1833" t="str">
        <f>""</f>
        <v/>
      </c>
      <c r="O1833" t="str">
        <f>""</f>
        <v/>
      </c>
    </row>
    <row r="1834" spans="1:15" x14ac:dyDescent="0.25">
      <c r="A1834" t="str">
        <f>$A$743</f>
        <v xml:space="preserve">                    Celanese Corp</v>
      </c>
      <c r="B1834" t="str">
        <f>$B$743</f>
        <v>CE US Equity</v>
      </c>
      <c r="C1834" t="str">
        <f>$C$743</f>
        <v>F0946</v>
      </c>
      <c r="D1834" t="str">
        <f>$D$743</f>
        <v>TOTAL_GHG_CO2_EMISSIONS</v>
      </c>
      <c r="E1834" t="str">
        <f>$E$743</f>
        <v>Dynamic</v>
      </c>
      <c r="F1834" t="str">
        <f ca="1">_xll.BDH($B$743,$C$743,$B$1130,$B$1131,CONCATENATE("Per=",$B$1128),"Dts=H","Dir=H",CONCATENATE("Points=",$B$1129),"Sort=R","Days=A","Fill=B",CONCATENATE("FX=", $B$1127),"cols=5;rows=1")</f>
        <v/>
      </c>
      <c r="G1834">
        <v>3.7067999999999999</v>
      </c>
      <c r="H1834">
        <v>3.6469999999999998</v>
      </c>
      <c r="I1834">
        <v>2.9215</v>
      </c>
      <c r="J1834">
        <v>2.8273999999999999</v>
      </c>
      <c r="K1834" t="str">
        <f>""</f>
        <v/>
      </c>
      <c r="L1834" t="str">
        <f>""</f>
        <v/>
      </c>
      <c r="M1834" t="str">
        <f>""</f>
        <v/>
      </c>
      <c r="N1834" t="str">
        <f>""</f>
        <v/>
      </c>
      <c r="O1834" t="str">
        <f>""</f>
        <v/>
      </c>
    </row>
    <row r="1835" spans="1:15" x14ac:dyDescent="0.25">
      <c r="A1835" t="str">
        <f>$A$744</f>
        <v xml:space="preserve">                    Covestro AG</v>
      </c>
      <c r="B1835" t="str">
        <f>$B$744</f>
        <v>1COV GR Equity</v>
      </c>
      <c r="C1835" t="str">
        <f>$C$744</f>
        <v>F0946</v>
      </c>
      <c r="D1835" t="str">
        <f>$D$744</f>
        <v>TOTAL_GHG_CO2_EMISSIONS</v>
      </c>
      <c r="E1835" t="str">
        <f>$E$744</f>
        <v>Dynamic</v>
      </c>
      <c r="F1835" t="str">
        <f ca="1">_xll.BDH($B$744,$C$744,$B$1130,$B$1131,CONCATENATE("Per=",$B$1128),"Dts=H","Dir=H",CONCATENATE("Points=",$B$1129),"Sort=R","Days=A","Fill=B",CONCATENATE("FX=", $B$1127),"cols=5;rows=1")</f>
        <v/>
      </c>
      <c r="G1835">
        <v>5.38</v>
      </c>
      <c r="H1835">
        <v>5.6</v>
      </c>
      <c r="I1835">
        <v>5.95</v>
      </c>
      <c r="J1835">
        <v>6.53</v>
      </c>
      <c r="K1835" t="str">
        <f>""</f>
        <v/>
      </c>
      <c r="L1835" t="str">
        <f>""</f>
        <v/>
      </c>
      <c r="M1835" t="str">
        <f>""</f>
        <v/>
      </c>
      <c r="N1835" t="str">
        <f>""</f>
        <v/>
      </c>
      <c r="O1835" t="str">
        <f>""</f>
        <v/>
      </c>
    </row>
    <row r="1836" spans="1:15" x14ac:dyDescent="0.25">
      <c r="A1836" t="str">
        <f>$A$745</f>
        <v xml:space="preserve">                    Danhua Chemical Technology Co</v>
      </c>
      <c r="B1836" t="str">
        <f>$B$745</f>
        <v>900921 CH Equity</v>
      </c>
      <c r="C1836" t="str">
        <f>$C$745</f>
        <v>F0946</v>
      </c>
      <c r="D1836" t="str">
        <f>$D$745</f>
        <v>TOTAL_GHG_CO2_EMISSIONS</v>
      </c>
      <c r="E1836" t="str">
        <f>$E$745</f>
        <v>Dynamic</v>
      </c>
      <c r="F1836" t="str">
        <f ca="1">_xll.BDH($B$745,$C$745,$B$1130,$B$1131,CONCATENATE("Per=",$B$1128),"Dts=H","Dir=H",CONCATENATE("Points=",$B$1129),"Sort=R","Days=A","Fill=B",CONCATENATE("FX=", $B$1127) )</f>
        <v/>
      </c>
      <c r="K1836" t="str">
        <f>""</f>
        <v/>
      </c>
      <c r="L1836" t="str">
        <f>""</f>
        <v/>
      </c>
      <c r="M1836" t="str">
        <f>""</f>
        <v/>
      </c>
      <c r="N1836" t="str">
        <f>""</f>
        <v/>
      </c>
      <c r="O1836" t="str">
        <f>""</f>
        <v/>
      </c>
    </row>
    <row r="1837" spans="1:15" x14ac:dyDescent="0.25">
      <c r="A1837" t="str">
        <f>$A$746</f>
        <v xml:space="preserve">                    Deepak Fertilisers &amp; Petrochem</v>
      </c>
      <c r="B1837" t="str">
        <f>$B$746</f>
        <v>DFPC IN Equity</v>
      </c>
      <c r="C1837" t="str">
        <f>$C$746</f>
        <v>F0946</v>
      </c>
      <c r="D1837" t="str">
        <f>$D$746</f>
        <v>TOTAL_GHG_CO2_EMISSIONS</v>
      </c>
      <c r="E1837" t="str">
        <f>$E$746</f>
        <v>Dynamic</v>
      </c>
      <c r="F1837" t="str">
        <f ca="1">_xll.BDH($B$746,$C$746,$B$1130,$B$1131,CONCATENATE("Per=",$B$1128),"Dts=H","Dir=H",CONCATENATE("Points=",$B$1129),"Sort=R","Days=A","Fill=B",CONCATENATE("FX=", $B$1127) )</f>
        <v/>
      </c>
      <c r="K1837" t="str">
        <f>""</f>
        <v/>
      </c>
      <c r="L1837" t="str">
        <f>""</f>
        <v/>
      </c>
      <c r="M1837" t="str">
        <f>""</f>
        <v/>
      </c>
      <c r="N1837" t="str">
        <f>""</f>
        <v/>
      </c>
      <c r="O1837" t="str">
        <f>""</f>
        <v/>
      </c>
    </row>
    <row r="1838" spans="1:15" x14ac:dyDescent="0.25">
      <c r="A1838" t="str">
        <f>$A$747</f>
        <v xml:space="preserve">                    Denka Co Ltd</v>
      </c>
      <c r="B1838" t="str">
        <f>$B$747</f>
        <v>4061 JP Equity</v>
      </c>
      <c r="C1838" t="str">
        <f>$C$747</f>
        <v>F0946</v>
      </c>
      <c r="D1838" t="str">
        <f>$D$747</f>
        <v>TOTAL_GHG_CO2_EMISSIONS</v>
      </c>
      <c r="E1838" t="str">
        <f>$E$747</f>
        <v>Dynamic</v>
      </c>
      <c r="F1838" t="str">
        <f ca="1">_xll.BDH($B$747,$C$747,$B$1130,$B$1131,CONCATENATE("Per=",$B$1128),"Dts=H","Dir=H",CONCATENATE("Points=",$B$1129),"Sort=R","Days=A","Fill=B",CONCATENATE("FX=", $B$1127),"cols=5;rows=1")</f>
        <v/>
      </c>
      <c r="G1838">
        <v>2.1726000000000001</v>
      </c>
      <c r="H1838">
        <v>1.9719</v>
      </c>
      <c r="I1838">
        <v>1.95</v>
      </c>
      <c r="J1838">
        <v>2.0299999999999998</v>
      </c>
      <c r="K1838" t="str">
        <f>""</f>
        <v/>
      </c>
      <c r="L1838" t="str">
        <f>""</f>
        <v/>
      </c>
      <c r="M1838" t="str">
        <f>""</f>
        <v/>
      </c>
      <c r="N1838" t="str">
        <f>""</f>
        <v/>
      </c>
      <c r="O1838" t="str">
        <f>""</f>
        <v/>
      </c>
    </row>
    <row r="1839" spans="1:15" x14ac:dyDescent="0.25">
      <c r="A1839" t="str">
        <f>$A$748</f>
        <v xml:space="preserve">                    DuPont de Nemours Inc</v>
      </c>
      <c r="B1839" t="str">
        <f>$B$748</f>
        <v>DD US Equity</v>
      </c>
      <c r="C1839" t="str">
        <f>$C$748</f>
        <v>F0946</v>
      </c>
      <c r="D1839" t="str">
        <f>$D$748</f>
        <v>TOTAL_GHG_CO2_EMISSIONS</v>
      </c>
      <c r="E1839" t="str">
        <f>$E$748</f>
        <v>Dynamic</v>
      </c>
      <c r="F1839">
        <f ca="1">_xll.BDH($B$748,$C$748,$B$1130,$B$1131,CONCATENATE("Per=",$B$1128),"Dts=H","Dir=H",CONCATENATE("Points=",$B$1129),"Sort=R","Days=A","Fill=B",CONCATENATE("FX=", $B$1127),"cols=5;rows=1")</f>
        <v>2.3420999999999998</v>
      </c>
      <c r="G1839">
        <v>3.1446999999999998</v>
      </c>
      <c r="H1839">
        <v>5.1479999999999997</v>
      </c>
      <c r="I1839">
        <v>5.38</v>
      </c>
      <c r="K1839" t="str">
        <f>""</f>
        <v/>
      </c>
      <c r="L1839" t="str">
        <f>""</f>
        <v/>
      </c>
      <c r="M1839" t="str">
        <f>""</f>
        <v/>
      </c>
      <c r="N1839" t="str">
        <f>""</f>
        <v/>
      </c>
      <c r="O1839" t="str">
        <f>""</f>
        <v/>
      </c>
    </row>
    <row r="1840" spans="1:15" x14ac:dyDescent="0.25">
      <c r="A1840" t="str">
        <f>$A$749</f>
        <v xml:space="preserve">                    Daicel Corp</v>
      </c>
      <c r="B1840" t="str">
        <f>$B$749</f>
        <v>4202 JP Equity</v>
      </c>
      <c r="C1840" t="str">
        <f>$C$749</f>
        <v>F0946</v>
      </c>
      <c r="D1840" t="str">
        <f>$D$749</f>
        <v>TOTAL_GHG_CO2_EMISSIONS</v>
      </c>
      <c r="E1840" t="str">
        <f>$E$749</f>
        <v>Dynamic</v>
      </c>
      <c r="F1840" t="str">
        <f ca="1">_xll.BDH($B$749,$C$749,$B$1130,$B$1131,CONCATENATE("Per=",$B$1128),"Dts=H","Dir=H",CONCATENATE("Points=",$B$1129),"Sort=R","Days=A","Fill=B",CONCATENATE("FX=", $B$1127),"cols=5;rows=1")</f>
        <v/>
      </c>
      <c r="G1840">
        <v>2.347</v>
      </c>
      <c r="H1840">
        <v>2.7549999999999999</v>
      </c>
      <c r="I1840">
        <v>2.3690000000000002</v>
      </c>
      <c r="J1840">
        <v>2.4940000000000002</v>
      </c>
      <c r="K1840" t="str">
        <f>""</f>
        <v/>
      </c>
      <c r="L1840" t="str">
        <f>""</f>
        <v/>
      </c>
      <c r="M1840" t="str">
        <f>""</f>
        <v/>
      </c>
      <c r="N1840" t="str">
        <f>""</f>
        <v/>
      </c>
      <c r="O1840" t="str">
        <f>""</f>
        <v/>
      </c>
    </row>
    <row r="1841" spans="1:15" x14ac:dyDescent="0.25">
      <c r="A1841" t="str">
        <f>$A$750</f>
        <v xml:space="preserve">                    Dow Inc</v>
      </c>
      <c r="B1841" t="str">
        <f>$B$750</f>
        <v>DOW US Equity</v>
      </c>
      <c r="C1841" t="str">
        <f>$C$750</f>
        <v>F0946</v>
      </c>
      <c r="D1841" t="str">
        <f>$D$750</f>
        <v>TOTAL_GHG_CO2_EMISSIONS</v>
      </c>
      <c r="E1841" t="str">
        <f>$E$750</f>
        <v>Dynamic</v>
      </c>
      <c r="F1841" t="str">
        <f ca="1">_xll.BDH($B$750,$C$750,$B$1130,$B$1131,CONCATENATE("Per=",$B$1128),"Dts=H","Dir=H",CONCATENATE("Points=",$B$1129),"Sort=R","Days=A","Fill=B",CONCATENATE("FX=", $B$1127),"cols=5;rows=1")</f>
        <v/>
      </c>
      <c r="G1841">
        <v>32.229999999999997</v>
      </c>
      <c r="H1841">
        <v>34.76</v>
      </c>
      <c r="I1841">
        <v>33.65</v>
      </c>
      <c r="K1841" t="str">
        <f>""</f>
        <v/>
      </c>
      <c r="L1841" t="str">
        <f>""</f>
        <v/>
      </c>
      <c r="M1841" t="str">
        <f>""</f>
        <v/>
      </c>
      <c r="N1841" t="str">
        <f>""</f>
        <v/>
      </c>
      <c r="O1841" t="str">
        <f>""</f>
        <v/>
      </c>
    </row>
    <row r="1842" spans="1:15" x14ac:dyDescent="0.25">
      <c r="A1842" t="str">
        <f>$A$751</f>
        <v xml:space="preserve">                    Eastman Chemical Co</v>
      </c>
      <c r="B1842" t="str">
        <f>$B$751</f>
        <v>EMN US Equity</v>
      </c>
      <c r="C1842" t="str">
        <f>$C$751</f>
        <v>F0946</v>
      </c>
      <c r="D1842" t="str">
        <f>$D$751</f>
        <v>TOTAL_GHG_CO2_EMISSIONS</v>
      </c>
      <c r="E1842" t="str">
        <f>$E$751</f>
        <v>Dynamic</v>
      </c>
      <c r="F1842" t="str">
        <f ca="1">_xll.BDH($B$751,$C$751,$B$1130,$B$1131,CONCATENATE("Per=",$B$1128),"Dts=H","Dir=H",CONCATENATE("Points=",$B$1129),"Sort=R","Days=A","Fill=B",CONCATENATE("FX=", $B$1127),"cols=5;rows=1")</f>
        <v/>
      </c>
      <c r="G1842">
        <v>6.9427000000000003</v>
      </c>
      <c r="H1842">
        <v>6.3730000000000002</v>
      </c>
      <c r="I1842">
        <v>6.7</v>
      </c>
      <c r="J1842">
        <v>7.4</v>
      </c>
      <c r="K1842" t="str">
        <f>""</f>
        <v/>
      </c>
      <c r="L1842" t="str">
        <f>""</f>
        <v/>
      </c>
      <c r="M1842" t="str">
        <f>""</f>
        <v/>
      </c>
      <c r="N1842" t="str">
        <f>""</f>
        <v/>
      </c>
      <c r="O1842" t="str">
        <f>""</f>
        <v/>
      </c>
    </row>
    <row r="1843" spans="1:15" x14ac:dyDescent="0.25">
      <c r="A1843" t="str">
        <f>$A$752</f>
        <v xml:space="preserve">                    EMS-Chemie Holding AG</v>
      </c>
      <c r="B1843" t="str">
        <f>$B$752</f>
        <v>EMSN SW Equity</v>
      </c>
      <c r="C1843" t="str">
        <f>$C$752</f>
        <v>F0946</v>
      </c>
      <c r="D1843" t="str">
        <f>$D$752</f>
        <v>TOTAL_GHG_CO2_EMISSIONS</v>
      </c>
      <c r="E1843" t="str">
        <f>$E$752</f>
        <v>Dynamic</v>
      </c>
      <c r="F1843" t="str">
        <f ca="1">_xll.BDH($B$752,$C$752,$B$1130,$B$1131,CONCATENATE("Per=",$B$1128),"Dts=H","Dir=H",CONCATENATE("Points=",$B$1129),"Sort=R","Days=A","Fill=B",CONCATENATE("FX=", $B$1127) )</f>
        <v/>
      </c>
      <c r="K1843" t="str">
        <f>""</f>
        <v/>
      </c>
      <c r="L1843" t="str">
        <f>""</f>
        <v/>
      </c>
      <c r="M1843" t="str">
        <f>""</f>
        <v/>
      </c>
      <c r="N1843" t="str">
        <f>""</f>
        <v/>
      </c>
      <c r="O1843" t="str">
        <f>""</f>
        <v/>
      </c>
    </row>
    <row r="1844" spans="1:15" x14ac:dyDescent="0.25">
      <c r="A1844" t="str">
        <f>$A$753</f>
        <v xml:space="preserve">                    Formosa Chemicals &amp; Fibre Corp</v>
      </c>
      <c r="B1844" t="str">
        <f>$B$753</f>
        <v>1326 TT Equity</v>
      </c>
      <c r="C1844" t="str">
        <f>$C$753</f>
        <v>F0946</v>
      </c>
      <c r="D1844" t="str">
        <f>$D$753</f>
        <v>TOTAL_GHG_CO2_EMISSIONS</v>
      </c>
      <c r="E1844" t="str">
        <f>$E$753</f>
        <v>Dynamic</v>
      </c>
      <c r="F1844" t="str">
        <f ca="1">_xll.BDH($B$753,$C$753,$B$1130,$B$1131,CONCATENATE("Per=",$B$1128),"Dts=H","Dir=H",CONCATENATE("Points=",$B$1129),"Sort=R","Days=A","Fill=B",CONCATENATE("FX=", $B$1127),"cols=5;rows=1")</f>
        <v/>
      </c>
      <c r="G1844">
        <v>8.6979000000000006</v>
      </c>
      <c r="H1844">
        <v>8.5389999999999997</v>
      </c>
      <c r="I1844">
        <v>8.3576999999999995</v>
      </c>
      <c r="J1844">
        <v>9.0572999999999997</v>
      </c>
      <c r="K1844" t="str">
        <f>""</f>
        <v/>
      </c>
      <c r="L1844" t="str">
        <f>""</f>
        <v/>
      </c>
      <c r="M1844" t="str">
        <f>""</f>
        <v/>
      </c>
      <c r="N1844" t="str">
        <f>""</f>
        <v/>
      </c>
      <c r="O1844" t="str">
        <f>""</f>
        <v/>
      </c>
    </row>
    <row r="1845" spans="1:15" x14ac:dyDescent="0.25">
      <c r="A1845" t="str">
        <f>$A$754</f>
        <v xml:space="preserve">                    Formosa Plastics Corp</v>
      </c>
      <c r="B1845" t="str">
        <f>$B$754</f>
        <v>1301 TT Equity</v>
      </c>
      <c r="C1845" t="str">
        <f>$C$754</f>
        <v>F0946</v>
      </c>
      <c r="D1845" t="str">
        <f>$D$754</f>
        <v>TOTAL_GHG_CO2_EMISSIONS</v>
      </c>
      <c r="E1845" t="str">
        <f>$E$754</f>
        <v>Dynamic</v>
      </c>
      <c r="F1845" t="str">
        <f ca="1">_xll.BDH($B$754,$C$754,$B$1130,$B$1131,CONCATENATE("Per=",$B$1128),"Dts=H","Dir=H",CONCATENATE("Points=",$B$1129),"Sort=R","Days=A","Fill=B",CONCATENATE("FX=", $B$1127),"cols=5;rows=1")</f>
        <v/>
      </c>
      <c r="G1845">
        <v>8.6006</v>
      </c>
      <c r="K1845" t="str">
        <f>""</f>
        <v/>
      </c>
      <c r="L1845" t="str">
        <f>""</f>
        <v/>
      </c>
      <c r="M1845" t="str">
        <f>""</f>
        <v/>
      </c>
      <c r="N1845" t="str">
        <f>""</f>
        <v/>
      </c>
      <c r="O1845" t="str">
        <f>""</f>
        <v/>
      </c>
    </row>
    <row r="1846" spans="1:15" x14ac:dyDescent="0.25">
      <c r="A1846" t="str">
        <f>$A$755</f>
        <v xml:space="preserve">                    Hanwha Solutions Corp</v>
      </c>
      <c r="B1846" t="str">
        <f>$B$755</f>
        <v>009830 KS Equity</v>
      </c>
      <c r="C1846" t="str">
        <f>$C$755</f>
        <v>F0946</v>
      </c>
      <c r="D1846" t="str">
        <f>$D$755</f>
        <v>TOTAL_GHG_CO2_EMISSIONS</v>
      </c>
      <c r="E1846" t="str">
        <f>$E$755</f>
        <v>Dynamic</v>
      </c>
      <c r="F1846" t="str">
        <f ca="1">_xll.BDH($B$755,$C$755,$B$1130,$B$1131,CONCATENATE("Per=",$B$1128),"Dts=H","Dir=H",CONCATENATE("Points=",$B$1129),"Sort=R","Days=A","Fill=B",CONCATENATE("FX=", $B$1127),"cols=5;rows=1")</f>
        <v/>
      </c>
      <c r="G1846">
        <v>2.8685</v>
      </c>
      <c r="H1846">
        <v>2.7016</v>
      </c>
      <c r="J1846">
        <v>3.1964000000000001</v>
      </c>
      <c r="K1846" t="str">
        <f>""</f>
        <v/>
      </c>
      <c r="L1846" t="str">
        <f>""</f>
        <v/>
      </c>
      <c r="M1846" t="str">
        <f>""</f>
        <v/>
      </c>
      <c r="N1846" t="str">
        <f>""</f>
        <v/>
      </c>
      <c r="O1846" t="str">
        <f>""</f>
        <v/>
      </c>
    </row>
    <row r="1847" spans="1:15" x14ac:dyDescent="0.25">
      <c r="A1847" t="str">
        <f>$A$756</f>
        <v xml:space="preserve">                    Hubei Yihua Chemical Industry</v>
      </c>
      <c r="B1847" t="str">
        <f>$B$756</f>
        <v>000422 CH Equity</v>
      </c>
      <c r="C1847" t="str">
        <f>$C$756</f>
        <v>F0946</v>
      </c>
      <c r="D1847" t="str">
        <f>$D$756</f>
        <v>TOTAL_GHG_CO2_EMISSIONS</v>
      </c>
      <c r="E1847" t="str">
        <f>$E$756</f>
        <v>Dynamic</v>
      </c>
      <c r="F1847" t="str">
        <f ca="1">_xll.BDH($B$756,$C$756,$B$1130,$B$1131,CONCATENATE("Per=",$B$1128),"Dts=H","Dir=H",CONCATENATE("Points=",$B$1129),"Sort=R","Days=A","Fill=B",CONCATENATE("FX=", $B$1127) )</f>
        <v/>
      </c>
      <c r="K1847" t="str">
        <f>""</f>
        <v/>
      </c>
      <c r="L1847" t="str">
        <f>""</f>
        <v/>
      </c>
      <c r="M1847" t="str">
        <f>""</f>
        <v/>
      </c>
      <c r="N1847" t="str">
        <f>""</f>
        <v/>
      </c>
      <c r="O1847" t="str">
        <f>""</f>
        <v/>
      </c>
    </row>
    <row r="1848" spans="1:15" x14ac:dyDescent="0.25">
      <c r="A1848" t="str">
        <f>$A$757</f>
        <v xml:space="preserve">                    Huntsman Corp</v>
      </c>
      <c r="B1848" t="str">
        <f>$B$757</f>
        <v>HUN US Equity</v>
      </c>
      <c r="C1848" t="str">
        <f>$C$757</f>
        <v>F0946</v>
      </c>
      <c r="D1848" t="str">
        <f>$D$757</f>
        <v>TOTAL_GHG_CO2_EMISSIONS</v>
      </c>
      <c r="E1848" t="str">
        <f>$E$757</f>
        <v>Dynamic</v>
      </c>
      <c r="F1848" t="str">
        <f ca="1">_xll.BDH($B$757,$C$757,$B$1130,$B$1131,CONCATENATE("Per=",$B$1128),"Dts=H","Dir=H",CONCATENATE("Points=",$B$1129),"Sort=R","Days=A","Fill=B",CONCATENATE("FX=", $B$1127),"cols=5;rows=1")</f>
        <v/>
      </c>
      <c r="G1848">
        <v>1.1277999999999999</v>
      </c>
      <c r="H1848">
        <v>1.1005</v>
      </c>
      <c r="I1848">
        <v>2.7755999999999998</v>
      </c>
      <c r="J1848">
        <v>2.6928999999999998</v>
      </c>
      <c r="K1848" t="str">
        <f>""</f>
        <v/>
      </c>
      <c r="L1848" t="str">
        <f>""</f>
        <v/>
      </c>
      <c r="M1848" t="str">
        <f>""</f>
        <v/>
      </c>
      <c r="N1848" t="str">
        <f>""</f>
        <v/>
      </c>
      <c r="O1848" t="str">
        <f>""</f>
        <v/>
      </c>
    </row>
    <row r="1849" spans="1:15" x14ac:dyDescent="0.25">
      <c r="A1849" t="str">
        <f>$A$758</f>
        <v xml:space="preserve">                    Indorama Ventures PCL</v>
      </c>
      <c r="B1849" t="str">
        <f>$B$758</f>
        <v>IVL TB Equity</v>
      </c>
      <c r="C1849" t="str">
        <f>$C$758</f>
        <v>F0946</v>
      </c>
      <c r="D1849" t="str">
        <f>$D$758</f>
        <v>TOTAL_GHG_CO2_EMISSIONS</v>
      </c>
      <c r="E1849" t="str">
        <f>$E$758</f>
        <v>Dynamic</v>
      </c>
      <c r="F1849" t="str">
        <f ca="1">_xll.BDH($B$758,$C$758,$B$1130,$B$1131,CONCATENATE("Per=",$B$1128),"Dts=H","Dir=H",CONCATENATE("Points=",$B$1129),"Sort=R","Days=A","Fill=B",CONCATENATE("FX=", $B$1127),"cols=5;rows=1")</f>
        <v/>
      </c>
      <c r="G1849">
        <v>9.7329000000000008</v>
      </c>
      <c r="H1849">
        <v>9.4450000000000003</v>
      </c>
      <c r="I1849">
        <v>7.0894000000000004</v>
      </c>
      <c r="J1849">
        <v>5.9135</v>
      </c>
      <c r="K1849" t="str">
        <f>""</f>
        <v/>
      </c>
      <c r="L1849" t="str">
        <f>""</f>
        <v/>
      </c>
      <c r="M1849" t="str">
        <f>""</f>
        <v/>
      </c>
      <c r="N1849" t="str">
        <f>""</f>
        <v/>
      </c>
      <c r="O1849" t="str">
        <f>""</f>
        <v/>
      </c>
    </row>
    <row r="1850" spans="1:15" x14ac:dyDescent="0.25">
      <c r="A1850" t="str">
        <f>$A$759</f>
        <v xml:space="preserve">                    Inner Mongolia Yuan Xing Energ</v>
      </c>
      <c r="B1850" t="str">
        <f>$B$759</f>
        <v>000683 CH Equity</v>
      </c>
      <c r="C1850" t="str">
        <f>$C$759</f>
        <v>F0946</v>
      </c>
      <c r="D1850" t="str">
        <f>$D$759</f>
        <v>TOTAL_GHG_CO2_EMISSIONS</v>
      </c>
      <c r="E1850" t="str">
        <f>$E$759</f>
        <v>Dynamic</v>
      </c>
      <c r="F1850" t="str">
        <f ca="1">_xll.BDH($B$759,$C$759,$B$1130,$B$1131,CONCATENATE("Per=",$B$1128),"Dts=H","Dir=H",CONCATENATE("Points=",$B$1129),"Sort=R","Days=A","Fill=B",CONCATENATE("FX=", $B$1127) )</f>
        <v/>
      </c>
      <c r="K1850" t="str">
        <f>""</f>
        <v/>
      </c>
      <c r="L1850" t="str">
        <f>""</f>
        <v/>
      </c>
      <c r="M1850" t="str">
        <f>""</f>
        <v/>
      </c>
      <c r="N1850" t="str">
        <f>""</f>
        <v/>
      </c>
      <c r="O1850" t="str">
        <f>""</f>
        <v/>
      </c>
    </row>
    <row r="1851" spans="1:15" x14ac:dyDescent="0.25">
      <c r="A1851" t="str">
        <f>$A$760</f>
        <v xml:space="preserve">                    Organichesky Sintez PJSC</v>
      </c>
      <c r="B1851" t="str">
        <f>$B$760</f>
        <v>KZOS RM Equity</v>
      </c>
      <c r="C1851" t="str">
        <f>$C$760</f>
        <v>F0946</v>
      </c>
      <c r="D1851" t="str">
        <f>$D$760</f>
        <v>TOTAL_GHG_CO2_EMISSIONS</v>
      </c>
      <c r="E1851" t="str">
        <f>$E$760</f>
        <v>Dynamic</v>
      </c>
      <c r="F1851" t="str">
        <f ca="1">_xll.BDH($B$760,$C$760,$B$1130,$B$1131,CONCATENATE("Per=",$B$1128),"Dts=H","Dir=H",CONCATENATE("Points=",$B$1129),"Sort=R","Days=A","Fill=B",CONCATENATE("FX=", $B$1127) )</f>
        <v/>
      </c>
      <c r="K1851" t="str">
        <f>""</f>
        <v/>
      </c>
      <c r="L1851" t="str">
        <f>""</f>
        <v/>
      </c>
      <c r="M1851" t="str">
        <f>""</f>
        <v/>
      </c>
      <c r="N1851" t="str">
        <f>""</f>
        <v/>
      </c>
      <c r="O1851" t="str">
        <f>""</f>
        <v/>
      </c>
    </row>
    <row r="1852" spans="1:15" x14ac:dyDescent="0.25">
      <c r="A1852" t="str">
        <f>$A$761</f>
        <v xml:space="preserve">                    Kolon Industries Inc</v>
      </c>
      <c r="B1852" t="str">
        <f>$B$761</f>
        <v>120110 KS Equity</v>
      </c>
      <c r="C1852" t="str">
        <f>$C$761</f>
        <v>F0946</v>
      </c>
      <c r="D1852" t="str">
        <f>$D$761</f>
        <v>TOTAL_GHG_CO2_EMISSIONS</v>
      </c>
      <c r="E1852" t="str">
        <f>$E$761</f>
        <v>Dynamic</v>
      </c>
      <c r="F1852" t="str">
        <f ca="1">_xll.BDH($B$761,$C$761,$B$1130,$B$1131,CONCATENATE("Per=",$B$1128),"Dts=H","Dir=H",CONCATENATE("Points=",$B$1129),"Sort=R","Days=A","Fill=B",CONCATENATE("FX=", $B$1127) )</f>
        <v/>
      </c>
      <c r="K1852" t="str">
        <f>""</f>
        <v/>
      </c>
      <c r="L1852" t="str">
        <f>""</f>
        <v/>
      </c>
      <c r="M1852" t="str">
        <f>""</f>
        <v/>
      </c>
      <c r="N1852" t="str">
        <f>""</f>
        <v/>
      </c>
      <c r="O1852" t="str">
        <f>""</f>
        <v/>
      </c>
    </row>
    <row r="1853" spans="1:15" x14ac:dyDescent="0.25">
      <c r="A1853" t="str">
        <f>$A$762</f>
        <v xml:space="preserve">                    Koppers Holdings Inc</v>
      </c>
      <c r="B1853" t="str">
        <f>$B$762</f>
        <v>KOP US Equity</v>
      </c>
      <c r="C1853" t="str">
        <f>$C$762</f>
        <v>F0946</v>
      </c>
      <c r="D1853" t="str">
        <f>$D$762</f>
        <v>TOTAL_GHG_CO2_EMISSIONS</v>
      </c>
      <c r="E1853" t="str">
        <f>$E$762</f>
        <v>Dynamic</v>
      </c>
      <c r="F1853" t="str">
        <f ca="1">_xll.BDH($B$762,$C$762,$B$1130,$B$1131,CONCATENATE("Per=",$B$1128),"Dts=H","Dir=H",CONCATENATE("Points=",$B$1129),"Sort=R","Days=A","Fill=B",CONCATENATE("FX=", $B$1127),"cols=5;rows=1")</f>
        <v/>
      </c>
      <c r="G1853">
        <v>0.42809999999999998</v>
      </c>
      <c r="H1853">
        <v>0.48530000000000001</v>
      </c>
      <c r="I1853">
        <v>0.52349999999999997</v>
      </c>
      <c r="J1853">
        <v>0.48699999999999999</v>
      </c>
      <c r="K1853" t="str">
        <f>""</f>
        <v/>
      </c>
      <c r="L1853" t="str">
        <f>""</f>
        <v/>
      </c>
      <c r="M1853" t="str">
        <f>""</f>
        <v/>
      </c>
      <c r="N1853" t="str">
        <f>""</f>
        <v/>
      </c>
      <c r="O1853" t="str">
        <f>""</f>
        <v/>
      </c>
    </row>
    <row r="1854" spans="1:15" x14ac:dyDescent="0.25">
      <c r="A1854" t="str">
        <f>$A$763</f>
        <v xml:space="preserve">                    Kumho Petrochemical Co Ltd</v>
      </c>
      <c r="B1854" t="str">
        <f>$B$763</f>
        <v>011780 KS Equity</v>
      </c>
      <c r="C1854" t="str">
        <f>$C$763</f>
        <v>F0946</v>
      </c>
      <c r="D1854" t="str">
        <f>$D$763</f>
        <v>TOTAL_GHG_CO2_EMISSIONS</v>
      </c>
      <c r="E1854" t="str">
        <f>$E$763</f>
        <v>Dynamic</v>
      </c>
      <c r="F1854" t="str">
        <f ca="1">_xll.BDH($B$763,$C$763,$B$1130,$B$1131,CONCATENATE("Per=",$B$1128),"Dts=H","Dir=H",CONCATENATE("Points=",$B$1129),"Sort=R","Days=A","Fill=B",CONCATENATE("FX=", $B$1127),"cols=5;rows=1")</f>
        <v/>
      </c>
      <c r="H1854">
        <v>3.4943</v>
      </c>
      <c r="I1854">
        <v>3.5104000000000002</v>
      </c>
      <c r="K1854" t="str">
        <f>""</f>
        <v/>
      </c>
      <c r="L1854" t="str">
        <f>""</f>
        <v/>
      </c>
      <c r="M1854" t="str">
        <f>""</f>
        <v/>
      </c>
      <c r="N1854" t="str">
        <f>""</f>
        <v/>
      </c>
      <c r="O1854" t="str">
        <f>""</f>
        <v/>
      </c>
    </row>
    <row r="1855" spans="1:15" x14ac:dyDescent="0.25">
      <c r="A1855" t="str">
        <f>$A$764</f>
        <v xml:space="preserve">                    Kaneka Corp</v>
      </c>
      <c r="B1855" t="str">
        <f>$B$764</f>
        <v>4118 JP Equity</v>
      </c>
      <c r="C1855" t="str">
        <f>$C$764</f>
        <v>F0946</v>
      </c>
      <c r="D1855" t="str">
        <f>$D$764</f>
        <v>TOTAL_GHG_CO2_EMISSIONS</v>
      </c>
      <c r="E1855" t="str">
        <f>$E$764</f>
        <v>Dynamic</v>
      </c>
      <c r="F1855" t="str">
        <f ca="1">_xll.BDH($B$764,$C$764,$B$1130,$B$1131,CONCATENATE("Per=",$B$1128),"Dts=H","Dir=H",CONCATENATE("Points=",$B$1129),"Sort=R","Days=A","Fill=B",CONCATENATE("FX=", $B$1127),"cols=5;rows=1")</f>
        <v/>
      </c>
      <c r="G1855">
        <v>1.548</v>
      </c>
      <c r="H1855">
        <v>1.4614</v>
      </c>
      <c r="I1855">
        <v>1.46</v>
      </c>
      <c r="J1855">
        <v>1.569</v>
      </c>
      <c r="K1855" t="str">
        <f>""</f>
        <v/>
      </c>
      <c r="L1855" t="str">
        <f>""</f>
        <v/>
      </c>
      <c r="M1855" t="str">
        <f>""</f>
        <v/>
      </c>
      <c r="N1855" t="str">
        <f>""</f>
        <v/>
      </c>
      <c r="O1855" t="str">
        <f>""</f>
        <v/>
      </c>
    </row>
    <row r="1856" spans="1:15" x14ac:dyDescent="0.25">
      <c r="A1856" t="str">
        <f>$A$765</f>
        <v xml:space="preserve">                    Kuraray Co Ltd</v>
      </c>
      <c r="B1856" t="str">
        <f>$B$765</f>
        <v>3405 JP Equity</v>
      </c>
      <c r="C1856" t="str">
        <f>$C$765</f>
        <v>F0946</v>
      </c>
      <c r="D1856" t="str">
        <f>$D$765</f>
        <v>TOTAL_GHG_CO2_EMISSIONS</v>
      </c>
      <c r="E1856" t="str">
        <f>$E$765</f>
        <v>Dynamic</v>
      </c>
      <c r="F1856">
        <f ca="1">_xll.BDH($B$765,$C$765,$B$1130,$B$1131,CONCATENATE("Per=",$B$1128),"Dts=H","Dir=H",CONCATENATE("Points=",$B$1129),"Sort=R","Days=A","Fill=B",CONCATENATE("FX=", $B$1127),"cols=5;rows=1")</f>
        <v>2.8969999999999998</v>
      </c>
      <c r="G1856">
        <v>2.96</v>
      </c>
      <c r="H1856">
        <v>3.0449999999999999</v>
      </c>
      <c r="I1856">
        <v>3.23</v>
      </c>
      <c r="J1856">
        <v>3.1880000000000002</v>
      </c>
      <c r="K1856" t="str">
        <f>""</f>
        <v/>
      </c>
      <c r="L1856" t="str">
        <f>""</f>
        <v/>
      </c>
      <c r="M1856" t="str">
        <f>""</f>
        <v/>
      </c>
      <c r="N1856" t="str">
        <f>""</f>
        <v/>
      </c>
      <c r="O1856" t="str">
        <f>""</f>
        <v/>
      </c>
    </row>
    <row r="1857" spans="1:15" x14ac:dyDescent="0.25">
      <c r="A1857" t="str">
        <f>$A$766</f>
        <v xml:space="preserve">                    LANXESS AG</v>
      </c>
      <c r="B1857" t="str">
        <f>$B$766</f>
        <v>LXS GR Equity</v>
      </c>
      <c r="C1857" t="str">
        <f>$C$766</f>
        <v>F0946</v>
      </c>
      <c r="D1857" t="str">
        <f>$D$766</f>
        <v>TOTAL_GHG_CO2_EMISSIONS</v>
      </c>
      <c r="E1857" t="str">
        <f>$E$766</f>
        <v>Dynamic</v>
      </c>
      <c r="F1857" t="str">
        <f ca="1">_xll.BDH($B$766,$C$766,$B$1130,$B$1131,CONCATENATE("Per=",$B$1128),"Dts=H","Dir=H",CONCATENATE("Points=",$B$1129),"Sort=R","Days=A","Fill=B",CONCATENATE("FX=", $B$1127),"cols=5;rows=1")</f>
        <v/>
      </c>
      <c r="G1857">
        <v>2.8460000000000001</v>
      </c>
      <c r="H1857">
        <v>2.9079999999999999</v>
      </c>
      <c r="I1857">
        <v>3.4929999999999999</v>
      </c>
      <c r="J1857">
        <v>5.7960000000000003</v>
      </c>
      <c r="K1857" t="str">
        <f>""</f>
        <v/>
      </c>
      <c r="L1857" t="str">
        <f>""</f>
        <v/>
      </c>
      <c r="M1857" t="str">
        <f>""</f>
        <v/>
      </c>
      <c r="N1857" t="str">
        <f>""</f>
        <v/>
      </c>
      <c r="O1857" t="str">
        <f>""</f>
        <v/>
      </c>
    </row>
    <row r="1858" spans="1:15" x14ac:dyDescent="0.25">
      <c r="A1858" t="str">
        <f>$A$767</f>
        <v xml:space="preserve">                    LG Chem Ltd</v>
      </c>
      <c r="B1858" t="str">
        <f>$B$767</f>
        <v>051910 KS Equity</v>
      </c>
      <c r="C1858" t="str">
        <f>$C$767</f>
        <v>F0946</v>
      </c>
      <c r="D1858" t="str">
        <f>$D$767</f>
        <v>TOTAL_GHG_CO2_EMISSIONS</v>
      </c>
      <c r="E1858" t="str">
        <f>$E$767</f>
        <v>Dynamic</v>
      </c>
      <c r="F1858" t="str">
        <f ca="1">_xll.BDH($B$767,$C$767,$B$1130,$B$1131,CONCATENATE("Per=",$B$1128),"Dts=H","Dir=H",CONCATENATE("Points=",$B$1129),"Sort=R","Days=A","Fill=B",CONCATENATE("FX=", $B$1127),"cols=5;rows=1")</f>
        <v/>
      </c>
      <c r="G1858">
        <v>10.339700000000001</v>
      </c>
      <c r="H1858">
        <v>9.5198</v>
      </c>
      <c r="I1858">
        <v>10.5832</v>
      </c>
      <c r="J1858">
        <v>9.9878999999999998</v>
      </c>
      <c r="K1858" t="str">
        <f>""</f>
        <v/>
      </c>
      <c r="L1858" t="str">
        <f>""</f>
        <v/>
      </c>
      <c r="M1858" t="str">
        <f>""</f>
        <v/>
      </c>
      <c r="N1858" t="str">
        <f>""</f>
        <v/>
      </c>
      <c r="O1858" t="str">
        <f>""</f>
        <v/>
      </c>
    </row>
    <row r="1859" spans="1:15" x14ac:dyDescent="0.25">
      <c r="A1859" t="str">
        <f>$A$768</f>
        <v xml:space="preserve">                    Lotte Chemical Corp</v>
      </c>
      <c r="B1859" t="str">
        <f>$B$768</f>
        <v>011170 KS Equity</v>
      </c>
      <c r="C1859" t="str">
        <f>$C$768</f>
        <v>F0946</v>
      </c>
      <c r="D1859" t="str">
        <f>$D$768</f>
        <v>TOTAL_GHG_CO2_EMISSIONS</v>
      </c>
      <c r="E1859" t="str">
        <f>$E$768</f>
        <v>Dynamic</v>
      </c>
      <c r="F1859" t="str">
        <f ca="1">_xll.BDH($B$768,$C$768,$B$1130,$B$1131,CONCATENATE("Per=",$B$1128),"Dts=H","Dir=H",CONCATENATE("Points=",$B$1129),"Sort=R","Days=A","Fill=B",CONCATENATE("FX=", $B$1127),"cols=5;rows=1")</f>
        <v/>
      </c>
      <c r="G1859">
        <v>6.5420999999999996</v>
      </c>
      <c r="H1859">
        <v>5.5743</v>
      </c>
      <c r="I1859">
        <v>6.3726000000000003</v>
      </c>
      <c r="J1859">
        <v>5.8813000000000004</v>
      </c>
      <c r="K1859" t="str">
        <f>""</f>
        <v/>
      </c>
      <c r="L1859" t="str">
        <f>""</f>
        <v/>
      </c>
      <c r="M1859" t="str">
        <f>""</f>
        <v/>
      </c>
      <c r="N1859" t="str">
        <f>""</f>
        <v/>
      </c>
      <c r="O1859" t="str">
        <f>""</f>
        <v/>
      </c>
    </row>
    <row r="1860" spans="1:15" x14ac:dyDescent="0.25">
      <c r="A1860" t="str">
        <f>$A$769</f>
        <v xml:space="preserve">                    LyondellBasell Industries NV</v>
      </c>
      <c r="B1860" t="str">
        <f>$B$769</f>
        <v>LYB US Equity</v>
      </c>
      <c r="C1860" t="str">
        <f>$C$769</f>
        <v>F0946</v>
      </c>
      <c r="D1860" t="str">
        <f>$D$769</f>
        <v>TOTAL_GHG_CO2_EMISSIONS</v>
      </c>
      <c r="E1860" t="str">
        <f>$E$769</f>
        <v>Dynamic</v>
      </c>
      <c r="F1860">
        <f ca="1">_xll.BDH($B$769,$C$769,$B$1130,$B$1131,CONCATENATE("Per=",$B$1128),"Dts=H","Dir=H",CONCATENATE("Points=",$B$1129),"Sort=R","Days=A","Fill=B",CONCATENATE("FX=", $B$1127),"cols=5;rows=1")</f>
        <v>21.7</v>
      </c>
      <c r="G1860">
        <v>23.301100000000002</v>
      </c>
      <c r="H1860">
        <v>24.283799999999999</v>
      </c>
      <c r="I1860">
        <v>23.170999999999999</v>
      </c>
      <c r="J1860">
        <v>23.379000000000001</v>
      </c>
      <c r="K1860" t="str">
        <f>""</f>
        <v/>
      </c>
      <c r="L1860" t="str">
        <f>""</f>
        <v/>
      </c>
      <c r="M1860" t="str">
        <f>""</f>
        <v/>
      </c>
      <c r="N1860" t="str">
        <f>""</f>
        <v/>
      </c>
      <c r="O1860" t="str">
        <f>""</f>
        <v/>
      </c>
    </row>
    <row r="1861" spans="1:15" x14ac:dyDescent="0.25">
      <c r="A1861" t="str">
        <f>$A$770</f>
        <v xml:space="preserve">                    Luxi Chemical Group Co Ltd</v>
      </c>
      <c r="B1861" t="str">
        <f>$B$770</f>
        <v>000830 CH Equity</v>
      </c>
      <c r="C1861" t="str">
        <f>$C$770</f>
        <v>F0946</v>
      </c>
      <c r="D1861" t="str">
        <f>$D$770</f>
        <v>TOTAL_GHG_CO2_EMISSIONS</v>
      </c>
      <c r="E1861" t="str">
        <f>$E$770</f>
        <v>Dynamic</v>
      </c>
      <c r="F1861" t="str">
        <f ca="1">_xll.BDH($B$770,$C$770,$B$1130,$B$1131,CONCATENATE("Per=",$B$1128),"Dts=H","Dir=H",CONCATENATE("Points=",$B$1129),"Sort=R","Days=A","Fill=B",CONCATENATE("FX=", $B$1127) )</f>
        <v/>
      </c>
      <c r="K1861" t="str">
        <f>""</f>
        <v/>
      </c>
      <c r="L1861" t="str">
        <f>""</f>
        <v/>
      </c>
      <c r="M1861" t="str">
        <f>""</f>
        <v/>
      </c>
      <c r="N1861" t="str">
        <f>""</f>
        <v/>
      </c>
      <c r="O1861" t="str">
        <f>""</f>
        <v/>
      </c>
    </row>
    <row r="1862" spans="1:15" x14ac:dyDescent="0.25">
      <c r="A1862" t="str">
        <f>$A$771</f>
        <v xml:space="preserve">                    Mitsui Chemicals Inc</v>
      </c>
      <c r="B1862" t="str">
        <f>$B$771</f>
        <v>4183 JP Equity</v>
      </c>
      <c r="C1862" t="str">
        <f>$C$771</f>
        <v>F0946</v>
      </c>
      <c r="D1862" t="str">
        <f>$D$771</f>
        <v>TOTAL_GHG_CO2_EMISSIONS</v>
      </c>
      <c r="E1862" t="str">
        <f>$E$771</f>
        <v>Dynamic</v>
      </c>
      <c r="F1862" t="str">
        <f ca="1">_xll.BDH($B$771,$C$771,$B$1130,$B$1131,CONCATENATE("Per=",$B$1128),"Dts=H","Dir=H",CONCATENATE("Points=",$B$1129),"Sort=R","Days=A","Fill=B",CONCATENATE("FX=", $B$1127),"cols=5;rows=1")</f>
        <v/>
      </c>
      <c r="G1862">
        <v>4.8730000000000002</v>
      </c>
      <c r="H1862">
        <v>4.9329999999999998</v>
      </c>
      <c r="I1862">
        <v>5.07</v>
      </c>
      <c r="J1862">
        <v>5.22</v>
      </c>
      <c r="K1862" t="str">
        <f>""</f>
        <v/>
      </c>
      <c r="L1862" t="str">
        <f>""</f>
        <v/>
      </c>
      <c r="M1862" t="str">
        <f>""</f>
        <v/>
      </c>
      <c r="N1862" t="str">
        <f>""</f>
        <v/>
      </c>
      <c r="O1862" t="str">
        <f>""</f>
        <v/>
      </c>
    </row>
    <row r="1863" spans="1:15" x14ac:dyDescent="0.25">
      <c r="A1863" t="str">
        <f>$A$772</f>
        <v xml:space="preserve">                    Methanex Corp</v>
      </c>
      <c r="B1863" t="str">
        <f>$B$772</f>
        <v>MX CN Equity</v>
      </c>
      <c r="C1863" t="str">
        <f>$C$772</f>
        <v>F0946</v>
      </c>
      <c r="D1863" t="str">
        <f>$D$772</f>
        <v>TOTAL_GHG_CO2_EMISSIONS</v>
      </c>
      <c r="E1863" t="str">
        <f>$E$772</f>
        <v>Dynamic</v>
      </c>
      <c r="F1863">
        <f ca="1">_xll.BDH($B$772,$C$772,$B$1130,$B$1131,CONCATENATE("Per=",$B$1128),"Dts=H","Dir=H",CONCATENATE("Points=",$B$1129),"Sort=R","Days=A","Fill=B",CONCATENATE("FX=", $B$1127),"cols=5;rows=1")</f>
        <v>3.9940000000000002</v>
      </c>
      <c r="G1863">
        <v>4.0640000000000001</v>
      </c>
      <c r="H1863">
        <v>3.9546000000000001</v>
      </c>
      <c r="I1863">
        <v>5.3918999999999997</v>
      </c>
      <c r="J1863">
        <v>4.9225000000000003</v>
      </c>
      <c r="K1863" t="str">
        <f>""</f>
        <v/>
      </c>
      <c r="L1863" t="str">
        <f>""</f>
        <v/>
      </c>
      <c r="M1863" t="str">
        <f>""</f>
        <v/>
      </c>
      <c r="N1863" t="str">
        <f>""</f>
        <v/>
      </c>
      <c r="O1863" t="str">
        <f>""</f>
        <v/>
      </c>
    </row>
    <row r="1864" spans="1:15" x14ac:dyDescent="0.25">
      <c r="A1864" t="str">
        <f>$A$773</f>
        <v xml:space="preserve">                    Mitsubishi Chemical Group Corp</v>
      </c>
      <c r="B1864" t="str">
        <f>$B$773</f>
        <v>4188 JP Equity</v>
      </c>
      <c r="C1864" t="str">
        <f>$C$773</f>
        <v>F0946</v>
      </c>
      <c r="D1864" t="str">
        <f>$D$773</f>
        <v>TOTAL_GHG_CO2_EMISSIONS</v>
      </c>
      <c r="E1864" t="str">
        <f>$E$773</f>
        <v>Dynamic</v>
      </c>
      <c r="F1864" t="str">
        <f ca="1">_xll.BDH($B$773,$C$773,$B$1130,$B$1131,CONCATENATE("Per=",$B$1128),"Dts=H","Dir=H",CONCATENATE("Points=",$B$1129),"Sort=R","Days=A","Fill=B",CONCATENATE("FX=", $B$1127),"cols=5;rows=1")</f>
        <v/>
      </c>
      <c r="G1864">
        <v>16.079000000000001</v>
      </c>
      <c r="H1864">
        <v>15.326000000000001</v>
      </c>
      <c r="I1864">
        <v>16.629000000000001</v>
      </c>
      <c r="J1864">
        <v>14.186999999999999</v>
      </c>
      <c r="K1864" t="str">
        <f>""</f>
        <v/>
      </c>
      <c r="L1864" t="str">
        <f>""</f>
        <v/>
      </c>
      <c r="M1864" t="str">
        <f>""</f>
        <v/>
      </c>
      <c r="N1864" t="str">
        <f>""</f>
        <v/>
      </c>
      <c r="O1864" t="str">
        <f>""</f>
        <v/>
      </c>
    </row>
    <row r="1865" spans="1:15" x14ac:dyDescent="0.25">
      <c r="A1865" t="str">
        <f>$A$774</f>
        <v xml:space="preserve">                    Mitsubishi Gas Chemical Co Inc</v>
      </c>
      <c r="B1865" t="str">
        <f>$B$774</f>
        <v>4182 JP Equity</v>
      </c>
      <c r="C1865" t="str">
        <f>$C$774</f>
        <v>F0946</v>
      </c>
      <c r="D1865" t="str">
        <f>$D$774</f>
        <v>TOTAL_GHG_CO2_EMISSIONS</v>
      </c>
      <c r="E1865" t="str">
        <f>$E$774</f>
        <v>Dynamic</v>
      </c>
      <c r="F1865" t="str">
        <f ca="1">_xll.BDH($B$774,$C$774,$B$1130,$B$1131,CONCATENATE("Per=",$B$1128),"Dts=H","Dir=H",CONCATENATE("Points=",$B$1129),"Sort=R","Days=A","Fill=B",CONCATENATE("FX=", $B$1127),"cols=5;rows=1")</f>
        <v/>
      </c>
      <c r="G1865">
        <v>1.5078</v>
      </c>
      <c r="H1865">
        <v>1.3638999999999999</v>
      </c>
      <c r="K1865" t="str">
        <f>""</f>
        <v/>
      </c>
      <c r="L1865" t="str">
        <f>""</f>
        <v/>
      </c>
      <c r="M1865" t="str">
        <f>""</f>
        <v/>
      </c>
      <c r="N1865" t="str">
        <f>""</f>
        <v/>
      </c>
      <c r="O1865" t="str">
        <f>""</f>
        <v/>
      </c>
    </row>
    <row r="1866" spans="1:15" x14ac:dyDescent="0.25">
      <c r="A1866" t="str">
        <f>$A$775</f>
        <v xml:space="preserve">                    Nan Ya Plastics Corp</v>
      </c>
      <c r="B1866" t="str">
        <f>$B$775</f>
        <v>1303 TT Equity</v>
      </c>
      <c r="C1866" t="str">
        <f>$C$775</f>
        <v>F0946</v>
      </c>
      <c r="D1866" t="str">
        <f>$D$775</f>
        <v>TOTAL_GHG_CO2_EMISSIONS</v>
      </c>
      <c r="E1866" t="str">
        <f>$E$775</f>
        <v>Dynamic</v>
      </c>
      <c r="F1866" t="str">
        <f ca="1">_xll.BDH($B$775,$C$775,$B$1130,$B$1131,CONCATENATE("Per=",$B$1128),"Dts=H","Dir=H",CONCATENATE("Points=",$B$1129),"Sort=R","Days=A","Fill=B",CONCATENATE("FX=", $B$1127),"cols=5;rows=1")</f>
        <v/>
      </c>
      <c r="H1866">
        <v>6.8468999999999998</v>
      </c>
      <c r="K1866" t="str">
        <f>""</f>
        <v/>
      </c>
      <c r="L1866" t="str">
        <f>""</f>
        <v/>
      </c>
      <c r="M1866" t="str">
        <f>""</f>
        <v/>
      </c>
      <c r="N1866" t="str">
        <f>""</f>
        <v/>
      </c>
      <c r="O1866" t="str">
        <f>""</f>
        <v/>
      </c>
    </row>
    <row r="1867" spans="1:15" x14ac:dyDescent="0.25">
      <c r="A1867" t="str">
        <f>$A$776</f>
        <v xml:space="preserve">                    Nippon Sanso Holdings Corp</v>
      </c>
      <c r="B1867" t="str">
        <f>$B$776</f>
        <v>4091 JP Equity</v>
      </c>
      <c r="C1867" t="str">
        <f>$C$776</f>
        <v>F0946</v>
      </c>
      <c r="D1867" t="str">
        <f>$D$776</f>
        <v>TOTAL_GHG_CO2_EMISSIONS</v>
      </c>
      <c r="E1867" t="str">
        <f>$E$776</f>
        <v>Dynamic</v>
      </c>
      <c r="F1867" t="str">
        <f ca="1">_xll.BDH($B$776,$C$776,$B$1130,$B$1131,CONCATENATE("Per=",$B$1128),"Dts=H","Dir=H",CONCATENATE("Points=",$B$1129),"Sort=R","Days=A","Fill=B",CONCATENATE("FX=", $B$1127),"cols=5;rows=1")</f>
        <v/>
      </c>
      <c r="G1867">
        <v>5.9210000000000003</v>
      </c>
      <c r="H1867">
        <v>5.6509999999999998</v>
      </c>
      <c r="I1867">
        <v>5.8079999999999998</v>
      </c>
      <c r="J1867">
        <v>4.07</v>
      </c>
      <c r="K1867" t="str">
        <f>""</f>
        <v/>
      </c>
      <c r="L1867" t="str">
        <f>""</f>
        <v/>
      </c>
      <c r="M1867" t="str">
        <f>""</f>
        <v/>
      </c>
      <c r="N1867" t="str">
        <f>""</f>
        <v/>
      </c>
      <c r="O1867" t="str">
        <f>""</f>
        <v/>
      </c>
    </row>
    <row r="1868" spans="1:15" x14ac:dyDescent="0.25">
      <c r="A1868" t="str">
        <f>$A$777</f>
        <v xml:space="preserve">                    Nippon Shokubai Co Ltd</v>
      </c>
      <c r="B1868" t="str">
        <f>$B$777</f>
        <v>4114 JP Equity</v>
      </c>
      <c r="C1868" t="str">
        <f>$C$777</f>
        <v>F0946</v>
      </c>
      <c r="D1868" t="str">
        <f>$D$777</f>
        <v>TOTAL_GHG_CO2_EMISSIONS</v>
      </c>
      <c r="E1868" t="str">
        <f>$E$777</f>
        <v>Dynamic</v>
      </c>
      <c r="F1868" t="str">
        <f ca="1">_xll.BDH($B$777,$C$777,$B$1130,$B$1131,CONCATENATE("Per=",$B$1128),"Dts=H","Dir=H",CONCATENATE("Points=",$B$1129),"Sort=R","Days=A","Fill=B",CONCATENATE("FX=", $B$1127),"cols=5;rows=1")</f>
        <v/>
      </c>
      <c r="G1868">
        <v>1.147</v>
      </c>
      <c r="H1868">
        <v>1.1240000000000001</v>
      </c>
      <c r="I1868">
        <v>1.1319999999999999</v>
      </c>
      <c r="J1868">
        <v>1.157</v>
      </c>
      <c r="K1868" t="str">
        <f>""</f>
        <v/>
      </c>
      <c r="L1868" t="str">
        <f>""</f>
        <v/>
      </c>
      <c r="M1868" t="str">
        <f>""</f>
        <v/>
      </c>
      <c r="N1868" t="str">
        <f>""</f>
        <v/>
      </c>
      <c r="O1868" t="str">
        <f>""</f>
        <v/>
      </c>
    </row>
    <row r="1869" spans="1:15" x14ac:dyDescent="0.25">
      <c r="A1869" t="str">
        <f>$A$778</f>
        <v xml:space="preserve">                    Orbia Advance Corp SAB de CV</v>
      </c>
      <c r="B1869" t="str">
        <f>$B$778</f>
        <v>ORBIA* MM Equity</v>
      </c>
      <c r="C1869" t="str">
        <f>$C$778</f>
        <v>F0946</v>
      </c>
      <c r="D1869" t="str">
        <f>$D$778</f>
        <v>TOTAL_GHG_CO2_EMISSIONS</v>
      </c>
      <c r="E1869" t="str">
        <f>$E$778</f>
        <v>Dynamic</v>
      </c>
      <c r="F1869">
        <f ca="1">_xll.BDH($B$778,$C$778,$B$1130,$B$1131,CONCATENATE("Per=",$B$1128),"Dts=H","Dir=H",CONCATENATE("Points=",$B$1129),"Sort=R","Days=A","Fill=B",CONCATENATE("FX=", $B$1127),"cols=5;rows=1")</f>
        <v>1.6111</v>
      </c>
      <c r="G1869">
        <v>1.9639</v>
      </c>
      <c r="H1869">
        <v>1.9898</v>
      </c>
      <c r="I1869">
        <v>1.7071000000000001</v>
      </c>
      <c r="J1869">
        <v>1.7902</v>
      </c>
      <c r="K1869" t="str">
        <f>""</f>
        <v/>
      </c>
      <c r="L1869" t="str">
        <f>""</f>
        <v/>
      </c>
      <c r="M1869" t="str">
        <f>""</f>
        <v/>
      </c>
      <c r="N1869" t="str">
        <f>""</f>
        <v/>
      </c>
      <c r="O1869" t="str">
        <f>""</f>
        <v/>
      </c>
    </row>
    <row r="1870" spans="1:15" x14ac:dyDescent="0.25">
      <c r="A1870" t="str">
        <f>$A$779</f>
        <v xml:space="preserve">                    Olin Corp</v>
      </c>
      <c r="B1870" t="str">
        <f>$B$779</f>
        <v>OLN US Equity</v>
      </c>
      <c r="C1870" t="str">
        <f>$C$779</f>
        <v>F0946</v>
      </c>
      <c r="D1870" t="str">
        <f>$D$779</f>
        <v>TOTAL_GHG_CO2_EMISSIONS</v>
      </c>
      <c r="E1870" t="str">
        <f>$E$779</f>
        <v>Dynamic</v>
      </c>
      <c r="F1870">
        <f ca="1">_xll.BDH($B$779,$C$779,$B$1130,$B$1131,CONCATENATE("Per=",$B$1128),"Dts=H","Dir=H",CONCATENATE("Points=",$B$1129),"Sort=R","Days=A","Fill=B",CONCATENATE("FX=", $B$1127),"cols=5;rows=1")</f>
        <v>5.5</v>
      </c>
      <c r="G1870">
        <v>5.7</v>
      </c>
      <c r="I1870">
        <v>6.702</v>
      </c>
      <c r="K1870" t="str">
        <f>""</f>
        <v/>
      </c>
      <c r="L1870" t="str">
        <f>""</f>
        <v/>
      </c>
      <c r="M1870" t="str">
        <f>""</f>
        <v/>
      </c>
      <c r="N1870" t="str">
        <f>""</f>
        <v/>
      </c>
      <c r="O1870" t="str">
        <f>""</f>
        <v/>
      </c>
    </row>
    <row r="1871" spans="1:15" x14ac:dyDescent="0.25">
      <c r="A1871" t="str">
        <f>$A$780</f>
        <v xml:space="preserve">                    Petronas Chemicals Group Bhd</v>
      </c>
      <c r="B1871" t="str">
        <f>$B$780</f>
        <v>PCHEM MK Equity</v>
      </c>
      <c r="C1871" t="str">
        <f>$C$780</f>
        <v>F0946</v>
      </c>
      <c r="D1871" t="str">
        <f>$D$780</f>
        <v>TOTAL_GHG_CO2_EMISSIONS</v>
      </c>
      <c r="E1871" t="str">
        <f>$E$780</f>
        <v>Dynamic</v>
      </c>
      <c r="F1871" t="str">
        <f ca="1">_xll.BDH($B$780,$C$780,$B$1130,$B$1131,CONCATENATE("Per=",$B$1128),"Dts=H","Dir=H",CONCATENATE("Points=",$B$1129),"Sort=R","Days=A","Fill=B",CONCATENATE("FX=", $B$1127),"cols=5;rows=1")</f>
        <v/>
      </c>
      <c r="G1871">
        <v>7</v>
      </c>
      <c r="H1871">
        <v>7.1</v>
      </c>
      <c r="I1871">
        <v>7.02</v>
      </c>
      <c r="J1871">
        <v>7.08</v>
      </c>
      <c r="K1871" t="str">
        <f>""</f>
        <v/>
      </c>
      <c r="L1871" t="str">
        <f>""</f>
        <v/>
      </c>
      <c r="M1871" t="str">
        <f>""</f>
        <v/>
      </c>
      <c r="N1871" t="str">
        <f>""</f>
        <v/>
      </c>
      <c r="O1871" t="str">
        <f>""</f>
        <v/>
      </c>
    </row>
    <row r="1872" spans="1:15" x14ac:dyDescent="0.25">
      <c r="A1872" t="str">
        <f>$A$781</f>
        <v xml:space="preserve">                    PTT Global Chemical PCL</v>
      </c>
      <c r="B1872" t="str">
        <f>$B$781</f>
        <v>PTTGC TB Equity</v>
      </c>
      <c r="C1872" t="str">
        <f>$C$781</f>
        <v>F0946</v>
      </c>
      <c r="D1872" t="str">
        <f>$D$781</f>
        <v>TOTAL_GHG_CO2_EMISSIONS</v>
      </c>
      <c r="E1872" t="str">
        <f>$E$781</f>
        <v>Dynamic</v>
      </c>
      <c r="F1872">
        <f ca="1">_xll.BDH($B$781,$C$781,$B$1130,$B$1131,CONCATENATE("Per=",$B$1128),"Dts=H","Dir=H",CONCATENATE("Points=",$B$1129),"Sort=R","Days=A","Fill=B",CONCATENATE("FX=", $B$1127),"cols=5;rows=1")</f>
        <v>6.476</v>
      </c>
      <c r="G1872">
        <v>6.7534999999999998</v>
      </c>
      <c r="H1872">
        <v>5.9</v>
      </c>
      <c r="I1872">
        <v>5.83</v>
      </c>
      <c r="J1872">
        <v>5.9264000000000001</v>
      </c>
      <c r="K1872" t="str">
        <f>""</f>
        <v/>
      </c>
      <c r="L1872" t="str">
        <f>""</f>
        <v/>
      </c>
      <c r="M1872" t="str">
        <f>""</f>
        <v/>
      </c>
      <c r="N1872" t="str">
        <f>""</f>
        <v/>
      </c>
      <c r="O1872" t="str">
        <f>""</f>
        <v/>
      </c>
    </row>
    <row r="1873" spans="1:15" x14ac:dyDescent="0.25">
      <c r="A1873" t="str">
        <f>$A$782</f>
        <v xml:space="preserve">                    Petkim Petrokimya Holding AS</v>
      </c>
      <c r="B1873" t="str">
        <f>$B$782</f>
        <v>PETKMTRY EO Equity</v>
      </c>
      <c r="C1873" t="str">
        <f>$C$782</f>
        <v>F0946</v>
      </c>
      <c r="D1873" t="str">
        <f>$D$782</f>
        <v>TOTAL_GHG_CO2_EMISSIONS</v>
      </c>
      <c r="E1873" t="str">
        <f>$E$782</f>
        <v>Dynamic</v>
      </c>
      <c r="F1873" t="str">
        <f ca="1">_xll.BDH($B$782,$C$782,$B$1130,$B$1131,CONCATENATE("Per=",$B$1128),"Dts=H","Dir=H",CONCATENATE("Points=",$B$1129),"Sort=R","Days=A","Fill=B",CONCATENATE("FX=", $B$1127) )</f>
        <v/>
      </c>
      <c r="K1873" t="str">
        <f>""</f>
        <v/>
      </c>
      <c r="L1873" t="str">
        <f>""</f>
        <v/>
      </c>
      <c r="M1873" t="str">
        <f>""</f>
        <v/>
      </c>
      <c r="N1873" t="str">
        <f>""</f>
        <v/>
      </c>
      <c r="O1873" t="str">
        <f>""</f>
        <v/>
      </c>
    </row>
    <row r="1874" spans="1:15" x14ac:dyDescent="0.25">
      <c r="A1874" t="str">
        <f>$A$783</f>
        <v xml:space="preserve">                    Rongsheng Petrochemical Co Ltd</v>
      </c>
      <c r="B1874" t="str">
        <f>$B$783</f>
        <v>002493 CH Equity</v>
      </c>
      <c r="C1874" t="str">
        <f>$C$783</f>
        <v>F0946</v>
      </c>
      <c r="D1874" t="str">
        <f>$D$783</f>
        <v>TOTAL_GHG_CO2_EMISSIONS</v>
      </c>
      <c r="E1874" t="str">
        <f>$E$783</f>
        <v>Dynamic</v>
      </c>
      <c r="F1874">
        <f ca="1">_xll.BDH($B$783,$C$783,$B$1130,$B$1131,CONCATENATE("Per=",$B$1128),"Dts=H","Dir=H",CONCATENATE("Points=",$B$1129),"Sort=R","Days=A","Fill=B",CONCATENATE("FX=", $B$1127),"cols=5;rows=1")</f>
        <v>33.616799999999998</v>
      </c>
      <c r="G1874">
        <v>107.86199999999999</v>
      </c>
      <c r="K1874" t="str">
        <f>""</f>
        <v/>
      </c>
      <c r="L1874" t="str">
        <f>""</f>
        <v/>
      </c>
      <c r="M1874" t="str">
        <f>""</f>
        <v/>
      </c>
      <c r="N1874" t="str">
        <f>""</f>
        <v/>
      </c>
      <c r="O1874" t="str">
        <f>""</f>
        <v/>
      </c>
    </row>
    <row r="1875" spans="1:15" x14ac:dyDescent="0.25">
      <c r="A1875" t="str">
        <f>$A$784</f>
        <v xml:space="preserve">                    Saudi Basic Industries Corp</v>
      </c>
      <c r="B1875" t="str">
        <f>$B$784</f>
        <v>SABIC AB Equity</v>
      </c>
      <c r="C1875" t="str">
        <f>$C$784</f>
        <v>F0946</v>
      </c>
      <c r="D1875" t="str">
        <f>$D$784</f>
        <v>TOTAL_GHG_CO2_EMISSIONS</v>
      </c>
      <c r="E1875" t="str">
        <f>$E$784</f>
        <v>Dynamic</v>
      </c>
      <c r="F1875">
        <f ca="1">_xll.BDH($B$784,$C$784,$B$1130,$B$1131,CONCATENATE("Per=",$B$1128),"Dts=H","Dir=H",CONCATENATE("Points=",$B$1129),"Sort=R","Days=A","Fill=B",CONCATENATE("FX=", $B$1127),"cols=5;rows=1")</f>
        <v>52.413400000000003</v>
      </c>
      <c r="G1875">
        <v>51.119</v>
      </c>
      <c r="H1875">
        <v>54.261800000000001</v>
      </c>
      <c r="I1875">
        <v>55</v>
      </c>
      <c r="J1875">
        <v>57</v>
      </c>
      <c r="K1875" t="str">
        <f>""</f>
        <v/>
      </c>
      <c r="L1875" t="str">
        <f>""</f>
        <v/>
      </c>
      <c r="M1875" t="str">
        <f>""</f>
        <v/>
      </c>
      <c r="N1875" t="str">
        <f>""</f>
        <v/>
      </c>
      <c r="O1875" t="str">
        <f>""</f>
        <v/>
      </c>
    </row>
    <row r="1876" spans="1:15" x14ac:dyDescent="0.25">
      <c r="A1876" t="str">
        <f>$A$785</f>
        <v xml:space="preserve">                    Saudi Kayan Petrochemical Co</v>
      </c>
      <c r="B1876" t="str">
        <f>$B$785</f>
        <v>KAYAN AB Equity</v>
      </c>
      <c r="C1876" t="str">
        <f>$C$785</f>
        <v>F0946</v>
      </c>
      <c r="D1876" t="str">
        <f>$D$785</f>
        <v>TOTAL_GHG_CO2_EMISSIONS</v>
      </c>
      <c r="E1876" t="str">
        <f>$E$785</f>
        <v>Dynamic</v>
      </c>
      <c r="F1876">
        <f ca="1">_xll.BDH($B$785,$C$785,$B$1130,$B$1131,CONCATENATE("Per=",$B$1128),"Dts=H","Dir=H",CONCATENATE("Points=",$B$1129),"Sort=R","Days=A","Fill=B",CONCATENATE("FX=", $B$1127),"cols=5;rows=1")</f>
        <v>5.5</v>
      </c>
      <c r="K1876" t="str">
        <f>""</f>
        <v/>
      </c>
      <c r="L1876" t="str">
        <f>""</f>
        <v/>
      </c>
      <c r="M1876" t="str">
        <f>""</f>
        <v/>
      </c>
      <c r="N1876" t="str">
        <f>""</f>
        <v/>
      </c>
      <c r="O1876" t="str">
        <f>""</f>
        <v/>
      </c>
    </row>
    <row r="1877" spans="1:15" x14ac:dyDescent="0.25">
      <c r="A1877" t="str">
        <f>$A$786</f>
        <v xml:space="preserve">                    Shandong Hualu Hengsheng Chemi</v>
      </c>
      <c r="B1877" t="str">
        <f>$B$786</f>
        <v>600426 CH Equity</v>
      </c>
      <c r="C1877" t="str">
        <f>$C$786</f>
        <v>F0946</v>
      </c>
      <c r="D1877" t="str">
        <f>$D$786</f>
        <v>TOTAL_GHG_CO2_EMISSIONS</v>
      </c>
      <c r="E1877" t="str">
        <f>$E$786</f>
        <v>Dynamic</v>
      </c>
      <c r="F1877" t="str">
        <f ca="1">_xll.BDH($B$786,$C$786,$B$1130,$B$1131,CONCATENATE("Per=",$B$1128),"Dts=H","Dir=H",CONCATENATE("Points=",$B$1129),"Sort=R","Days=A","Fill=B",CONCATENATE("FX=", $B$1127) )</f>
        <v/>
      </c>
      <c r="K1877" t="str">
        <f>""</f>
        <v/>
      </c>
      <c r="L1877" t="str">
        <f>""</f>
        <v/>
      </c>
      <c r="M1877" t="str">
        <f>""</f>
        <v/>
      </c>
      <c r="N1877" t="str">
        <f>""</f>
        <v/>
      </c>
      <c r="O1877" t="str">
        <f>""</f>
        <v/>
      </c>
    </row>
    <row r="1878" spans="1:15" x14ac:dyDescent="0.25">
      <c r="A1878" t="str">
        <f>$A$787</f>
        <v xml:space="preserve">                    Sinopec Shanghai Petrochemical</v>
      </c>
      <c r="B1878" t="str">
        <f>$B$787</f>
        <v>338 HK Equity</v>
      </c>
      <c r="C1878" t="str">
        <f>$C$787</f>
        <v>F0946</v>
      </c>
      <c r="D1878" t="str">
        <f>$D$787</f>
        <v>TOTAL_GHG_CO2_EMISSIONS</v>
      </c>
      <c r="E1878" t="str">
        <f>$E$787</f>
        <v>Dynamic</v>
      </c>
      <c r="F1878">
        <f ca="1">_xll.BDH($B$787,$C$787,$B$1130,$B$1131,CONCATENATE("Per=",$B$1128),"Dts=H","Dir=H",CONCATENATE("Points=",$B$1129),"Sort=R","Days=A","Fill=B",CONCATENATE("FX=", $B$1127),"cols=5;rows=1")</f>
        <v>8.3544</v>
      </c>
      <c r="G1878">
        <v>9.4674999999999994</v>
      </c>
      <c r="H1878">
        <v>170.94</v>
      </c>
      <c r="I1878">
        <v>170.69</v>
      </c>
      <c r="J1878">
        <v>171.52</v>
      </c>
      <c r="K1878" t="str">
        <f>""</f>
        <v/>
      </c>
      <c r="L1878" t="str">
        <f>""</f>
        <v/>
      </c>
      <c r="M1878" t="str">
        <f>""</f>
        <v/>
      </c>
      <c r="N1878" t="str">
        <f>""</f>
        <v/>
      </c>
      <c r="O1878" t="str">
        <f>""</f>
        <v/>
      </c>
    </row>
    <row r="1879" spans="1:15" x14ac:dyDescent="0.25">
      <c r="A1879" t="str">
        <f>$A$788</f>
        <v xml:space="preserve">                    SKC Co Ltd</v>
      </c>
      <c r="B1879" t="str">
        <f>$B$788</f>
        <v>011790 KS Equity</v>
      </c>
      <c r="C1879" t="str">
        <f>$C$788</f>
        <v>F0946</v>
      </c>
      <c r="D1879" t="str">
        <f>$D$788</f>
        <v>TOTAL_GHG_CO2_EMISSIONS</v>
      </c>
      <c r="E1879" t="str">
        <f>$E$788</f>
        <v>Dynamic</v>
      </c>
      <c r="F1879" t="str">
        <f ca="1">_xll.BDH($B$788,$C$788,$B$1130,$B$1131,CONCATENATE("Per=",$B$1128),"Dts=H","Dir=H",CONCATENATE("Points=",$B$1129),"Sort=R","Days=A","Fill=B",CONCATENATE("FX=", $B$1127),"cols=5;rows=1")</f>
        <v/>
      </c>
      <c r="G1879">
        <v>1.0763</v>
      </c>
      <c r="H1879">
        <v>1.7048000000000001</v>
      </c>
      <c r="K1879" t="str">
        <f>""</f>
        <v/>
      </c>
      <c r="L1879" t="str">
        <f>""</f>
        <v/>
      </c>
      <c r="M1879" t="str">
        <f>""</f>
        <v/>
      </c>
      <c r="N1879" t="str">
        <f>""</f>
        <v/>
      </c>
      <c r="O1879" t="str">
        <f>""</f>
        <v/>
      </c>
    </row>
    <row r="1880" spans="1:15" x14ac:dyDescent="0.25">
      <c r="A1880" t="str">
        <f>$A$789</f>
        <v xml:space="preserve">                    Sahara International Petrochem</v>
      </c>
      <c r="B1880" t="str">
        <f>$B$789</f>
        <v>SIPCHEM AB Equity</v>
      </c>
      <c r="C1880" t="str">
        <f>$C$789</f>
        <v>F0946</v>
      </c>
      <c r="D1880" t="str">
        <f>$D$789</f>
        <v>TOTAL_GHG_CO2_EMISSIONS</v>
      </c>
      <c r="E1880" t="str">
        <f>$E$789</f>
        <v>Dynamic</v>
      </c>
      <c r="F1880" t="str">
        <f ca="1">_xll.BDH($B$789,$C$789,$B$1130,$B$1131,CONCATENATE("Per=",$B$1128),"Dts=H","Dir=H",CONCATENATE("Points=",$B$1129),"Sort=R","Days=A","Fill=B",CONCATENATE("FX=", $B$1127),"cols=5;rows=1")</f>
        <v/>
      </c>
      <c r="I1880">
        <v>3.4708000000000001</v>
      </c>
      <c r="K1880" t="str">
        <f>""</f>
        <v/>
      </c>
      <c r="L1880" t="str">
        <f>""</f>
        <v/>
      </c>
      <c r="M1880" t="str">
        <f>""</f>
        <v/>
      </c>
      <c r="N1880" t="str">
        <f>""</f>
        <v/>
      </c>
      <c r="O1880" t="str">
        <f>""</f>
        <v/>
      </c>
    </row>
    <row r="1881" spans="1:15" x14ac:dyDescent="0.25">
      <c r="A1881" t="str">
        <f>$A$790</f>
        <v xml:space="preserve">                    Resonac Holdings Corp</v>
      </c>
      <c r="B1881" t="str">
        <f>$B$790</f>
        <v>4004 JP Equity</v>
      </c>
      <c r="C1881" t="str">
        <f>$C$790</f>
        <v>F0946</v>
      </c>
      <c r="D1881" t="str">
        <f>$D$790</f>
        <v>TOTAL_GHG_CO2_EMISSIONS</v>
      </c>
      <c r="E1881" t="str">
        <f>$E$790</f>
        <v>Dynamic</v>
      </c>
      <c r="F1881" t="str">
        <f ca="1">_xll.BDH($B$790,$C$790,$B$1130,$B$1131,CONCATENATE("Per=",$B$1128),"Dts=H","Dir=H",CONCATENATE("Points=",$B$1129),"Sort=R","Days=A","Fill=B",CONCATENATE("FX=", $B$1127),"cols=5;rows=1")</f>
        <v/>
      </c>
      <c r="G1881">
        <v>3.2890000000000001</v>
      </c>
      <c r="H1881">
        <v>3.306</v>
      </c>
      <c r="I1881">
        <v>3.419</v>
      </c>
      <c r="J1881">
        <v>3.4180000000000001</v>
      </c>
      <c r="K1881" t="str">
        <f>""</f>
        <v/>
      </c>
      <c r="L1881" t="str">
        <f>""</f>
        <v/>
      </c>
      <c r="M1881" t="str">
        <f>""</f>
        <v/>
      </c>
      <c r="N1881" t="str">
        <f>""</f>
        <v/>
      </c>
      <c r="O1881" t="str">
        <f>""</f>
        <v/>
      </c>
    </row>
    <row r="1882" spans="1:15" x14ac:dyDescent="0.25">
      <c r="A1882" t="str">
        <f>$A$791</f>
        <v xml:space="preserve">                    Solvay SA</v>
      </c>
      <c r="B1882" t="str">
        <f>$B$791</f>
        <v>SOLB BB Equity</v>
      </c>
      <c r="C1882" t="str">
        <f>$C$791</f>
        <v>F0946</v>
      </c>
      <c r="D1882" t="str">
        <f>$D$791</f>
        <v>TOTAL_GHG_CO2_EMISSIONS</v>
      </c>
      <c r="E1882" t="str">
        <f>$E$791</f>
        <v>Dynamic</v>
      </c>
      <c r="F1882" t="str">
        <f ca="1">_xll.BDH($B$791,$C$791,$B$1130,$B$1131,CONCATENATE("Per=",$B$1128),"Dts=H","Dir=H",CONCATENATE("Points=",$B$1129),"Sort=R","Days=A","Fill=B",CONCATENATE("FX=", $B$1127),"cols=5;rows=1")</f>
        <v/>
      </c>
      <c r="G1882">
        <v>11.224</v>
      </c>
      <c r="H1882">
        <v>10.3</v>
      </c>
      <c r="I1882">
        <v>12.09</v>
      </c>
      <c r="J1882">
        <v>12.35</v>
      </c>
      <c r="K1882" t="str">
        <f>""</f>
        <v/>
      </c>
      <c r="L1882" t="str">
        <f>""</f>
        <v/>
      </c>
      <c r="M1882" t="str">
        <f>""</f>
        <v/>
      </c>
      <c r="N1882" t="str">
        <f>""</f>
        <v/>
      </c>
      <c r="O1882" t="str">
        <f>""</f>
        <v/>
      </c>
    </row>
    <row r="1883" spans="1:15" x14ac:dyDescent="0.25">
      <c r="A1883" t="str">
        <f>$A$792</f>
        <v xml:space="preserve">                    Sumitomo Chemical Co Ltd</v>
      </c>
      <c r="B1883" t="str">
        <f>$B$792</f>
        <v>4005 JP Equity</v>
      </c>
      <c r="C1883" t="str">
        <f>$C$792</f>
        <v>F0946</v>
      </c>
      <c r="D1883" t="str">
        <f>$D$792</f>
        <v>TOTAL_GHG_CO2_EMISSIONS</v>
      </c>
      <c r="E1883" t="str">
        <f>$E$792</f>
        <v>Dynamic</v>
      </c>
      <c r="F1883" t="str">
        <f ca="1">_xll.BDH($B$792,$C$792,$B$1130,$B$1131,CONCATENATE("Per=",$B$1128),"Dts=H","Dir=H",CONCATENATE("Points=",$B$1129),"Sort=R","Days=A","Fill=B",CONCATENATE("FX=", $B$1127),"cols=5;rows=1")</f>
        <v/>
      </c>
      <c r="G1883">
        <v>7.6479999999999997</v>
      </c>
      <c r="H1883">
        <v>7.5084</v>
      </c>
      <c r="I1883">
        <v>7.2169999999999996</v>
      </c>
      <c r="J1883">
        <v>7.258</v>
      </c>
      <c r="K1883" t="str">
        <f>""</f>
        <v/>
      </c>
      <c r="L1883" t="str">
        <f>""</f>
        <v/>
      </c>
      <c r="M1883" t="str">
        <f>""</f>
        <v/>
      </c>
      <c r="N1883" t="str">
        <f>""</f>
        <v/>
      </c>
      <c r="O1883" t="str">
        <f>""</f>
        <v/>
      </c>
    </row>
    <row r="1884" spans="1:15" x14ac:dyDescent="0.25">
      <c r="A1884" t="str">
        <f>$A$793</f>
        <v xml:space="preserve">                    Tangshan Sanyou Chemical Indus</v>
      </c>
      <c r="B1884" t="str">
        <f>$B$793</f>
        <v>600409 CH Equity</v>
      </c>
      <c r="C1884" t="str">
        <f>$C$793</f>
        <v>F0946</v>
      </c>
      <c r="D1884" t="str">
        <f>$D$793</f>
        <v>TOTAL_GHG_CO2_EMISSIONS</v>
      </c>
      <c r="E1884" t="str">
        <f>$E$793</f>
        <v>Dynamic</v>
      </c>
      <c r="F1884" t="str">
        <f ca="1">_xll.BDH($B$793,$C$793,$B$1130,$B$1131,CONCATENATE("Per=",$B$1128),"Dts=H","Dir=H",CONCATENATE("Points=",$B$1129),"Sort=R","Days=A","Fill=B",CONCATENATE("FX=", $B$1127) )</f>
        <v/>
      </c>
      <c r="K1884" t="str">
        <f>""</f>
        <v/>
      </c>
      <c r="L1884" t="str">
        <f>""</f>
        <v/>
      </c>
      <c r="M1884" t="str">
        <f>""</f>
        <v/>
      </c>
      <c r="N1884" t="str">
        <f>""</f>
        <v/>
      </c>
      <c r="O1884" t="str">
        <f>""</f>
        <v/>
      </c>
    </row>
    <row r="1885" spans="1:15" x14ac:dyDescent="0.25">
      <c r="A1885" t="str">
        <f>$A$794</f>
        <v xml:space="preserve">                    Tata Chemicals Ltd</v>
      </c>
      <c r="B1885" t="str">
        <f>$B$794</f>
        <v>TTCH IN Equity</v>
      </c>
      <c r="C1885" t="str">
        <f>$C$794</f>
        <v>F0946</v>
      </c>
      <c r="D1885" t="str">
        <f>$D$794</f>
        <v>TOTAL_GHG_CO2_EMISSIONS</v>
      </c>
      <c r="E1885" t="str">
        <f>$E$794</f>
        <v>Dynamic</v>
      </c>
      <c r="F1885">
        <f ca="1">_xll.BDH($B$794,$C$794,$B$1130,$B$1131,CONCATENATE("Per=",$B$1128),"Dts=H","Dir=H",CONCATENATE("Points=",$B$1129),"Sort=R","Days=A","Fill=B",CONCATENATE("FX=", $B$1127),"cols=5;rows=1")</f>
        <v>4.5164</v>
      </c>
      <c r="G1885">
        <v>2.3683999999999998</v>
      </c>
      <c r="H1885">
        <v>6.2846000000000002</v>
      </c>
      <c r="I1885">
        <v>4.4886999999999997</v>
      </c>
      <c r="J1885">
        <v>4.3604000000000003</v>
      </c>
      <c r="K1885" t="str">
        <f>""</f>
        <v/>
      </c>
      <c r="L1885" t="str">
        <f>""</f>
        <v/>
      </c>
      <c r="M1885" t="str">
        <f>""</f>
        <v/>
      </c>
      <c r="N1885" t="str">
        <f>""</f>
        <v/>
      </c>
      <c r="O1885" t="str">
        <f>""</f>
        <v/>
      </c>
    </row>
    <row r="1886" spans="1:15" x14ac:dyDescent="0.25">
      <c r="A1886" t="str">
        <f>$A$795</f>
        <v xml:space="preserve">                    TSRC Corp</v>
      </c>
      <c r="B1886" t="str">
        <f>$B$795</f>
        <v>2103 TT Equity</v>
      </c>
      <c r="C1886" t="str">
        <f>$C$795</f>
        <v>F0946</v>
      </c>
      <c r="D1886" t="str">
        <f>$D$795</f>
        <v>TOTAL_GHG_CO2_EMISSIONS</v>
      </c>
      <c r="E1886" t="str">
        <f>$E$795</f>
        <v>Dynamic</v>
      </c>
      <c r="F1886" t="str">
        <f ca="1">_xll.BDH($B$795,$C$795,$B$1130,$B$1131,CONCATENATE("Per=",$B$1128),"Dts=H","Dir=H",CONCATENATE("Points=",$B$1129),"Sort=R","Days=A","Fill=B",CONCATENATE("FX=", $B$1127),"cols=5;rows=1")</f>
        <v/>
      </c>
      <c r="G1886">
        <v>0.57120000000000004</v>
      </c>
      <c r="H1886">
        <v>0.61509999999999998</v>
      </c>
      <c r="I1886">
        <v>0.59789999999999999</v>
      </c>
      <c r="J1886">
        <v>0.58099999999999996</v>
      </c>
      <c r="K1886" t="str">
        <f>""</f>
        <v/>
      </c>
      <c r="L1886" t="str">
        <f>""</f>
        <v/>
      </c>
      <c r="M1886" t="str">
        <f>""</f>
        <v/>
      </c>
      <c r="N1886" t="str">
        <f>""</f>
        <v/>
      </c>
      <c r="O1886" t="str">
        <f>""</f>
        <v/>
      </c>
    </row>
    <row r="1887" spans="1:15" x14ac:dyDescent="0.25">
      <c r="A1887" t="str">
        <f>$A$796</f>
        <v xml:space="preserve">                    Tokai Carbon Co Ltd</v>
      </c>
      <c r="B1887" t="str">
        <f>$B$796</f>
        <v>5301 JP Equity</v>
      </c>
      <c r="C1887" t="str">
        <f>$C$796</f>
        <v>F0946</v>
      </c>
      <c r="D1887" t="str">
        <f>$D$796</f>
        <v>TOTAL_GHG_CO2_EMISSIONS</v>
      </c>
      <c r="E1887" t="str">
        <f>$E$796</f>
        <v>Dynamic</v>
      </c>
      <c r="F1887" t="str">
        <f ca="1">_xll.BDH($B$796,$C$796,$B$1130,$B$1131,CONCATENATE("Per=",$B$1128),"Dts=H","Dir=H",CONCATENATE("Points=",$B$1129),"Sort=R","Days=A","Fill=B",CONCATENATE("FX=", $B$1127),"cols=5;rows=1")</f>
        <v/>
      </c>
      <c r="G1887">
        <v>2.4089999999999998</v>
      </c>
      <c r="H1887">
        <v>2.2309999999999999</v>
      </c>
      <c r="I1887">
        <v>2.6869999999999998</v>
      </c>
      <c r="J1887">
        <v>3.056</v>
      </c>
      <c r="K1887" t="str">
        <f>""</f>
        <v/>
      </c>
      <c r="L1887" t="str">
        <f>""</f>
        <v/>
      </c>
      <c r="M1887" t="str">
        <f>""</f>
        <v/>
      </c>
      <c r="N1887" t="str">
        <f>""</f>
        <v/>
      </c>
      <c r="O1887" t="str">
        <f>""</f>
        <v/>
      </c>
    </row>
    <row r="1888" spans="1:15" x14ac:dyDescent="0.25">
      <c r="A1888" t="str">
        <f>$A$797</f>
        <v xml:space="preserve">                    Tokuyama Corp</v>
      </c>
      <c r="B1888" t="str">
        <f>$B$797</f>
        <v>4043 JP Equity</v>
      </c>
      <c r="C1888" t="str">
        <f>$C$797</f>
        <v>F0946</v>
      </c>
      <c r="D1888" t="str">
        <f>$D$797</f>
        <v>TOTAL_GHG_CO2_EMISSIONS</v>
      </c>
      <c r="E1888" t="str">
        <f>$E$797</f>
        <v>Dynamic</v>
      </c>
      <c r="F1888" t="str">
        <f ca="1">_xll.BDH($B$797,$C$797,$B$1130,$B$1131,CONCATENATE("Per=",$B$1128),"Dts=H","Dir=H",CONCATENATE("Points=",$B$1129),"Sort=R","Days=A","Fill=B",CONCATENATE("FX=", $B$1127),"cols=5;rows=1")</f>
        <v/>
      </c>
      <c r="G1888">
        <v>6.53</v>
      </c>
      <c r="H1888">
        <v>6.49</v>
      </c>
      <c r="I1888">
        <v>6.76</v>
      </c>
      <c r="J1888">
        <v>6.7</v>
      </c>
      <c r="K1888" t="str">
        <f>""</f>
        <v/>
      </c>
      <c r="L1888" t="str">
        <f>""</f>
        <v/>
      </c>
      <c r="M1888" t="str">
        <f>""</f>
        <v/>
      </c>
      <c r="N1888" t="str">
        <f>""</f>
        <v/>
      </c>
      <c r="O1888" t="str">
        <f>""</f>
        <v/>
      </c>
    </row>
    <row r="1889" spans="1:15" x14ac:dyDescent="0.25">
      <c r="A1889" t="str">
        <f>$A$798</f>
        <v xml:space="preserve">                    Tosoh Corp</v>
      </c>
      <c r="B1889" t="str">
        <f>$B$798</f>
        <v>4042 JP Equity</v>
      </c>
      <c r="C1889" t="str">
        <f>$C$798</f>
        <v>F0946</v>
      </c>
      <c r="D1889" t="str">
        <f>$D$798</f>
        <v>TOTAL_GHG_CO2_EMISSIONS</v>
      </c>
      <c r="E1889" t="str">
        <f>$E$798</f>
        <v>Dynamic</v>
      </c>
      <c r="F1889" t="str">
        <f ca="1">_xll.BDH($B$798,$C$798,$B$1130,$B$1131,CONCATENATE("Per=",$B$1128),"Dts=H","Dir=H",CONCATENATE("Points=",$B$1129),"Sort=R","Days=A","Fill=B",CONCATENATE("FX=", $B$1127),"cols=5;rows=1")</f>
        <v/>
      </c>
      <c r="G1889">
        <v>8.3053000000000008</v>
      </c>
      <c r="H1889">
        <v>8.0299999999999994</v>
      </c>
      <c r="I1889">
        <v>8.1940000000000008</v>
      </c>
      <c r="J1889">
        <v>8.2360000000000007</v>
      </c>
      <c r="K1889" t="str">
        <f>""</f>
        <v/>
      </c>
      <c r="L1889" t="str">
        <f>""</f>
        <v/>
      </c>
      <c r="M1889" t="str">
        <f>""</f>
        <v/>
      </c>
      <c r="N1889" t="str">
        <f>""</f>
        <v/>
      </c>
      <c r="O1889" t="str">
        <f>""</f>
        <v/>
      </c>
    </row>
    <row r="1890" spans="1:15" x14ac:dyDescent="0.25">
      <c r="A1890" t="str">
        <f>$A$799</f>
        <v xml:space="preserve">                    UBE Corp</v>
      </c>
      <c r="B1890" t="str">
        <f>$B$799</f>
        <v>4208 JP Equity</v>
      </c>
      <c r="C1890" t="str">
        <f>$C$799</f>
        <v>F0946</v>
      </c>
      <c r="D1890" t="str">
        <f>$D$799</f>
        <v>TOTAL_GHG_CO2_EMISSIONS</v>
      </c>
      <c r="E1890" t="str">
        <f>$E$799</f>
        <v>Dynamic</v>
      </c>
      <c r="F1890" t="str">
        <f ca="1">_xll.BDH($B$799,$C$799,$B$1130,$B$1131,CONCATENATE("Per=",$B$1128),"Dts=H","Dir=H",CONCATENATE("Points=",$B$1129),"Sort=R","Days=A","Fill=B",CONCATENATE("FX=", $B$1127),"cols=5;rows=1")</f>
        <v/>
      </c>
      <c r="G1890">
        <v>11.769</v>
      </c>
      <c r="H1890">
        <v>11.28</v>
      </c>
      <c r="I1890">
        <v>12.1</v>
      </c>
      <c r="J1890">
        <v>12</v>
      </c>
      <c r="K1890" t="str">
        <f>""</f>
        <v/>
      </c>
      <c r="L1890" t="str">
        <f>""</f>
        <v/>
      </c>
      <c r="M1890" t="str">
        <f>""</f>
        <v/>
      </c>
      <c r="N1890" t="str">
        <f>""</f>
        <v/>
      </c>
      <c r="O1890" t="str">
        <f>""</f>
        <v/>
      </c>
    </row>
    <row r="1891" spans="1:15" x14ac:dyDescent="0.25">
      <c r="A1891" t="str">
        <f>$A$800</f>
        <v xml:space="preserve">                    Wacker Chemie AG</v>
      </c>
      <c r="B1891" t="str">
        <f>$B$800</f>
        <v>WCH GR Equity</v>
      </c>
      <c r="C1891" t="str">
        <f>$C$800</f>
        <v>F0946</v>
      </c>
      <c r="D1891" t="str">
        <f>$D$800</f>
        <v>TOTAL_GHG_CO2_EMISSIONS</v>
      </c>
      <c r="E1891" t="str">
        <f>$E$800</f>
        <v>Dynamic</v>
      </c>
      <c r="F1891" t="str">
        <f ca="1">_xll.BDH($B$800,$C$800,$B$1130,$B$1131,CONCATENATE("Per=",$B$1128),"Dts=H","Dir=H",CONCATENATE("Points=",$B$1129),"Sort=R","Days=A","Fill=B",CONCATENATE("FX=", $B$1127),"cols=5;rows=1")</f>
        <v/>
      </c>
      <c r="G1891">
        <v>2.6924999999999999</v>
      </c>
      <c r="H1891">
        <v>2.8639999999999999</v>
      </c>
      <c r="I1891">
        <v>2.92</v>
      </c>
      <c r="J1891">
        <v>2.7919999999999998</v>
      </c>
      <c r="K1891" t="str">
        <f>""</f>
        <v/>
      </c>
      <c r="L1891" t="str">
        <f>""</f>
        <v/>
      </c>
      <c r="M1891" t="str">
        <f>""</f>
        <v/>
      </c>
      <c r="N1891" t="str">
        <f>""</f>
        <v/>
      </c>
      <c r="O1891" t="str">
        <f>""</f>
        <v/>
      </c>
    </row>
    <row r="1892" spans="1:15" x14ac:dyDescent="0.25">
      <c r="A1892" t="str">
        <f>$A$801</f>
        <v xml:space="preserve">                    Wanhua Chemical Group Co Ltd</v>
      </c>
      <c r="B1892" t="str">
        <f>$B$801</f>
        <v>600309 CH Equity</v>
      </c>
      <c r="C1892" t="str">
        <f>$C$801</f>
        <v>F0946</v>
      </c>
      <c r="D1892" t="str">
        <f>$D$801</f>
        <v>TOTAL_GHG_CO2_EMISSIONS</v>
      </c>
      <c r="E1892" t="str">
        <f>$E$801</f>
        <v>Dynamic</v>
      </c>
      <c r="F1892" t="str">
        <f ca="1">_xll.BDH($B$801,$C$801,$B$1130,$B$1131,CONCATENATE("Per=",$B$1128),"Dts=H","Dir=H",CONCATENATE("Points=",$B$1129),"Sort=R","Days=A","Fill=B",CONCATENATE("FX=", $B$1127),"cols=5;rows=1")</f>
        <v/>
      </c>
      <c r="H1892">
        <v>19.899999999999999</v>
      </c>
      <c r="I1892">
        <v>18.149999999999999</v>
      </c>
      <c r="J1892">
        <v>15.5</v>
      </c>
      <c r="K1892" t="str">
        <f>""</f>
        <v/>
      </c>
      <c r="L1892" t="str">
        <f>""</f>
        <v/>
      </c>
      <c r="M1892" t="str">
        <f>""</f>
        <v/>
      </c>
      <c r="N1892" t="str">
        <f>""</f>
        <v/>
      </c>
      <c r="O1892" t="str">
        <f>""</f>
        <v/>
      </c>
    </row>
    <row r="1893" spans="1:15" x14ac:dyDescent="0.25">
      <c r="A1893" t="str">
        <f>$A$802</f>
        <v xml:space="preserve">                    Westlake Corp</v>
      </c>
      <c r="B1893" t="str">
        <f>$B$802</f>
        <v>WLK US Equity</v>
      </c>
      <c r="C1893" t="str">
        <f>$C$802</f>
        <v>F0946</v>
      </c>
      <c r="D1893" t="str">
        <f>$D$802</f>
        <v>TOTAL_GHG_CO2_EMISSIONS</v>
      </c>
      <c r="E1893" t="str">
        <f>$E$802</f>
        <v>Dynamic</v>
      </c>
      <c r="F1893" t="str">
        <f ca="1">_xll.BDH($B$802,$C$802,$B$1130,$B$1131,CONCATENATE("Per=",$B$1128),"Dts=H","Dir=H",CONCATENATE("Points=",$B$1129),"Sort=R","Days=A","Fill=B",CONCATENATE("FX=", $B$1127),"cols=5;rows=1")</f>
        <v/>
      </c>
      <c r="G1893">
        <v>10.43</v>
      </c>
      <c r="H1893">
        <v>9.6157000000000004</v>
      </c>
      <c r="I1893">
        <v>10.491</v>
      </c>
      <c r="J1893">
        <v>10.7171</v>
      </c>
      <c r="K1893" t="str">
        <f>""</f>
        <v/>
      </c>
      <c r="L1893" t="str">
        <f>""</f>
        <v/>
      </c>
      <c r="M1893" t="str">
        <f>""</f>
        <v/>
      </c>
      <c r="N1893" t="str">
        <f>""</f>
        <v/>
      </c>
      <c r="O1893" t="str">
        <f>""</f>
        <v/>
      </c>
    </row>
    <row r="1894" spans="1:15" x14ac:dyDescent="0.25">
      <c r="A1894" t="str">
        <f>$A$803</f>
        <v xml:space="preserve">                    Yanbu National Petrochemical C</v>
      </c>
      <c r="B1894" t="str">
        <f>$B$803</f>
        <v>YANSAB AB Equity</v>
      </c>
      <c r="C1894" t="str">
        <f>$C$803</f>
        <v>F0946</v>
      </c>
      <c r="D1894" t="str">
        <f>$D$803</f>
        <v>TOTAL_GHG_CO2_EMISSIONS</v>
      </c>
      <c r="E1894" t="str">
        <f>$E$803</f>
        <v>Dynamic</v>
      </c>
      <c r="F1894" t="str">
        <f ca="1">_xll.BDH($B$803,$C$803,$B$1130,$B$1131,CONCATENATE("Per=",$B$1128),"Dts=H","Dir=H",CONCATENATE("Points=",$B$1129),"Sort=R","Days=A","Fill=B",CONCATENATE("FX=", $B$1127) )</f>
        <v/>
      </c>
      <c r="K1894" t="str">
        <f>""</f>
        <v/>
      </c>
      <c r="L1894" t="str">
        <f>""</f>
        <v/>
      </c>
      <c r="M1894" t="str">
        <f>""</f>
        <v/>
      </c>
      <c r="N1894" t="str">
        <f>""</f>
        <v/>
      </c>
      <c r="O1894" t="str">
        <f>""</f>
        <v/>
      </c>
    </row>
    <row r="1895" spans="1:15" x14ac:dyDescent="0.25">
      <c r="A1895" t="str">
        <f>$A$804</f>
        <v xml:space="preserve">                    Zeon Corp</v>
      </c>
      <c r="B1895" t="str">
        <f>$B$804</f>
        <v>4205 JP Equity</v>
      </c>
      <c r="C1895" t="str">
        <f>$C$804</f>
        <v>F0946</v>
      </c>
      <c r="D1895" t="str">
        <f>$D$804</f>
        <v>TOTAL_GHG_CO2_EMISSIONS</v>
      </c>
      <c r="E1895" t="str">
        <f>$E$804</f>
        <v>Dynamic</v>
      </c>
      <c r="F1895" t="str">
        <f ca="1">_xll.BDH($B$804,$C$804,$B$1130,$B$1131,CONCATENATE("Per=",$B$1128),"Dts=H","Dir=H",CONCATENATE("Points=",$B$1129),"Sort=R","Days=A","Fill=B",CONCATENATE("FX=", $B$1127),"cols=5;rows=1")</f>
        <v/>
      </c>
      <c r="G1895">
        <v>0.77610000000000001</v>
      </c>
      <c r="H1895">
        <v>0.76739999999999997</v>
      </c>
      <c r="I1895">
        <v>0.77429999999999999</v>
      </c>
      <c r="J1895">
        <v>0.80640000000000001</v>
      </c>
      <c r="K1895" t="str">
        <f>""</f>
        <v/>
      </c>
      <c r="L1895" t="str">
        <f>""</f>
        <v/>
      </c>
      <c r="M1895" t="str">
        <f>""</f>
        <v/>
      </c>
      <c r="N1895" t="str">
        <f>""</f>
        <v/>
      </c>
      <c r="O1895" t="str">
        <f>""</f>
        <v/>
      </c>
    </row>
    <row r="1896" spans="1:15" x14ac:dyDescent="0.25">
      <c r="A1896" t="str">
        <f>$A$806</f>
        <v xml:space="preserve">                    Air Liquide SA</v>
      </c>
      <c r="B1896" t="str">
        <f>$B$806</f>
        <v>AI FP Equity</v>
      </c>
      <c r="C1896" t="str">
        <f>$C$806</f>
        <v>F0946</v>
      </c>
      <c r="D1896" t="str">
        <f>$D$806</f>
        <v>TOTAL_GHG_CO2_EMISSIONS</v>
      </c>
      <c r="E1896" t="str">
        <f>$E$806</f>
        <v>Dynamic</v>
      </c>
      <c r="F1896">
        <f ca="1">_xll.BDH($B$806,$C$806,$B$1130,$B$1131,CONCATENATE("Per=",$B$1128),"Dts=H","Dir=H",CONCATENATE("Points=",$B$1129),"Sort=R","Days=A","Fill=B",CONCATENATE("FX=", $B$1127),"cols=5;rows=1")</f>
        <v>38.33</v>
      </c>
      <c r="G1896">
        <v>35.088999999999999</v>
      </c>
      <c r="H1896">
        <v>27.471</v>
      </c>
      <c r="I1896">
        <v>27.847999999999999</v>
      </c>
      <c r="J1896">
        <v>27.812000000000001</v>
      </c>
      <c r="K1896" t="str">
        <f>""</f>
        <v/>
      </c>
      <c r="L1896" t="str">
        <f>""</f>
        <v/>
      </c>
      <c r="M1896" t="str">
        <f>""</f>
        <v/>
      </c>
      <c r="N1896" t="str">
        <f>""</f>
        <v/>
      </c>
      <c r="O1896" t="str">
        <f>""</f>
        <v/>
      </c>
    </row>
    <row r="1897" spans="1:15" x14ac:dyDescent="0.25">
      <c r="A1897" t="str">
        <f>$A$807</f>
        <v xml:space="preserve">                    Air Products and Chemicals Inc</v>
      </c>
      <c r="B1897" t="str">
        <f>$B$807</f>
        <v>APD US Equity</v>
      </c>
      <c r="C1897" t="str">
        <f>$C$807</f>
        <v>F0946</v>
      </c>
      <c r="D1897" t="str">
        <f>$D$807</f>
        <v>TOTAL_GHG_CO2_EMISSIONS</v>
      </c>
      <c r="E1897" t="str">
        <f>$E$807</f>
        <v>Dynamic</v>
      </c>
      <c r="F1897">
        <f ca="1">_xll.BDH($B$807,$C$807,$B$1130,$B$1131,CONCATENATE("Per=",$B$1128),"Dts=H","Dir=H",CONCATENATE("Points=",$B$1129),"Sort=R","Days=A","Fill=B",CONCATENATE("FX=", $B$1127),"cols=5;rows=1")</f>
        <v>26.5</v>
      </c>
      <c r="G1897">
        <v>24.2</v>
      </c>
      <c r="H1897">
        <v>24.183900000000001</v>
      </c>
      <c r="I1897">
        <v>27.3</v>
      </c>
      <c r="J1897">
        <v>27.3</v>
      </c>
      <c r="K1897" t="str">
        <f>""</f>
        <v/>
      </c>
      <c r="L1897" t="str">
        <f>""</f>
        <v/>
      </c>
      <c r="M1897" t="str">
        <f>""</f>
        <v/>
      </c>
      <c r="N1897" t="str">
        <f>""</f>
        <v/>
      </c>
      <c r="O1897" t="str">
        <f>""</f>
        <v/>
      </c>
    </row>
    <row r="1898" spans="1:15" x14ac:dyDescent="0.25">
      <c r="A1898" t="str">
        <f>$A$808</f>
        <v xml:space="preserve">                    Linde PLC</v>
      </c>
      <c r="B1898" t="str">
        <f>$B$808</f>
        <v>LIN US Equity</v>
      </c>
      <c r="C1898" t="str">
        <f>$C$808</f>
        <v>F0946</v>
      </c>
      <c r="D1898" t="str">
        <f>$D$808</f>
        <v>TOTAL_GHG_CO2_EMISSIONS</v>
      </c>
      <c r="E1898" t="str">
        <f>$E$808</f>
        <v>Dynamic</v>
      </c>
      <c r="F1898" t="str">
        <f ca="1">_xll.BDH($B$808,$C$808,$B$1130,$B$1131,CONCATENATE("Per=",$B$1128),"Dts=H","Dir=H",CONCATENATE("Points=",$B$1129),"Sort=R","Days=A","Fill=B",CONCATENATE("FX=", $B$1127),"cols=5;rows=1")</f>
        <v/>
      </c>
      <c r="G1898">
        <v>37.734000000000002</v>
      </c>
      <c r="H1898">
        <v>36.31</v>
      </c>
      <c r="I1898">
        <v>36.360999999999997</v>
      </c>
      <c r="K1898" t="str">
        <f>""</f>
        <v/>
      </c>
      <c r="L1898" t="str">
        <f>""</f>
        <v/>
      </c>
      <c r="M1898" t="str">
        <f>""</f>
        <v/>
      </c>
      <c r="N1898" t="str">
        <f>""</f>
        <v/>
      </c>
      <c r="O1898" t="str">
        <f>""</f>
        <v/>
      </c>
    </row>
    <row r="1899" spans="1:15" x14ac:dyDescent="0.25">
      <c r="A1899" t="str">
        <f>$A$809</f>
        <v xml:space="preserve">                    Nippon Sanso Holdings Corp</v>
      </c>
      <c r="B1899" t="str">
        <f>$B$809</f>
        <v>4091 JP Equity</v>
      </c>
      <c r="C1899" t="str">
        <f>$C$809</f>
        <v>F0946</v>
      </c>
      <c r="D1899" t="str">
        <f>$D$809</f>
        <v>TOTAL_GHG_CO2_EMISSIONS</v>
      </c>
      <c r="E1899" t="str">
        <f>$E$809</f>
        <v>Dynamic</v>
      </c>
      <c r="F1899" t="str">
        <f ca="1">_xll.BDH($B$809,$C$809,$B$1130,$B$1131,CONCATENATE("Per=",$B$1128),"Dts=H","Dir=H",CONCATENATE("Points=",$B$1129),"Sort=R","Days=A","Fill=B",CONCATENATE("FX=", $B$1127),"cols=5;rows=1")</f>
        <v/>
      </c>
      <c r="G1899">
        <v>5.9210000000000003</v>
      </c>
      <c r="H1899">
        <v>5.6509999999999998</v>
      </c>
      <c r="I1899">
        <v>5.8079999999999998</v>
      </c>
      <c r="J1899">
        <v>4.07</v>
      </c>
      <c r="K1899" t="str">
        <f>""</f>
        <v/>
      </c>
      <c r="L1899" t="str">
        <f>""</f>
        <v/>
      </c>
      <c r="M1899" t="str">
        <f>""</f>
        <v/>
      </c>
      <c r="N1899" t="str">
        <f>""</f>
        <v/>
      </c>
      <c r="O1899" t="str">
        <f>""</f>
        <v/>
      </c>
    </row>
    <row r="1900" spans="1:15" x14ac:dyDescent="0.25">
      <c r="A1900" t="str">
        <f>$A$812</f>
        <v xml:space="preserve">                    Alcoa Corp</v>
      </c>
      <c r="B1900" t="str">
        <f>$B$812</f>
        <v>AA US Equity</v>
      </c>
      <c r="C1900" t="str">
        <f>$C$812</f>
        <v>F0946</v>
      </c>
      <c r="D1900" t="str">
        <f>$D$812</f>
        <v>TOTAL_GHG_CO2_EMISSIONS</v>
      </c>
      <c r="E1900" t="str">
        <f>$E$812</f>
        <v>Dynamic</v>
      </c>
      <c r="F1900" t="str">
        <f ca="1">_xll.BDH($B$812,$C$812,$B$1130,$B$1131,CONCATENATE("Per=",$B$1128),"Dts=H","Dir=H",CONCATENATE("Points=",$B$1129),"Sort=R","Days=A","Fill=B",CONCATENATE("FX=", $B$1127),"cols=5;rows=1")</f>
        <v/>
      </c>
      <c r="G1900">
        <v>21.8</v>
      </c>
      <c r="H1900">
        <v>23.9</v>
      </c>
      <c r="I1900">
        <v>24.3</v>
      </c>
      <c r="J1900">
        <v>25.2</v>
      </c>
      <c r="K1900" t="str">
        <f>""</f>
        <v/>
      </c>
      <c r="L1900" t="str">
        <f>""</f>
        <v/>
      </c>
      <c r="M1900" t="str">
        <f>""</f>
        <v/>
      </c>
      <c r="N1900" t="str">
        <f>""</f>
        <v/>
      </c>
      <c r="O1900" t="str">
        <f>""</f>
        <v/>
      </c>
    </row>
    <row r="1901" spans="1:15" x14ac:dyDescent="0.25">
      <c r="A1901" t="str">
        <f>$A$813</f>
        <v xml:space="preserve">                    Alro SA</v>
      </c>
      <c r="B1901" t="str">
        <f>$B$813</f>
        <v>ALR RO Equity</v>
      </c>
      <c r="C1901" t="str">
        <f>$C$813</f>
        <v>F0946</v>
      </c>
      <c r="D1901" t="str">
        <f>$D$813</f>
        <v>TOTAL_GHG_CO2_EMISSIONS</v>
      </c>
      <c r="E1901" t="str">
        <f>$E$813</f>
        <v>Dynamic</v>
      </c>
      <c r="F1901" t="str">
        <f ca="1">_xll.BDH($B$813,$C$813,$B$1130,$B$1131,CONCATENATE("Per=",$B$1128),"Dts=H","Dir=H",CONCATENATE("Points=",$B$1129),"Sort=R","Days=A","Fill=B",CONCATENATE("FX=", $B$1127),"cols=5;rows=1")</f>
        <v/>
      </c>
      <c r="H1901">
        <v>1.4762</v>
      </c>
      <c r="I1901">
        <v>1.4519</v>
      </c>
      <c r="J1901">
        <v>1.9993000000000001</v>
      </c>
      <c r="K1901" t="str">
        <f>""</f>
        <v/>
      </c>
      <c r="L1901" t="str">
        <f>""</f>
        <v/>
      </c>
      <c r="M1901" t="str">
        <f>""</f>
        <v/>
      </c>
      <c r="N1901" t="str">
        <f>""</f>
        <v/>
      </c>
      <c r="O1901" t="str">
        <f>""</f>
        <v/>
      </c>
    </row>
    <row r="1902" spans="1:15" x14ac:dyDescent="0.25">
      <c r="A1902" t="str">
        <f>$A$814</f>
        <v xml:space="preserve">                    Alumina Ltd</v>
      </c>
      <c r="B1902" t="str">
        <f>$B$814</f>
        <v>AWC AU Equity</v>
      </c>
      <c r="C1902" t="str">
        <f>$C$814</f>
        <v>F0946</v>
      </c>
      <c r="D1902" t="str">
        <f>$D$814</f>
        <v>TOTAL_GHG_CO2_EMISSIONS</v>
      </c>
      <c r="E1902" t="str">
        <f>$E$814</f>
        <v>Dynamic</v>
      </c>
      <c r="F1902" t="str">
        <f ca="1">_xll.BDH($B$814,$C$814,$B$1130,$B$1131,CONCATENATE("Per=",$B$1128),"Dts=H","Dir=H",CONCATENATE("Points=",$B$1129),"Sort=R","Days=A","Fill=B",CONCATENATE("FX=", $B$1127),"cols=5;rows=1")</f>
        <v/>
      </c>
      <c r="K1902" t="str">
        <f>""</f>
        <v/>
      </c>
      <c r="L1902" t="str">
        <f>""</f>
        <v/>
      </c>
      <c r="M1902" t="str">
        <f>""</f>
        <v/>
      </c>
      <c r="N1902" t="str">
        <f>""</f>
        <v/>
      </c>
      <c r="O1902" t="str">
        <f>""</f>
        <v/>
      </c>
    </row>
    <row r="1903" spans="1:15" x14ac:dyDescent="0.25">
      <c r="A1903" t="str">
        <f>$A$815</f>
        <v xml:space="preserve">                    Aluminium Bahrain BSC</v>
      </c>
      <c r="B1903" t="str">
        <f>$B$815</f>
        <v>ALBH BI Equity</v>
      </c>
      <c r="C1903" t="str">
        <f>$C$815</f>
        <v>F0946</v>
      </c>
      <c r="D1903" t="str">
        <f>$D$815</f>
        <v>TOTAL_GHG_CO2_EMISSIONS</v>
      </c>
      <c r="E1903" t="str">
        <f>$E$815</f>
        <v>Dynamic</v>
      </c>
      <c r="F1903" t="str">
        <f ca="1">_xll.BDH($B$815,$C$815,$B$1130,$B$1131,CONCATENATE("Per=",$B$1128),"Dts=H","Dir=H",CONCATENATE("Points=",$B$1129),"Sort=R","Days=A","Fill=B",CONCATENATE("FX=", $B$1127),"cols=5;rows=1")</f>
        <v/>
      </c>
      <c r="G1903">
        <v>12.3003</v>
      </c>
      <c r="H1903">
        <v>12.167899999999999</v>
      </c>
      <c r="I1903">
        <v>12.0624</v>
      </c>
      <c r="J1903">
        <v>9.4598999999999993</v>
      </c>
      <c r="K1903" t="str">
        <f>""</f>
        <v/>
      </c>
      <c r="L1903" t="str">
        <f>""</f>
        <v/>
      </c>
      <c r="M1903" t="str">
        <f>""</f>
        <v/>
      </c>
      <c r="N1903" t="str">
        <f>""</f>
        <v/>
      </c>
      <c r="O1903" t="str">
        <f>""</f>
        <v/>
      </c>
    </row>
    <row r="1904" spans="1:15" x14ac:dyDescent="0.25">
      <c r="A1904" t="str">
        <f>$A$816</f>
        <v xml:space="preserve">                    Aluminum Corp of China Ltd</v>
      </c>
      <c r="B1904" t="str">
        <f>$B$816</f>
        <v>2600 HK Equity</v>
      </c>
      <c r="C1904" t="str">
        <f>$C$816</f>
        <v>F0946</v>
      </c>
      <c r="D1904" t="str">
        <f>$D$816</f>
        <v>TOTAL_GHG_CO2_EMISSIONS</v>
      </c>
      <c r="E1904" t="str">
        <f>$E$816</f>
        <v>Dynamic</v>
      </c>
      <c r="F1904">
        <f ca="1">_xll.BDH($B$816,$C$816,$B$1130,$B$1131,CONCATENATE("Per=",$B$1128),"Dts=H","Dir=H",CONCATENATE("Points=",$B$1129),"Sort=R","Days=A","Fill=B",CONCATENATE("FX=", $B$1127),"cols=5;rows=1")</f>
        <v>117.64</v>
      </c>
      <c r="G1904">
        <v>86.801100000000005</v>
      </c>
      <c r="H1904">
        <v>89.04</v>
      </c>
      <c r="I1904">
        <v>93.951999999999998</v>
      </c>
      <c r="J1904">
        <v>101.268</v>
      </c>
      <c r="K1904" t="str">
        <f>""</f>
        <v/>
      </c>
      <c r="L1904" t="str">
        <f>""</f>
        <v/>
      </c>
      <c r="M1904" t="str">
        <f>""</f>
        <v/>
      </c>
      <c r="N1904" t="str">
        <f>""</f>
        <v/>
      </c>
      <c r="O1904" t="str">
        <f>""</f>
        <v/>
      </c>
    </row>
    <row r="1905" spans="1:15" x14ac:dyDescent="0.25">
      <c r="A1905" t="str">
        <f>$A$817</f>
        <v xml:space="preserve">                    Aluar Aluminio Argentino SAIC</v>
      </c>
      <c r="B1905" t="str">
        <f>$B$817</f>
        <v>ALUA AR Equity</v>
      </c>
      <c r="C1905" t="str">
        <f>$C$817</f>
        <v>F0946</v>
      </c>
      <c r="D1905" t="str">
        <f>$D$817</f>
        <v>TOTAL_GHG_CO2_EMISSIONS</v>
      </c>
      <c r="E1905" t="str">
        <f>$E$817</f>
        <v>Dynamic</v>
      </c>
      <c r="F1905" t="str">
        <f ca="1">_xll.BDH($B$817,$C$817,$B$1130,$B$1131,CONCATENATE("Per=",$B$1128),"Dts=H","Dir=H",CONCATENATE("Points=",$B$1129),"Sort=R","Days=A","Fill=B",CONCATENATE("FX=", $B$1127) )</f>
        <v/>
      </c>
      <c r="K1905" t="str">
        <f>""</f>
        <v/>
      </c>
      <c r="L1905" t="str">
        <f>""</f>
        <v/>
      </c>
      <c r="M1905" t="str">
        <f>""</f>
        <v/>
      </c>
      <c r="N1905" t="str">
        <f>""</f>
        <v/>
      </c>
      <c r="O1905" t="str">
        <f>""</f>
        <v/>
      </c>
    </row>
    <row r="1906" spans="1:15" x14ac:dyDescent="0.25">
      <c r="A1906" t="str">
        <f>$A$818</f>
        <v xml:space="preserve">                    BHP Group Ltd</v>
      </c>
      <c r="B1906" t="str">
        <f>$B$818</f>
        <v>BHP AU Equity</v>
      </c>
      <c r="C1906" t="str">
        <f>$C$818</f>
        <v>F0946</v>
      </c>
      <c r="D1906" t="str">
        <f>$D$818</f>
        <v>TOTAL_GHG_CO2_EMISSIONS</v>
      </c>
      <c r="E1906" t="str">
        <f>$E$818</f>
        <v>Dynamic</v>
      </c>
      <c r="F1906" t="str">
        <f ca="1">_xll.BDH($B$818,$C$818,$B$1130,$B$1131,CONCATENATE("Per=",$B$1128),"Dts=H","Dir=H",CONCATENATE("Points=",$B$1129),"Sort=R","Days=A","Fill=B",CONCATENATE("FX=", $B$1127),"cols=5;rows=1")</f>
        <v/>
      </c>
      <c r="G1906">
        <v>14</v>
      </c>
      <c r="H1906">
        <v>15</v>
      </c>
      <c r="I1906">
        <v>14.6</v>
      </c>
      <c r="J1906">
        <v>14.824</v>
      </c>
      <c r="K1906" t="str">
        <f>""</f>
        <v/>
      </c>
      <c r="L1906" t="str">
        <f>""</f>
        <v/>
      </c>
      <c r="M1906" t="str">
        <f>""</f>
        <v/>
      </c>
      <c r="N1906" t="str">
        <f>""</f>
        <v/>
      </c>
      <c r="O1906" t="str">
        <f>""</f>
        <v/>
      </c>
    </row>
    <row r="1907" spans="1:15" x14ac:dyDescent="0.25">
      <c r="A1907" t="str">
        <f>$A$819</f>
        <v xml:space="preserve">                    Century Aluminum Co</v>
      </c>
      <c r="B1907" t="str">
        <f>$B$819</f>
        <v>CENX US Equity</v>
      </c>
      <c r="C1907" t="str">
        <f>$C$819</f>
        <v>F0946</v>
      </c>
      <c r="D1907" t="str">
        <f>$D$819</f>
        <v>TOTAL_GHG_CO2_EMISSIONS</v>
      </c>
      <c r="E1907" t="str">
        <f>$E$819</f>
        <v>Dynamic</v>
      </c>
      <c r="F1907" t="str">
        <f ca="1">_xll.BDH($B$819,$C$819,$B$1130,$B$1131,CONCATENATE("Per=",$B$1128),"Dts=H","Dir=H",CONCATENATE("Points=",$B$1129),"Sort=R","Days=A","Fill=B",CONCATENATE("FX=", $B$1127),"cols=5;rows=1")</f>
        <v/>
      </c>
      <c r="G1907">
        <v>5.4393000000000002</v>
      </c>
      <c r="H1907">
        <v>5.5715000000000003</v>
      </c>
      <c r="I1907">
        <v>5.1448</v>
      </c>
      <c r="J1907">
        <v>4.9547999999999996</v>
      </c>
      <c r="K1907" t="str">
        <f>""</f>
        <v/>
      </c>
      <c r="L1907" t="str">
        <f>""</f>
        <v/>
      </c>
      <c r="M1907" t="str">
        <f>""</f>
        <v/>
      </c>
      <c r="N1907" t="str">
        <f>""</f>
        <v/>
      </c>
      <c r="O1907" t="str">
        <f>""</f>
        <v/>
      </c>
    </row>
    <row r="1908" spans="1:15" x14ac:dyDescent="0.25">
      <c r="A1908" t="str">
        <f>$A$820</f>
        <v xml:space="preserve">                    China Hongqiao Group Ltd</v>
      </c>
      <c r="B1908" t="str">
        <f>$B$820</f>
        <v>1378 HK Equity</v>
      </c>
      <c r="C1908" t="str">
        <f>$C$820</f>
        <v>F0946</v>
      </c>
      <c r="D1908" t="str">
        <f>$D$820</f>
        <v>TOTAL_GHG_CO2_EMISSIONS</v>
      </c>
      <c r="E1908" t="str">
        <f>$E$820</f>
        <v>Dynamic</v>
      </c>
      <c r="F1908" t="str">
        <f ca="1">_xll.BDH($B$820,$C$820,$B$1130,$B$1131,CONCATENATE("Per=",$B$1128),"Dts=H","Dir=H",CONCATENATE("Points=",$B$1129),"Sort=R","Days=A","Fill=B",CONCATENATE("FX=", $B$1127),"cols=5;rows=1")</f>
        <v/>
      </c>
      <c r="G1908">
        <v>78.7</v>
      </c>
      <c r="H1908">
        <v>76.11</v>
      </c>
      <c r="I1908">
        <v>68.3</v>
      </c>
      <c r="J1908">
        <v>84.23</v>
      </c>
      <c r="K1908" t="str">
        <f>""</f>
        <v/>
      </c>
      <c r="L1908" t="str">
        <f>""</f>
        <v/>
      </c>
      <c r="M1908" t="str">
        <f>""</f>
        <v/>
      </c>
      <c r="N1908" t="str">
        <f>""</f>
        <v/>
      </c>
      <c r="O1908" t="str">
        <f>""</f>
        <v/>
      </c>
    </row>
    <row r="1909" spans="1:15" x14ac:dyDescent="0.25">
      <c r="A1909" t="str">
        <f>$A$821</f>
        <v xml:space="preserve">                    China Rare Earth Resources And</v>
      </c>
      <c r="B1909" t="str">
        <f>$B$821</f>
        <v>000831 CH Equity</v>
      </c>
      <c r="C1909" t="str">
        <f>$C$821</f>
        <v>F0946</v>
      </c>
      <c r="D1909" t="str">
        <f>$D$821</f>
        <v>TOTAL_GHG_CO2_EMISSIONS</v>
      </c>
      <c r="E1909" t="str">
        <f>$E$821</f>
        <v>Dynamic</v>
      </c>
      <c r="F1909">
        <f ca="1">_xll.BDH($B$821,$C$821,$B$1130,$B$1131,CONCATENATE("Per=",$B$1128),"Dts=H","Dir=H",CONCATENATE("Points=",$B$1129),"Sort=R","Days=A","Fill=B",CONCATENATE("FX=", $B$1127),"cols=5;rows=1")</f>
        <v>1.7399999999999999E-2</v>
      </c>
      <c r="K1909" t="str">
        <f>""</f>
        <v/>
      </c>
      <c r="L1909" t="str">
        <f>""</f>
        <v/>
      </c>
      <c r="M1909" t="str">
        <f>""</f>
        <v/>
      </c>
      <c r="N1909" t="str">
        <f>""</f>
        <v/>
      </c>
      <c r="O1909" t="str">
        <f>""</f>
        <v/>
      </c>
    </row>
    <row r="1910" spans="1:15" x14ac:dyDescent="0.25">
      <c r="A1910" t="str">
        <f>$A$822</f>
        <v xml:space="preserve">                    CVG Industria Venezolana de Al</v>
      </c>
      <c r="B1910" t="str">
        <f>$B$822</f>
        <v>8134353Z VC Equity</v>
      </c>
      <c r="C1910" t="str">
        <f>$C$822</f>
        <v>F0946</v>
      </c>
      <c r="D1910" t="str">
        <f>$D$822</f>
        <v>TOTAL_GHG_CO2_EMISSIONS</v>
      </c>
      <c r="E1910" t="str">
        <f>$E$822</f>
        <v>Dynamic</v>
      </c>
      <c r="F1910" t="str">
        <f ca="1">_xll.BDH($B$822,$C$822,$B$1130,$B$1131,CONCATENATE("Per=",$B$1128),"Dts=H","Dir=H",CONCATENATE("Points=",$B$1129),"Sort=R","Days=A","Fill=B",CONCATENATE("FX=", $B$1127) )</f>
        <v/>
      </c>
      <c r="K1910" t="str">
        <f>""</f>
        <v/>
      </c>
      <c r="L1910" t="str">
        <f>""</f>
        <v/>
      </c>
      <c r="M1910" t="str">
        <f>""</f>
        <v/>
      </c>
      <c r="N1910" t="str">
        <f>""</f>
        <v/>
      </c>
      <c r="O1910" t="str">
        <f>""</f>
        <v/>
      </c>
    </row>
    <row r="1911" spans="1:15" x14ac:dyDescent="0.25">
      <c r="A1911" t="str">
        <f>$A$823</f>
        <v xml:space="preserve">                    Dubai Aluminium Co Ltd</v>
      </c>
      <c r="B1911" t="str">
        <f>$B$823</f>
        <v>606833Z UH Equity</v>
      </c>
      <c r="C1911" t="str">
        <f>$C$823</f>
        <v>F0946</v>
      </c>
      <c r="D1911" t="str">
        <f>$D$823</f>
        <v>TOTAL_GHG_CO2_EMISSIONS</v>
      </c>
      <c r="E1911" t="str">
        <f>$E$823</f>
        <v>Dynamic</v>
      </c>
      <c r="F1911" t="str">
        <f ca="1">_xll.BDH($B$823,$C$823,$B$1130,$B$1131,CONCATENATE("Per=",$B$1128),"Dts=H","Dir=H",CONCATENATE("Points=",$B$1129),"Sort=R","Days=A","Fill=B",CONCATENATE("FX=", $B$1127) )</f>
        <v/>
      </c>
      <c r="K1911" t="str">
        <f>""</f>
        <v/>
      </c>
      <c r="L1911" t="str">
        <f>""</f>
        <v/>
      </c>
      <c r="M1911" t="str">
        <f>""</f>
        <v/>
      </c>
      <c r="N1911" t="str">
        <f>""</f>
        <v/>
      </c>
      <c r="O1911" t="str">
        <f>""</f>
        <v/>
      </c>
    </row>
    <row r="1912" spans="1:15" x14ac:dyDescent="0.25">
      <c r="A1912" t="str">
        <f>$A$824</f>
        <v xml:space="preserve">                    Egypt Aluminium</v>
      </c>
      <c r="B1912" t="str">
        <f>$B$824</f>
        <v>EGAL EY Equity</v>
      </c>
      <c r="C1912" t="str">
        <f>$C$824</f>
        <v>F0946</v>
      </c>
      <c r="D1912" t="str">
        <f>$D$824</f>
        <v>TOTAL_GHG_CO2_EMISSIONS</v>
      </c>
      <c r="E1912" t="str">
        <f>$E$824</f>
        <v>Dynamic</v>
      </c>
      <c r="F1912" t="str">
        <f ca="1">_xll.BDH($B$824,$C$824,$B$1130,$B$1131,CONCATENATE("Per=",$B$1128),"Dts=H","Dir=H",CONCATENATE("Points=",$B$1129),"Sort=R","Days=A","Fill=B",CONCATENATE("FX=", $B$1127) )</f>
        <v/>
      </c>
      <c r="K1912" t="str">
        <f>""</f>
        <v/>
      </c>
      <c r="L1912" t="str">
        <f>""</f>
        <v/>
      </c>
      <c r="M1912" t="str">
        <f>""</f>
        <v/>
      </c>
      <c r="N1912" t="str">
        <f>""</f>
        <v/>
      </c>
      <c r="O1912" t="str">
        <f>""</f>
        <v/>
      </c>
    </row>
    <row r="1913" spans="1:15" x14ac:dyDescent="0.25">
      <c r="A1913" t="str">
        <f>$A$825</f>
        <v xml:space="preserve">                    Guangdong HEC Technology Holdi</v>
      </c>
      <c r="B1913" t="str">
        <f>$B$825</f>
        <v>600673 CH Equity</v>
      </c>
      <c r="C1913" t="str">
        <f>$C$825</f>
        <v>F0946</v>
      </c>
      <c r="D1913" t="str">
        <f>$D$825</f>
        <v>TOTAL_GHG_CO2_EMISSIONS</v>
      </c>
      <c r="E1913" t="str">
        <f>$E$825</f>
        <v>Dynamic</v>
      </c>
      <c r="F1913" t="str">
        <f ca="1">_xll.BDH($B$825,$C$825,$B$1130,$B$1131,CONCATENATE("Per=",$B$1128),"Dts=H","Dir=H",CONCATENATE("Points=",$B$1129),"Sort=R","Days=A","Fill=B",CONCATENATE("FX=", $B$1127) )</f>
        <v/>
      </c>
      <c r="K1913" t="str">
        <f>""</f>
        <v/>
      </c>
      <c r="L1913" t="str">
        <f>""</f>
        <v/>
      </c>
      <c r="M1913" t="str">
        <f>""</f>
        <v/>
      </c>
      <c r="N1913" t="str">
        <f>""</f>
        <v/>
      </c>
      <c r="O1913" t="str">
        <f>""</f>
        <v/>
      </c>
    </row>
    <row r="1914" spans="1:15" x14ac:dyDescent="0.25">
      <c r="A1914" t="str">
        <f>$A$826</f>
        <v xml:space="preserve">                    Henan Zhongfu Industry Co Ltd</v>
      </c>
      <c r="B1914" t="str">
        <f>$B$826</f>
        <v>600595 CH Equity</v>
      </c>
      <c r="C1914" t="str">
        <f>$C$826</f>
        <v>F0946</v>
      </c>
      <c r="D1914" t="str">
        <f>$D$826</f>
        <v>TOTAL_GHG_CO2_EMISSIONS</v>
      </c>
      <c r="E1914" t="str">
        <f>$E$826</f>
        <v>Dynamic</v>
      </c>
      <c r="F1914" t="str">
        <f ca="1">_xll.BDH($B$826,$C$826,$B$1130,$B$1131,CONCATENATE("Per=",$B$1128),"Dts=H","Dir=H",CONCATENATE("Points=",$B$1129),"Sort=R","Days=A","Fill=B",CONCATENATE("FX=", $B$1127) )</f>
        <v/>
      </c>
      <c r="K1914" t="str">
        <f>""</f>
        <v/>
      </c>
      <c r="L1914" t="str">
        <f>""</f>
        <v/>
      </c>
      <c r="M1914" t="str">
        <f>""</f>
        <v/>
      </c>
      <c r="N1914" t="str">
        <f>""</f>
        <v/>
      </c>
      <c r="O1914" t="str">
        <f>""</f>
        <v/>
      </c>
    </row>
    <row r="1915" spans="1:15" x14ac:dyDescent="0.25">
      <c r="A1915" t="str">
        <f>$A$827</f>
        <v xml:space="preserve">                    Hindalco Industries Ltd</v>
      </c>
      <c r="B1915" t="str">
        <f>$B$827</f>
        <v>HNDL IN Equity</v>
      </c>
      <c r="C1915" t="str">
        <f>$C$827</f>
        <v>F0946</v>
      </c>
      <c r="D1915" t="str">
        <f>$D$827</f>
        <v>TOTAL_GHG_CO2_EMISSIONS</v>
      </c>
      <c r="E1915" t="str">
        <f>$E$827</f>
        <v>Dynamic</v>
      </c>
      <c r="F1915" t="str">
        <f ca="1">_xll.BDH($B$827,$C$827,$B$1130,$B$1131,CONCATENATE("Per=",$B$1128),"Dts=H","Dir=H",CONCATENATE("Points=",$B$1129),"Sort=R","Days=A","Fill=B",CONCATENATE("FX=", $B$1127) )</f>
        <v/>
      </c>
      <c r="K1915" t="str">
        <f>""</f>
        <v/>
      </c>
      <c r="L1915" t="str">
        <f>""</f>
        <v/>
      </c>
      <c r="M1915" t="str">
        <f>""</f>
        <v/>
      </c>
      <c r="N1915" t="str">
        <f>""</f>
        <v/>
      </c>
      <c r="O1915" t="str">
        <f>""</f>
        <v/>
      </c>
    </row>
    <row r="1916" spans="1:15" x14ac:dyDescent="0.25">
      <c r="A1916" t="str">
        <f>$A$828</f>
        <v xml:space="preserve">                    Jiaozuo Wanfang Aluminum Manuf</v>
      </c>
      <c r="B1916" t="str">
        <f>$B$828</f>
        <v>000612 CH Equity</v>
      </c>
      <c r="C1916" t="str">
        <f>$C$828</f>
        <v>F0946</v>
      </c>
      <c r="D1916" t="str">
        <f>$D$828</f>
        <v>TOTAL_GHG_CO2_EMISSIONS</v>
      </c>
      <c r="E1916" t="str">
        <f>$E$828</f>
        <v>Dynamic</v>
      </c>
      <c r="F1916" t="str">
        <f ca="1">_xll.BDH($B$828,$C$828,$B$1130,$B$1131,CONCATENATE("Per=",$B$1128),"Dts=H","Dir=H",CONCATENATE("Points=",$B$1129),"Sort=R","Days=A","Fill=B",CONCATENATE("FX=", $B$1127) )</f>
        <v/>
      </c>
      <c r="K1916" t="str">
        <f>""</f>
        <v/>
      </c>
      <c r="L1916" t="str">
        <f>""</f>
        <v/>
      </c>
      <c r="M1916" t="str">
        <f>""</f>
        <v/>
      </c>
      <c r="N1916" t="str">
        <f>""</f>
        <v/>
      </c>
      <c r="O1916" t="str">
        <f>""</f>
        <v/>
      </c>
    </row>
    <row r="1917" spans="1:15" x14ac:dyDescent="0.25">
      <c r="A1917" t="str">
        <f>$A$829</f>
        <v xml:space="preserve">                    Kaiser Aluminum Corp</v>
      </c>
      <c r="B1917" t="str">
        <f>$B$829</f>
        <v>KALU US Equity</v>
      </c>
      <c r="C1917" t="str">
        <f>$C$829</f>
        <v>F0946</v>
      </c>
      <c r="D1917" t="str">
        <f>$D$829</f>
        <v>TOTAL_GHG_CO2_EMISSIONS</v>
      </c>
      <c r="E1917" t="str">
        <f>$E$829</f>
        <v>Dynamic</v>
      </c>
      <c r="F1917" t="str">
        <f ca="1">_xll.BDH($B$829,$C$829,$B$1130,$B$1131,CONCATENATE("Per=",$B$1128),"Dts=H","Dir=H",CONCATENATE("Points=",$B$1129),"Sort=R","Days=A","Fill=B",CONCATENATE("FX=", $B$1127),"cols=5;rows=1")</f>
        <v/>
      </c>
      <c r="G1917">
        <v>1.1014999999999999</v>
      </c>
      <c r="H1917">
        <v>0.34639999999999999</v>
      </c>
      <c r="K1917" t="str">
        <f>""</f>
        <v/>
      </c>
      <c r="L1917" t="str">
        <f>""</f>
        <v/>
      </c>
      <c r="M1917" t="str">
        <f>""</f>
        <v/>
      </c>
      <c r="N1917" t="str">
        <f>""</f>
        <v/>
      </c>
      <c r="O1917" t="str">
        <f>""</f>
        <v/>
      </c>
    </row>
    <row r="1918" spans="1:15" x14ac:dyDescent="0.25">
      <c r="A1918" t="str">
        <f>$A$830</f>
        <v xml:space="preserve">                    Mytilineos SA</v>
      </c>
      <c r="B1918" t="str">
        <f>$B$830</f>
        <v>MYTIL GA Equity</v>
      </c>
      <c r="C1918" t="str">
        <f>$C$830</f>
        <v>F0946</v>
      </c>
      <c r="D1918" t="str">
        <f>$D$830</f>
        <v>TOTAL_GHG_CO2_EMISSIONS</v>
      </c>
      <c r="E1918" t="str">
        <f>$E$830</f>
        <v>Dynamic</v>
      </c>
      <c r="F1918">
        <f ca="1">_xll.BDH($B$830,$C$830,$B$1130,$B$1131,CONCATENATE("Per=",$B$1128),"Dts=H","Dir=H",CONCATENATE("Points=",$B$1129),"Sort=R","Days=A","Fill=B",CONCATENATE("FX=", $B$1127),"cols=5;rows=1")</f>
        <v>3.9228000000000001</v>
      </c>
      <c r="G1918">
        <v>4.0640000000000001</v>
      </c>
      <c r="H1918">
        <v>4.4593999999999996</v>
      </c>
      <c r="I1918">
        <v>4.6393000000000004</v>
      </c>
      <c r="J1918">
        <v>4.3753000000000002</v>
      </c>
      <c r="K1918" t="str">
        <f>""</f>
        <v/>
      </c>
      <c r="L1918" t="str">
        <f>""</f>
        <v/>
      </c>
      <c r="M1918" t="str">
        <f>""</f>
        <v/>
      </c>
      <c r="N1918" t="str">
        <f>""</f>
        <v/>
      </c>
      <c r="O1918" t="str">
        <f>""</f>
        <v/>
      </c>
    </row>
    <row r="1919" spans="1:15" x14ac:dyDescent="0.25">
      <c r="A1919" t="str">
        <f>$A$831</f>
        <v xml:space="preserve">                    National Aluminium Co Ltd</v>
      </c>
      <c r="B1919" t="str">
        <f>$B$831</f>
        <v>NACL IN Equity</v>
      </c>
      <c r="C1919" t="str">
        <f>$C$831</f>
        <v>F0946</v>
      </c>
      <c r="D1919" t="str">
        <f>$D$831</f>
        <v>TOTAL_GHG_CO2_EMISSIONS</v>
      </c>
      <c r="E1919" t="str">
        <f>$E$831</f>
        <v>Dynamic</v>
      </c>
      <c r="F1919" t="str">
        <f ca="1">_xll.BDH($B$831,$C$831,$B$1130,$B$1131,CONCATENATE("Per=",$B$1128),"Dts=H","Dir=H",CONCATENATE("Points=",$B$1129),"Sort=R","Days=A","Fill=B",CONCATENATE("FX=", $B$1127) )</f>
        <v/>
      </c>
      <c r="K1919" t="str">
        <f>""</f>
        <v/>
      </c>
      <c r="L1919" t="str">
        <f>""</f>
        <v/>
      </c>
      <c r="M1919" t="str">
        <f>""</f>
        <v/>
      </c>
      <c r="N1919" t="str">
        <f>""</f>
        <v/>
      </c>
      <c r="O1919" t="str">
        <f>""</f>
        <v/>
      </c>
    </row>
    <row r="1920" spans="1:15" x14ac:dyDescent="0.25">
      <c r="A1920" t="str">
        <f>$A$832</f>
        <v xml:space="preserve">                    Noranda Aluminum Holding Corp</v>
      </c>
      <c r="B1920" t="str">
        <f>$B$832</f>
        <v>NORNQ US Equity</v>
      </c>
      <c r="C1920" t="str">
        <f>$C$832</f>
        <v>F0946</v>
      </c>
      <c r="D1920" t="str">
        <f>$D$832</f>
        <v>TOTAL_GHG_CO2_EMISSIONS</v>
      </c>
      <c r="E1920" t="str">
        <f>$E$832</f>
        <v>Dynamic</v>
      </c>
      <c r="F1920" t="str">
        <f ca="1">_xll.BDH($B$832,$C$832,$B$1130,$B$1131,CONCATENATE("Per=",$B$1128),"Dts=H","Dir=H",CONCATENATE("Points=",$B$1129),"Sort=R","Days=A","Fill=B",CONCATENATE("FX=", $B$1127) )</f>
        <v/>
      </c>
      <c r="K1920" t="str">
        <f>""</f>
        <v/>
      </c>
      <c r="L1920" t="str">
        <f>""</f>
        <v/>
      </c>
      <c r="M1920" t="str">
        <f>""</f>
        <v/>
      </c>
      <c r="N1920" t="str">
        <f>""</f>
        <v/>
      </c>
      <c r="O1920" t="str">
        <f>""</f>
        <v/>
      </c>
    </row>
    <row r="1921" spans="1:15" x14ac:dyDescent="0.25">
      <c r="A1921" t="str">
        <f>$A$833</f>
        <v xml:space="preserve">                    Norsk Hydro ASA</v>
      </c>
      <c r="B1921" t="str">
        <f>$B$833</f>
        <v>NHY NO Equity</v>
      </c>
      <c r="C1921" t="str">
        <f>$C$833</f>
        <v>F0946</v>
      </c>
      <c r="D1921" t="str">
        <f>$D$833</f>
        <v>TOTAL_GHG_CO2_EMISSIONS</v>
      </c>
      <c r="E1921" t="str">
        <f>$E$833</f>
        <v>Dynamic</v>
      </c>
      <c r="F1921">
        <f ca="1">_xll.BDH($B$833,$C$833,$B$1130,$B$1131,CONCATENATE("Per=",$B$1128),"Dts=H","Dir=H",CONCATENATE("Points=",$B$1129),"Sort=R","Days=A","Fill=B",CONCATENATE("FX=", $B$1127),"cols=5;rows=1")</f>
        <v>8.74</v>
      </c>
      <c r="G1921">
        <v>11.3101</v>
      </c>
      <c r="H1921">
        <v>11.85</v>
      </c>
      <c r="I1921">
        <v>12.6892</v>
      </c>
      <c r="J1921">
        <v>12.7851</v>
      </c>
      <c r="K1921" t="str">
        <f>""</f>
        <v/>
      </c>
      <c r="L1921" t="str">
        <f>""</f>
        <v/>
      </c>
      <c r="M1921" t="str">
        <f>""</f>
        <v/>
      </c>
      <c r="N1921" t="str">
        <f>""</f>
        <v/>
      </c>
      <c r="O1921" t="str">
        <f>""</f>
        <v/>
      </c>
    </row>
    <row r="1922" spans="1:15" x14ac:dyDescent="0.25">
      <c r="A1922" t="str">
        <f>$A$834</f>
        <v xml:space="preserve">                    Rio Tinto PLC</v>
      </c>
      <c r="B1922" t="str">
        <f>$B$834</f>
        <v>RIO LN Equity</v>
      </c>
      <c r="C1922" t="str">
        <f>$C$834</f>
        <v>F0946</v>
      </c>
      <c r="D1922" t="str">
        <f>$D$834</f>
        <v>TOTAL_GHG_CO2_EMISSIONS</v>
      </c>
      <c r="E1922" t="str">
        <f>$E$834</f>
        <v>Dynamic</v>
      </c>
      <c r="F1922">
        <f ca="1">_xll.BDH($B$834,$C$834,$B$1130,$B$1131,CONCATENATE("Per=",$B$1128),"Dts=H","Dir=H",CONCATENATE("Points=",$B$1129),"Sort=R","Days=A","Fill=B",CONCATENATE("FX=", $B$1127),"cols=5;rows=1")</f>
        <v>30.3</v>
      </c>
      <c r="G1922">
        <v>30</v>
      </c>
      <c r="H1922">
        <v>24.911999999999999</v>
      </c>
      <c r="I1922">
        <v>24.8</v>
      </c>
      <c r="J1922">
        <v>25.5</v>
      </c>
      <c r="K1922" t="str">
        <f>""</f>
        <v/>
      </c>
      <c r="L1922" t="str">
        <f>""</f>
        <v/>
      </c>
      <c r="M1922" t="str">
        <f>""</f>
        <v/>
      </c>
      <c r="N1922" t="str">
        <f>""</f>
        <v/>
      </c>
      <c r="O1922" t="str">
        <f>""</f>
        <v/>
      </c>
    </row>
    <row r="1923" spans="1:15" x14ac:dyDescent="0.25">
      <c r="A1923" t="str">
        <f>$A$835</f>
        <v xml:space="preserve">                    Shandong Nanshan Aluminum Co L</v>
      </c>
      <c r="B1923" t="str">
        <f>$B$835</f>
        <v>600219 CH Equity</v>
      </c>
      <c r="C1923" t="str">
        <f>$C$835</f>
        <v>F0946</v>
      </c>
      <c r="D1923" t="str">
        <f>$D$835</f>
        <v>TOTAL_GHG_CO2_EMISSIONS</v>
      </c>
      <c r="E1923" t="str">
        <f>$E$835</f>
        <v>Dynamic</v>
      </c>
      <c r="F1923">
        <f ca="1">_xll.BDH($B$835,$C$835,$B$1130,$B$1131,CONCATENATE("Per=",$B$1128),"Dts=H","Dir=H",CONCATENATE("Points=",$B$1129),"Sort=R","Days=A","Fill=B",CONCATENATE("FX=", $B$1127),"cols=5;rows=1")</f>
        <v>9.6302000000000003</v>
      </c>
      <c r="G1923">
        <v>7.7965</v>
      </c>
      <c r="H1923">
        <v>8.0684000000000005</v>
      </c>
      <c r="K1923" t="str">
        <f>""</f>
        <v/>
      </c>
      <c r="L1923" t="str">
        <f>""</f>
        <v/>
      </c>
      <c r="M1923" t="str">
        <f>""</f>
        <v/>
      </c>
      <c r="N1923" t="str">
        <f>""</f>
        <v/>
      </c>
      <c r="O1923" t="str">
        <f>""</f>
        <v/>
      </c>
    </row>
    <row r="1924" spans="1:15" x14ac:dyDescent="0.25">
      <c r="A1924" t="str">
        <f>$A$836</f>
        <v xml:space="preserve">                    South32 Ltd</v>
      </c>
      <c r="B1924" t="str">
        <f>$B$836</f>
        <v>S32 AU Equity</v>
      </c>
      <c r="C1924" t="str">
        <f>$C$836</f>
        <v>F0946</v>
      </c>
      <c r="D1924" t="str">
        <f>$D$836</f>
        <v>TOTAL_GHG_CO2_EMISSIONS</v>
      </c>
      <c r="E1924" t="str">
        <f>$E$836</f>
        <v>Dynamic</v>
      </c>
      <c r="F1924" t="str">
        <f ca="1">_xll.BDH($B$836,$C$836,$B$1130,$B$1131,CONCATENATE("Per=",$B$1128),"Dts=H","Dir=H",CONCATENATE("Points=",$B$1129),"Sort=R","Days=A","Fill=B",CONCATENATE("FX=", $B$1127),"cols=5;rows=1")</f>
        <v/>
      </c>
      <c r="G1924">
        <v>29.8</v>
      </c>
      <c r="H1924">
        <v>30.1</v>
      </c>
      <c r="I1924">
        <v>31.5</v>
      </c>
      <c r="J1924">
        <v>30.1</v>
      </c>
      <c r="K1924" t="str">
        <f>""</f>
        <v/>
      </c>
      <c r="L1924" t="str">
        <f>""</f>
        <v/>
      </c>
      <c r="M1924" t="str">
        <f>""</f>
        <v/>
      </c>
      <c r="N1924" t="str">
        <f>""</f>
        <v/>
      </c>
      <c r="O1924" t="str">
        <f>""</f>
        <v/>
      </c>
    </row>
    <row r="1925" spans="1:15" x14ac:dyDescent="0.25">
      <c r="A1925" t="str">
        <f>$A$837</f>
        <v xml:space="preserve">                    United Co RUSAL International</v>
      </c>
      <c r="B1925" t="str">
        <f>$B$837</f>
        <v>486 HK Equity</v>
      </c>
      <c r="C1925" t="str">
        <f>$C$837</f>
        <v>F0946</v>
      </c>
      <c r="D1925" t="str">
        <f>$D$837</f>
        <v>TOTAL_GHG_CO2_EMISSIONS</v>
      </c>
      <c r="E1925" t="str">
        <f>$E$837</f>
        <v>Dynamic</v>
      </c>
      <c r="F1925" t="str">
        <f ca="1">_xll.BDH($B$837,$C$837,$B$1130,$B$1131,CONCATENATE("Per=",$B$1128),"Dts=H","Dir=H",CONCATENATE("Points=",$B$1129),"Sort=R","Days=A","Fill=B",CONCATENATE("FX=", $B$1127),"cols=5;rows=1")</f>
        <v/>
      </c>
      <c r="J1925">
        <v>30.9053</v>
      </c>
      <c r="K1925" t="str">
        <f>""</f>
        <v/>
      </c>
      <c r="L1925" t="str">
        <f>""</f>
        <v/>
      </c>
      <c r="M1925" t="str">
        <f>""</f>
        <v/>
      </c>
      <c r="N1925" t="str">
        <f>""</f>
        <v/>
      </c>
      <c r="O1925" t="str">
        <f>""</f>
        <v/>
      </c>
    </row>
    <row r="1926" spans="1:15" x14ac:dyDescent="0.25">
      <c r="A1926" t="str">
        <f>$A$838</f>
        <v xml:space="preserve">                    Vedanta Ltd</v>
      </c>
      <c r="B1926" t="str">
        <f>$B$838</f>
        <v>VEDL IN Equity</v>
      </c>
      <c r="C1926" t="str">
        <f>$C$838</f>
        <v>F0946</v>
      </c>
      <c r="D1926" t="str">
        <f>$D$838</f>
        <v>TOTAL_GHG_CO2_EMISSIONS</v>
      </c>
      <c r="E1926" t="str">
        <f>$E$838</f>
        <v>Dynamic</v>
      </c>
      <c r="F1926">
        <f ca="1">_xll.BDH($B$838,$C$838,$B$1130,$B$1131,CONCATENATE("Per=",$B$1128),"Dts=H","Dir=H",CONCATENATE("Points=",$B$1129),"Sort=R","Days=A","Fill=B",CONCATENATE("FX=", $B$1127),"cols=5;rows=1")</f>
        <v>65.72</v>
      </c>
      <c r="G1926">
        <v>62.829500000000003</v>
      </c>
      <c r="H1926">
        <v>60.24</v>
      </c>
      <c r="I1926">
        <v>59.34</v>
      </c>
      <c r="J1926">
        <v>58.5</v>
      </c>
      <c r="K1926" t="str">
        <f>""</f>
        <v/>
      </c>
      <c r="L1926" t="str">
        <f>""</f>
        <v/>
      </c>
      <c r="M1926" t="str">
        <f>""</f>
        <v/>
      </c>
      <c r="N1926" t="str">
        <f>""</f>
        <v/>
      </c>
      <c r="O1926" t="str">
        <f>""</f>
        <v/>
      </c>
    </row>
    <row r="1927" spans="1:15" x14ac:dyDescent="0.25">
      <c r="A1927" t="str">
        <f>$A$839</f>
        <v xml:space="preserve">                    Xinjiang Joinworld Co Ltd</v>
      </c>
      <c r="B1927" t="str">
        <f>$B$839</f>
        <v>600888 CH Equity</v>
      </c>
      <c r="C1927" t="str">
        <f>$C$839</f>
        <v>F0946</v>
      </c>
      <c r="D1927" t="str">
        <f>$D$839</f>
        <v>TOTAL_GHG_CO2_EMISSIONS</v>
      </c>
      <c r="E1927" t="str">
        <f>$E$839</f>
        <v>Dynamic</v>
      </c>
      <c r="F1927" t="str">
        <f ca="1">_xll.BDH($B$839,$C$839,$B$1130,$B$1131,CONCATENATE("Per=",$B$1128),"Dts=H","Dir=H",CONCATENATE("Points=",$B$1129),"Sort=R","Days=A","Fill=B",CONCATENATE("FX=", $B$1127) )</f>
        <v/>
      </c>
      <c r="K1927" t="str">
        <f>""</f>
        <v/>
      </c>
      <c r="L1927" t="str">
        <f>""</f>
        <v/>
      </c>
      <c r="M1927" t="str">
        <f>""</f>
        <v/>
      </c>
      <c r="N1927" t="str">
        <f>""</f>
        <v/>
      </c>
      <c r="O1927" t="str">
        <f>""</f>
        <v/>
      </c>
    </row>
    <row r="1928" spans="1:15" x14ac:dyDescent="0.25">
      <c r="A1928" t="str">
        <f>$A$840</f>
        <v xml:space="preserve">                    Yunnan Aluminium Co Ltd</v>
      </c>
      <c r="B1928" t="str">
        <f>$B$840</f>
        <v>000807 CH Equity</v>
      </c>
      <c r="C1928" t="str">
        <f>$C$840</f>
        <v>F0946</v>
      </c>
      <c r="D1928" t="str">
        <f>$D$840</f>
        <v>TOTAL_GHG_CO2_EMISSIONS</v>
      </c>
      <c r="E1928" t="str">
        <f>$E$840</f>
        <v>Dynamic</v>
      </c>
      <c r="F1928" t="str">
        <f ca="1">_xll.BDH($B$840,$C$840,$B$1130,$B$1131,CONCATENATE("Per=",$B$1128),"Dts=H","Dir=H",CONCATENATE("Points=",$B$1129),"Sort=R","Days=A","Fill=B",CONCATENATE("FX=", $B$1127) )</f>
        <v/>
      </c>
      <c r="K1928" t="str">
        <f>""</f>
        <v/>
      </c>
      <c r="L1928" t="str">
        <f>""</f>
        <v/>
      </c>
      <c r="M1928" t="str">
        <f>""</f>
        <v/>
      </c>
      <c r="N1928" t="str">
        <f>""</f>
        <v/>
      </c>
      <c r="O1928" t="str">
        <f>""</f>
        <v/>
      </c>
    </row>
    <row r="1929" spans="1:15" x14ac:dyDescent="0.25">
      <c r="A1929" t="str">
        <f>$A$842</f>
        <v xml:space="preserve">                    China Rare Earth Resources And</v>
      </c>
      <c r="B1929" t="str">
        <f>$B$842</f>
        <v>000831 CH Equity</v>
      </c>
      <c r="C1929" t="str">
        <f>$C$842</f>
        <v>F0946</v>
      </c>
      <c r="D1929" t="str">
        <f>$D$842</f>
        <v>TOTAL_GHG_CO2_EMISSIONS</v>
      </c>
      <c r="E1929" t="str">
        <f>$E$842</f>
        <v>Dynamic</v>
      </c>
      <c r="F1929">
        <f ca="1">_xll.BDH($B$842,$C$842,$B$1130,$B$1131,CONCATENATE("Per=",$B$1128),"Dts=H","Dir=H",CONCATENATE("Points=",$B$1129),"Sort=R","Days=A","Fill=B",CONCATENATE("FX=", $B$1127),"cols=5;rows=1")</f>
        <v>1.7399999999999999E-2</v>
      </c>
      <c r="K1929" t="str">
        <f>""</f>
        <v/>
      </c>
      <c r="L1929" t="str">
        <f>""</f>
        <v/>
      </c>
      <c r="M1929" t="str">
        <f>""</f>
        <v/>
      </c>
      <c r="N1929" t="str">
        <f>""</f>
        <v/>
      </c>
      <c r="O1929" t="str">
        <f>""</f>
        <v/>
      </c>
    </row>
    <row r="1930" spans="1:15" x14ac:dyDescent="0.25">
      <c r="A1930" t="str">
        <f>$A$843</f>
        <v xml:space="preserve">                    Jiaozuo Wanfang Aluminum Manuf</v>
      </c>
      <c r="B1930" t="str">
        <f>$B$843</f>
        <v>000612 CH Equity</v>
      </c>
      <c r="C1930" t="str">
        <f>$C$843</f>
        <v>F0946</v>
      </c>
      <c r="D1930" t="str">
        <f>$D$843</f>
        <v>TOTAL_GHG_CO2_EMISSIONS</v>
      </c>
      <c r="E1930" t="str">
        <f>$E$843</f>
        <v>Dynamic</v>
      </c>
      <c r="F1930" t="str">
        <f ca="1">_xll.BDH($B$843,$C$843,$B$1130,$B$1131,CONCATENATE("Per=",$B$1128),"Dts=H","Dir=H",CONCATENATE("Points=",$B$1129),"Sort=R","Days=A","Fill=B",CONCATENATE("FX=", $B$1127) )</f>
        <v/>
      </c>
      <c r="K1930" t="str">
        <f>""</f>
        <v/>
      </c>
      <c r="L1930" t="str">
        <f>""</f>
        <v/>
      </c>
      <c r="M1930" t="str">
        <f>""</f>
        <v/>
      </c>
      <c r="N1930" t="str">
        <f>""</f>
        <v/>
      </c>
      <c r="O1930" t="str">
        <f>""</f>
        <v/>
      </c>
    </row>
    <row r="1931" spans="1:15" x14ac:dyDescent="0.25">
      <c r="A1931" t="str">
        <f>$A$844</f>
        <v xml:space="preserve">                    Yunnan Aluminium Co Ltd</v>
      </c>
      <c r="B1931" t="str">
        <f>$B$844</f>
        <v>000807 CH Equity</v>
      </c>
      <c r="C1931" t="str">
        <f>$C$844</f>
        <v>F0946</v>
      </c>
      <c r="D1931" t="str">
        <f>$D$844</f>
        <v>TOTAL_GHG_CO2_EMISSIONS</v>
      </c>
      <c r="E1931" t="str">
        <f>$E$844</f>
        <v>Dynamic</v>
      </c>
      <c r="F1931" t="str">
        <f ca="1">_xll.BDH($B$844,$C$844,$B$1130,$B$1131,CONCATENATE("Per=",$B$1128),"Dts=H","Dir=H",CONCATENATE("Points=",$B$1129),"Sort=R","Days=A","Fill=B",CONCATENATE("FX=", $B$1127) )</f>
        <v/>
      </c>
      <c r="K1931" t="str">
        <f>""</f>
        <v/>
      </c>
      <c r="L1931" t="str">
        <f>""</f>
        <v/>
      </c>
      <c r="M1931" t="str">
        <f>""</f>
        <v/>
      </c>
      <c r="N1931" t="str">
        <f>""</f>
        <v/>
      </c>
      <c r="O1931" t="str">
        <f>""</f>
        <v/>
      </c>
    </row>
    <row r="1932" spans="1:15" x14ac:dyDescent="0.25">
      <c r="A1932" t="str">
        <f>$A$846</f>
        <v xml:space="preserve">                    Anglo American PLC</v>
      </c>
      <c r="B1932" t="str">
        <f>$B$846</f>
        <v>AAL LN Equity</v>
      </c>
      <c r="C1932" t="str">
        <f>$C$846</f>
        <v>F0946</v>
      </c>
      <c r="D1932" t="str">
        <f>$D$846</f>
        <v>TOTAL_GHG_CO2_EMISSIONS</v>
      </c>
      <c r="E1932" t="str">
        <f>$E$846</f>
        <v>Dynamic</v>
      </c>
      <c r="F1932">
        <f ca="1">_xll.BDH($B$846,$C$846,$B$1130,$B$1131,CONCATENATE("Per=",$B$1128),"Dts=H","Dir=H",CONCATENATE("Points=",$B$1129),"Sort=R","Days=A","Fill=B",CONCATENATE("FX=", $B$1127),"cols=5;rows=1")</f>
        <v>13.3</v>
      </c>
      <c r="G1932">
        <v>14.76</v>
      </c>
      <c r="H1932">
        <v>16.079999999999998</v>
      </c>
      <c r="I1932">
        <v>17.8</v>
      </c>
      <c r="J1932">
        <v>16.2</v>
      </c>
      <c r="K1932" t="str">
        <f>""</f>
        <v/>
      </c>
      <c r="L1932" t="str">
        <f>""</f>
        <v/>
      </c>
      <c r="M1932" t="str">
        <f>""</f>
        <v/>
      </c>
      <c r="N1932" t="str">
        <f>""</f>
        <v/>
      </c>
      <c r="O1932" t="str">
        <f>""</f>
        <v/>
      </c>
    </row>
    <row r="1933" spans="1:15" x14ac:dyDescent="0.25">
      <c r="A1933" t="str">
        <f>$A$847</f>
        <v xml:space="preserve">                    Antofagasta PLC</v>
      </c>
      <c r="B1933" t="str">
        <f>$B$847</f>
        <v>ANTO LN Equity</v>
      </c>
      <c r="C1933" t="str">
        <f>$C$847</f>
        <v>F0946</v>
      </c>
      <c r="D1933" t="str">
        <f>$D$847</f>
        <v>TOTAL_GHG_CO2_EMISSIONS</v>
      </c>
      <c r="E1933" t="str">
        <f>$E$847</f>
        <v>Dynamic</v>
      </c>
      <c r="F1933">
        <f ca="1">_xll.BDH($B$847,$C$847,$B$1130,$B$1131,CONCATENATE("Per=",$B$1128),"Dts=H","Dir=H",CONCATENATE("Points=",$B$1129),"Sort=R","Days=A","Fill=B",CONCATENATE("FX=", $B$1127),"cols=5;rows=1")</f>
        <v>2.0741999999999998</v>
      </c>
      <c r="G1933">
        <v>2.2997999999999998</v>
      </c>
      <c r="H1933">
        <v>2.3452000000000002</v>
      </c>
      <c r="I1933">
        <v>2.3856000000000002</v>
      </c>
      <c r="J1933">
        <v>2.4178999999999999</v>
      </c>
      <c r="K1933" t="str">
        <f>""</f>
        <v/>
      </c>
      <c r="L1933" t="str">
        <f>""</f>
        <v/>
      </c>
      <c r="M1933" t="str">
        <f>""</f>
        <v/>
      </c>
      <c r="N1933" t="str">
        <f>""</f>
        <v/>
      </c>
      <c r="O1933" t="str">
        <f>""</f>
        <v/>
      </c>
    </row>
    <row r="1934" spans="1:15" x14ac:dyDescent="0.25">
      <c r="A1934" t="str">
        <f>$A$848</f>
        <v xml:space="preserve">                    Barrick Gold Corp</v>
      </c>
      <c r="B1934" t="str">
        <f>$B$848</f>
        <v>ABX CN Equity</v>
      </c>
      <c r="C1934" t="str">
        <f>$C$848</f>
        <v>F0946</v>
      </c>
      <c r="D1934" t="str">
        <f>$D$848</f>
        <v>TOTAL_GHG_CO2_EMISSIONS</v>
      </c>
      <c r="E1934" t="str">
        <f>$E$848</f>
        <v>Dynamic</v>
      </c>
      <c r="F1934">
        <f ca="1">_xll.BDH($B$848,$C$848,$B$1130,$B$1131,CONCATENATE("Per=",$B$1128),"Dts=H","Dir=H",CONCATENATE("Points=",$B$1129),"Sort=R","Days=A","Fill=B",CONCATENATE("FX=", $B$1127),"cols=5;rows=1")</f>
        <v>6.7050000000000001</v>
      </c>
      <c r="G1934">
        <v>7.4</v>
      </c>
      <c r="H1934">
        <v>7.3514999999999997</v>
      </c>
      <c r="I1934">
        <v>6.7480000000000002</v>
      </c>
      <c r="J1934">
        <v>4.5430000000000001</v>
      </c>
      <c r="K1934" t="str">
        <f>""</f>
        <v/>
      </c>
      <c r="L1934" t="str">
        <f>""</f>
        <v/>
      </c>
      <c r="M1934" t="str">
        <f>""</f>
        <v/>
      </c>
      <c r="N1934" t="str">
        <f>""</f>
        <v/>
      </c>
      <c r="O1934" t="str">
        <f>""</f>
        <v/>
      </c>
    </row>
    <row r="1935" spans="1:15" x14ac:dyDescent="0.25">
      <c r="A1935" t="str">
        <f>$A$849</f>
        <v xml:space="preserve">                    BHP Group Ltd</v>
      </c>
      <c r="B1935" t="str">
        <f>$B$849</f>
        <v>BHP AU Equity</v>
      </c>
      <c r="C1935" t="str">
        <f>$C$849</f>
        <v>F0946</v>
      </c>
      <c r="D1935" t="str">
        <f>$D$849</f>
        <v>TOTAL_GHG_CO2_EMISSIONS</v>
      </c>
      <c r="E1935" t="str">
        <f>$E$849</f>
        <v>Dynamic</v>
      </c>
      <c r="F1935" t="str">
        <f ca="1">_xll.BDH($B$849,$C$849,$B$1130,$B$1131,CONCATENATE("Per=",$B$1128),"Dts=H","Dir=H",CONCATENATE("Points=",$B$1129),"Sort=R","Days=A","Fill=B",CONCATENATE("FX=", $B$1127),"cols=5;rows=1")</f>
        <v/>
      </c>
      <c r="G1935">
        <v>14</v>
      </c>
      <c r="H1935">
        <v>15</v>
      </c>
      <c r="I1935">
        <v>14.6</v>
      </c>
      <c r="J1935">
        <v>14.824</v>
      </c>
      <c r="K1935" t="str">
        <f>""</f>
        <v/>
      </c>
      <c r="L1935" t="str">
        <f>""</f>
        <v/>
      </c>
      <c r="M1935" t="str">
        <f>""</f>
        <v/>
      </c>
      <c r="N1935" t="str">
        <f>""</f>
        <v/>
      </c>
      <c r="O1935" t="str">
        <f>""</f>
        <v/>
      </c>
    </row>
    <row r="1936" spans="1:15" x14ac:dyDescent="0.25">
      <c r="A1936" t="str">
        <f>$A$850</f>
        <v xml:space="preserve">                    Boliden AB</v>
      </c>
      <c r="B1936" t="str">
        <f>$B$850</f>
        <v>BOL SS Equity</v>
      </c>
      <c r="C1936" t="str">
        <f>$C$850</f>
        <v>F0946</v>
      </c>
      <c r="D1936" t="str">
        <f>$D$850</f>
        <v>TOTAL_GHG_CO2_EMISSIONS</v>
      </c>
      <c r="E1936" t="str">
        <f>$E$850</f>
        <v>Dynamic</v>
      </c>
      <c r="F1936">
        <f ca="1">_xll.BDH($B$850,$C$850,$B$1130,$B$1131,CONCATENATE("Per=",$B$1128),"Dts=H","Dir=H",CONCATENATE("Points=",$B$1129),"Sort=R","Days=A","Fill=B",CONCATENATE("FX=", $B$1127),"cols=5;rows=1")</f>
        <v>0.84699999999999998</v>
      </c>
      <c r="G1936">
        <v>0.95199999999999996</v>
      </c>
      <c r="H1936">
        <v>0.89600000000000002</v>
      </c>
      <c r="I1936">
        <v>0.91700000000000004</v>
      </c>
      <c r="J1936">
        <v>0.97099999999999997</v>
      </c>
      <c r="K1936" t="str">
        <f>""</f>
        <v/>
      </c>
      <c r="L1936" t="str">
        <f>""</f>
        <v/>
      </c>
      <c r="M1936" t="str">
        <f>""</f>
        <v/>
      </c>
      <c r="N1936" t="str">
        <f>""</f>
        <v/>
      </c>
      <c r="O1936" t="str">
        <f>""</f>
        <v/>
      </c>
    </row>
    <row r="1937" spans="1:15" x14ac:dyDescent="0.25">
      <c r="A1937" t="str">
        <f>$A$851</f>
        <v xml:space="preserve">                    Capstone Mining Corp</v>
      </c>
      <c r="B1937" t="str">
        <f>$B$851</f>
        <v>2073752D CN Equity</v>
      </c>
      <c r="C1937" t="str">
        <f>$C$851</f>
        <v>F0946</v>
      </c>
      <c r="D1937" t="str">
        <f>$D$851</f>
        <v>TOTAL_GHG_CO2_EMISSIONS</v>
      </c>
      <c r="E1937" t="str">
        <f>$E$851</f>
        <v>Dynamic</v>
      </c>
      <c r="F1937" t="str">
        <f ca="1">_xll.BDH($B$851,$C$851,$B$1130,$B$1131,CONCATENATE("Per=",$B$1128),"Dts=H","Dir=H",CONCATENATE("Points=",$B$1129),"Sort=R","Days=A","Fill=B",CONCATENATE("FX=", $B$1127),"cols=5;rows=1")</f>
        <v/>
      </c>
      <c r="G1937">
        <v>0.30690000000000001</v>
      </c>
      <c r="H1937">
        <v>0.28649999999999998</v>
      </c>
      <c r="I1937">
        <v>0.2797</v>
      </c>
      <c r="J1937">
        <v>0.28520000000000001</v>
      </c>
      <c r="K1937" t="str">
        <f>""</f>
        <v/>
      </c>
      <c r="L1937" t="str">
        <f>""</f>
        <v/>
      </c>
      <c r="M1937" t="str">
        <f>""</f>
        <v/>
      </c>
      <c r="N1937" t="str">
        <f>""</f>
        <v/>
      </c>
      <c r="O1937" t="str">
        <f>""</f>
        <v/>
      </c>
    </row>
    <row r="1938" spans="1:15" x14ac:dyDescent="0.25">
      <c r="A1938" t="str">
        <f>$A$852</f>
        <v xml:space="preserve">                    Cia de Minas Buenaventura SAA</v>
      </c>
      <c r="B1938" t="str">
        <f>$B$852</f>
        <v>BUENAVI1 PE Equity</v>
      </c>
      <c r="C1938" t="str">
        <f>$C$852</f>
        <v>F0946</v>
      </c>
      <c r="D1938" t="str">
        <f>$D$852</f>
        <v>TOTAL_GHG_CO2_EMISSIONS</v>
      </c>
      <c r="E1938" t="str">
        <f>$E$852</f>
        <v>Dynamic</v>
      </c>
      <c r="F1938" t="str">
        <f ca="1">_xll.BDH($B$852,$C$852,$B$1130,$B$1131,CONCATENATE("Per=",$B$1128),"Dts=H","Dir=H",CONCATENATE("Points=",$B$1129),"Sort=R","Days=A","Fill=B",CONCATENATE("FX=", $B$1127) )</f>
        <v/>
      </c>
      <c r="K1938" t="str">
        <f>""</f>
        <v/>
      </c>
      <c r="L1938" t="str">
        <f>""</f>
        <v/>
      </c>
      <c r="M1938" t="str">
        <f>""</f>
        <v/>
      </c>
      <c r="N1938" t="str">
        <f>""</f>
        <v/>
      </c>
      <c r="O1938" t="str">
        <f>""</f>
        <v/>
      </c>
    </row>
    <row r="1939" spans="1:15" x14ac:dyDescent="0.25">
      <c r="A1939" t="str">
        <f>$A$853</f>
        <v xml:space="preserve">                    Corp Nacional del Cobre de Chi</v>
      </c>
      <c r="B1939" t="str">
        <f>$B$853</f>
        <v>1006Z CI Equity</v>
      </c>
      <c r="C1939" t="str">
        <f>$C$853</f>
        <v>F0946</v>
      </c>
      <c r="D1939" t="str">
        <f>$D$853</f>
        <v>TOTAL_GHG_CO2_EMISSIONS</v>
      </c>
      <c r="E1939" t="str">
        <f>$E$853</f>
        <v>Dynamic</v>
      </c>
      <c r="F1939" t="str">
        <f ca="1">_xll.BDH($B$853,$C$853,$B$1130,$B$1131,CONCATENATE("Per=",$B$1128),"Dts=H","Dir=H",CONCATENATE("Points=",$B$1129),"Sort=R","Days=A","Fill=B",CONCATENATE("FX=", $B$1127),"cols=5;rows=1")</f>
        <v/>
      </c>
      <c r="G1939">
        <v>4.5853000000000002</v>
      </c>
      <c r="H1939">
        <v>4.5324</v>
      </c>
      <c r="I1939">
        <v>4.3937999999999997</v>
      </c>
      <c r="J1939">
        <v>4.6879999999999997</v>
      </c>
      <c r="K1939" t="str">
        <f>""</f>
        <v/>
      </c>
      <c r="L1939" t="str">
        <f>""</f>
        <v/>
      </c>
      <c r="M1939" t="str">
        <f>""</f>
        <v/>
      </c>
      <c r="N1939" t="str">
        <f>""</f>
        <v/>
      </c>
      <c r="O1939" t="str">
        <f>""</f>
        <v/>
      </c>
    </row>
    <row r="1940" spans="1:15" x14ac:dyDescent="0.25">
      <c r="A1940" t="str">
        <f>$A$854</f>
        <v xml:space="preserve">                    First Quantum Minerals Ltd</v>
      </c>
      <c r="B1940" t="str">
        <f>$B$854</f>
        <v>FM CN Equity</v>
      </c>
      <c r="C1940" t="str">
        <f>$C$854</f>
        <v>F0946</v>
      </c>
      <c r="D1940" t="str">
        <f>$D$854</f>
        <v>TOTAL_GHG_CO2_EMISSIONS</v>
      </c>
      <c r="E1940" t="str">
        <f>$E$854</f>
        <v>Dynamic</v>
      </c>
      <c r="F1940">
        <f ca="1">_xll.BDH($B$854,$C$854,$B$1130,$B$1131,CONCATENATE("Per=",$B$1128),"Dts=H","Dir=H",CONCATENATE("Points=",$B$1129),"Sort=R","Days=A","Fill=B",CONCATENATE("FX=", $B$1127),"cols=5;rows=1")</f>
        <v>4.3760000000000003</v>
      </c>
      <c r="G1940">
        <v>4.4400000000000004</v>
      </c>
      <c r="H1940">
        <v>4.2590000000000003</v>
      </c>
      <c r="I1940">
        <v>3.6960000000000002</v>
      </c>
      <c r="J1940">
        <v>2.0750000000000002</v>
      </c>
      <c r="K1940" t="str">
        <f>""</f>
        <v/>
      </c>
      <c r="L1940" t="str">
        <f>""</f>
        <v/>
      </c>
      <c r="M1940" t="str">
        <f>""</f>
        <v/>
      </c>
      <c r="N1940" t="str">
        <f>""</f>
        <v/>
      </c>
      <c r="O1940" t="str">
        <f>""</f>
        <v/>
      </c>
    </row>
    <row r="1941" spans="1:15" x14ac:dyDescent="0.25">
      <c r="A1941" t="str">
        <f>$A$855</f>
        <v xml:space="preserve">                    Freeport-McMoRan Inc</v>
      </c>
      <c r="B1941" t="str">
        <f>$B$855</f>
        <v>FCX US Equity</v>
      </c>
      <c r="C1941" t="str">
        <f>$C$855</f>
        <v>F0946</v>
      </c>
      <c r="D1941" t="str">
        <f>$D$855</f>
        <v>TOTAL_GHG_CO2_EMISSIONS</v>
      </c>
      <c r="E1941" t="str">
        <f>$E$855</f>
        <v>Dynamic</v>
      </c>
      <c r="F1941">
        <f ca="1">_xll.BDH($B$855,$C$855,$B$1130,$B$1131,CONCATENATE("Per=",$B$1128),"Dts=H","Dir=H",CONCATENATE("Points=",$B$1129),"Sort=R","Days=A","Fill=B",CONCATENATE("FX=", $B$1127),"cols=5;rows=1")</f>
        <v>7.6852999999999998</v>
      </c>
      <c r="G1941">
        <v>7.4476000000000004</v>
      </c>
      <c r="K1941" t="str">
        <f>""</f>
        <v/>
      </c>
      <c r="L1941" t="str">
        <f>""</f>
        <v/>
      </c>
      <c r="M1941" t="str">
        <f>""</f>
        <v/>
      </c>
      <c r="N1941" t="str">
        <f>""</f>
        <v/>
      </c>
      <c r="O1941" t="str">
        <f>""</f>
        <v/>
      </c>
    </row>
    <row r="1942" spans="1:15" x14ac:dyDescent="0.25">
      <c r="A1942" t="str">
        <f>$A$856</f>
        <v xml:space="preserve">                    Glencore PLC</v>
      </c>
      <c r="B1942" t="str">
        <f>$B$856</f>
        <v>GLEN LN Equity</v>
      </c>
      <c r="C1942" t="str">
        <f>$C$856</f>
        <v>F0946</v>
      </c>
      <c r="D1942" t="str">
        <f>$D$856</f>
        <v>TOTAL_GHG_CO2_EMISSIONS</v>
      </c>
      <c r="E1942" t="str">
        <f>$E$856</f>
        <v>Dynamic</v>
      </c>
      <c r="F1942">
        <f ca="1">_xll.BDH($B$856,$C$856,$B$1130,$B$1131,CONCATENATE("Per=",$B$1128),"Dts=H","Dir=H",CONCATENATE("Points=",$B$1129),"Sort=R","Days=A","Fill=B",CONCATENATE("FX=", $B$1127),"cols=5;rows=1")</f>
        <v>27.04</v>
      </c>
      <c r="G1942">
        <v>25.7</v>
      </c>
      <c r="H1942">
        <v>24.344000000000001</v>
      </c>
      <c r="I1942">
        <v>29.238</v>
      </c>
      <c r="J1942">
        <v>30.297999999999998</v>
      </c>
      <c r="K1942" t="str">
        <f>""</f>
        <v/>
      </c>
      <c r="L1942" t="str">
        <f>""</f>
        <v/>
      </c>
      <c r="M1942" t="str">
        <f>""</f>
        <v/>
      </c>
      <c r="N1942" t="str">
        <f>""</f>
        <v/>
      </c>
      <c r="O1942" t="str">
        <f>""</f>
        <v/>
      </c>
    </row>
    <row r="1943" spans="1:15" x14ac:dyDescent="0.25">
      <c r="A1943" t="str">
        <f>$A$857</f>
        <v xml:space="preserve">                    Grupo Mexico SAB de CV</v>
      </c>
      <c r="B1943" t="str">
        <f>$B$857</f>
        <v>GMEXICOB MM Equity</v>
      </c>
      <c r="C1943" t="str">
        <f>$C$857</f>
        <v>F0946</v>
      </c>
      <c r="D1943" t="str">
        <f>$D$857</f>
        <v>TOTAL_GHG_CO2_EMISSIONS</v>
      </c>
      <c r="E1943" t="str">
        <f>$E$857</f>
        <v>Dynamic</v>
      </c>
      <c r="F1943">
        <f ca="1">_xll.BDH($B$857,$C$857,$B$1130,$B$1131,CONCATENATE("Per=",$B$1128),"Dts=H","Dir=H",CONCATENATE("Points=",$B$1129),"Sort=R","Days=A","Fill=B",CONCATENATE("FX=", $B$1127),"cols=5;rows=1")</f>
        <v>6.008</v>
      </c>
      <c r="G1943">
        <v>5.7629999999999999</v>
      </c>
      <c r="H1943">
        <v>5.81</v>
      </c>
      <c r="I1943">
        <v>6.37</v>
      </c>
      <c r="J1943">
        <v>7.8909000000000002</v>
      </c>
      <c r="K1943" t="str">
        <f>""</f>
        <v/>
      </c>
      <c r="L1943" t="str">
        <f>""</f>
        <v/>
      </c>
      <c r="M1943" t="str">
        <f>""</f>
        <v/>
      </c>
      <c r="N1943" t="str">
        <f>""</f>
        <v/>
      </c>
      <c r="O1943" t="str">
        <f>""</f>
        <v/>
      </c>
    </row>
    <row r="1944" spans="1:15" x14ac:dyDescent="0.25">
      <c r="A1944" t="str">
        <f>$A$858</f>
        <v xml:space="preserve">                    Hindustan Copper Ltd</v>
      </c>
      <c r="B1944" t="str">
        <f>$B$858</f>
        <v>HCP IN Equity</v>
      </c>
      <c r="C1944" t="str">
        <f>$C$858</f>
        <v>F0946</v>
      </c>
      <c r="D1944" t="str">
        <f>$D$858</f>
        <v>TOTAL_GHG_CO2_EMISSIONS</v>
      </c>
      <c r="E1944" t="str">
        <f>$E$858</f>
        <v>Dynamic</v>
      </c>
      <c r="F1944" t="str">
        <f ca="1">_xll.BDH($B$858,$C$858,$B$1130,$B$1131,CONCATENATE("Per=",$B$1128),"Dts=H","Dir=H",CONCATENATE("Points=",$B$1129),"Sort=R","Days=A","Fill=B",CONCATENATE("FX=", $B$1127) )</f>
        <v/>
      </c>
      <c r="K1944" t="str">
        <f>""</f>
        <v/>
      </c>
      <c r="L1944" t="str">
        <f>""</f>
        <v/>
      </c>
      <c r="M1944" t="str">
        <f>""</f>
        <v/>
      </c>
      <c r="N1944" t="str">
        <f>""</f>
        <v/>
      </c>
      <c r="O1944" t="str">
        <f>""</f>
        <v/>
      </c>
    </row>
    <row r="1945" spans="1:15" x14ac:dyDescent="0.25">
      <c r="A1945" t="str">
        <f>$A$859</f>
        <v xml:space="preserve">                    Hudbay Minerals Inc</v>
      </c>
      <c r="B1945" t="str">
        <f>$B$859</f>
        <v>HBM CN Equity</v>
      </c>
      <c r="C1945" t="str">
        <f>$C$859</f>
        <v>F0946</v>
      </c>
      <c r="D1945" t="str">
        <f>$D$859</f>
        <v>TOTAL_GHG_CO2_EMISSIONS</v>
      </c>
      <c r="E1945" t="str">
        <f>$E$859</f>
        <v>Dynamic</v>
      </c>
      <c r="F1945">
        <f ca="1">_xll.BDH($B$859,$C$859,$B$1130,$B$1131,CONCATENATE("Per=",$B$1128),"Dts=H","Dir=H",CONCATENATE("Points=",$B$1129),"Sort=R","Days=A","Fill=B",CONCATENATE("FX=", $B$1127),"cols=5;rows=1")</f>
        <v>0.54300000000000004</v>
      </c>
      <c r="G1945">
        <v>0.3044</v>
      </c>
      <c r="H1945">
        <v>0.2787</v>
      </c>
      <c r="I1945">
        <v>0.56279999999999997</v>
      </c>
      <c r="J1945">
        <v>0.57330000000000003</v>
      </c>
      <c r="K1945" t="str">
        <f>""</f>
        <v/>
      </c>
      <c r="L1945" t="str">
        <f>""</f>
        <v/>
      </c>
      <c r="M1945" t="str">
        <f>""</f>
        <v/>
      </c>
      <c r="N1945" t="str">
        <f>""</f>
        <v/>
      </c>
      <c r="O1945" t="str">
        <f>""</f>
        <v/>
      </c>
    </row>
    <row r="1946" spans="1:15" x14ac:dyDescent="0.25">
      <c r="A1946" t="str">
        <f>$A$860</f>
        <v xml:space="preserve">                    Industrias Penoles SAB de CV</v>
      </c>
      <c r="B1946" t="str">
        <f>$B$860</f>
        <v>PE&amp;OLES* MM Equity</v>
      </c>
      <c r="C1946" t="str">
        <f>$C$860</f>
        <v>F0946</v>
      </c>
      <c r="D1946" t="str">
        <f>$D$860</f>
        <v>TOTAL_GHG_CO2_EMISSIONS</v>
      </c>
      <c r="E1946" t="str">
        <f>$E$860</f>
        <v>Dynamic</v>
      </c>
      <c r="F1946">
        <f ca="1">_xll.BDH($B$860,$C$860,$B$1130,$B$1131,CONCATENATE("Per=",$B$1128),"Dts=H","Dir=H",CONCATENATE("Points=",$B$1129),"Sort=R","Days=A","Fill=B",CONCATENATE("FX=", $B$1127),"cols=5;rows=1")</f>
        <v>3.077</v>
      </c>
      <c r="G1946">
        <v>2.1337000000000002</v>
      </c>
      <c r="H1946">
        <v>2.2286000000000001</v>
      </c>
      <c r="I1946">
        <v>2.4647000000000001</v>
      </c>
      <c r="J1946">
        <v>2.8896000000000002</v>
      </c>
      <c r="K1946" t="str">
        <f>""</f>
        <v/>
      </c>
      <c r="L1946" t="str">
        <f>""</f>
        <v/>
      </c>
      <c r="M1946" t="str">
        <f>""</f>
        <v/>
      </c>
      <c r="N1946" t="str">
        <f>""</f>
        <v/>
      </c>
      <c r="O1946" t="str">
        <f>""</f>
        <v/>
      </c>
    </row>
    <row r="1947" spans="1:15" x14ac:dyDescent="0.25">
      <c r="A1947" t="str">
        <f>$A$861</f>
        <v xml:space="preserve">                    Jiangxi Copper Co Ltd</v>
      </c>
      <c r="B1947" t="str">
        <f>$B$861</f>
        <v>358 HK Equity</v>
      </c>
      <c r="C1947" t="str">
        <f>$C$861</f>
        <v>F0946</v>
      </c>
      <c r="D1947" t="str">
        <f>$D$861</f>
        <v>TOTAL_GHG_CO2_EMISSIONS</v>
      </c>
      <c r="E1947" t="str">
        <f>$E$861</f>
        <v>Dynamic</v>
      </c>
      <c r="F1947">
        <f ca="1">_xll.BDH($B$861,$C$861,$B$1130,$B$1131,CONCATENATE("Per=",$B$1128),"Dts=H","Dir=H",CONCATENATE("Points=",$B$1129),"Sort=R","Days=A","Fill=B",CONCATENATE("FX=", $B$1127),"cols=5;rows=1")</f>
        <v>2.1225999999999998</v>
      </c>
      <c r="G1947">
        <v>2.1697000000000002</v>
      </c>
      <c r="H1947">
        <v>2.2042999999999999</v>
      </c>
      <c r="I1947">
        <v>2.9759000000000002</v>
      </c>
      <c r="J1947">
        <v>2.0495000000000001</v>
      </c>
      <c r="K1947" t="str">
        <f>""</f>
        <v/>
      </c>
      <c r="L1947" t="str">
        <f>""</f>
        <v/>
      </c>
      <c r="M1947" t="str">
        <f>""</f>
        <v/>
      </c>
      <c r="N1947" t="str">
        <f>""</f>
        <v/>
      </c>
      <c r="O1947" t="str">
        <f>""</f>
        <v/>
      </c>
    </row>
    <row r="1948" spans="1:15" x14ac:dyDescent="0.25">
      <c r="A1948" t="str">
        <f>$A$862</f>
        <v xml:space="preserve">                    KGHM Polska Miedz SA</v>
      </c>
      <c r="B1948" t="str">
        <f>$B$862</f>
        <v>KGH PW Equity</v>
      </c>
      <c r="C1948" t="str">
        <f>$C$862</f>
        <v>F0946</v>
      </c>
      <c r="D1948" t="str">
        <f>$D$862</f>
        <v>TOTAL_GHG_CO2_EMISSIONS</v>
      </c>
      <c r="E1948" t="str">
        <f>$E$862</f>
        <v>Dynamic</v>
      </c>
      <c r="F1948" t="str">
        <f ca="1">_xll.BDH($B$862,$C$862,$B$1130,$B$1131,CONCATENATE("Per=",$B$1128),"Dts=H","Dir=H",CONCATENATE("Points=",$B$1129),"Sort=R","Days=A","Fill=B",CONCATENATE("FX=", $B$1127),"cols=5;rows=1")</f>
        <v/>
      </c>
      <c r="G1948">
        <v>3.1095999999999999</v>
      </c>
      <c r="H1948">
        <v>3.5924</v>
      </c>
      <c r="I1948">
        <v>3.6387</v>
      </c>
      <c r="J1948">
        <v>3.5240999999999998</v>
      </c>
      <c r="K1948" t="str">
        <f>""</f>
        <v/>
      </c>
      <c r="L1948" t="str">
        <f>""</f>
        <v/>
      </c>
      <c r="M1948" t="str">
        <f>""</f>
        <v/>
      </c>
      <c r="N1948" t="str">
        <f>""</f>
        <v/>
      </c>
      <c r="O1948" t="str">
        <f>""</f>
        <v/>
      </c>
    </row>
    <row r="1949" spans="1:15" x14ac:dyDescent="0.25">
      <c r="A1949" t="str">
        <f>$A$863</f>
        <v xml:space="preserve">                    Lundin Mining Corp</v>
      </c>
      <c r="B1949" t="str">
        <f>$B$863</f>
        <v>LUN CN Equity</v>
      </c>
      <c r="C1949" t="str">
        <f>$C$863</f>
        <v>F0946</v>
      </c>
      <c r="D1949" t="str">
        <f>$D$863</f>
        <v>TOTAL_GHG_CO2_EMISSIONS</v>
      </c>
      <c r="E1949" t="str">
        <f>$E$863</f>
        <v>Dynamic</v>
      </c>
      <c r="F1949" t="str">
        <f ca="1">_xll.BDH($B$863,$C$863,$B$1130,$B$1131,CONCATENATE("Per=",$B$1128),"Dts=H","Dir=H",CONCATENATE("Points=",$B$1129),"Sort=R","Days=A","Fill=B",CONCATENATE("FX=", $B$1127),"cols=5;rows=1")</f>
        <v/>
      </c>
      <c r="G1949">
        <v>0.95899999999999996</v>
      </c>
      <c r="H1949">
        <v>0.88570000000000004</v>
      </c>
      <c r="I1949">
        <v>0.94620000000000004</v>
      </c>
      <c r="J1949">
        <v>0.83989999999999998</v>
      </c>
      <c r="K1949" t="str">
        <f>""</f>
        <v/>
      </c>
      <c r="L1949" t="str">
        <f>""</f>
        <v/>
      </c>
      <c r="M1949" t="str">
        <f>""</f>
        <v/>
      </c>
      <c r="N1949" t="str">
        <f>""</f>
        <v/>
      </c>
      <c r="O1949" t="str">
        <f>""</f>
        <v/>
      </c>
    </row>
    <row r="1950" spans="1:15" x14ac:dyDescent="0.25">
      <c r="A1950" t="str">
        <f>$A$864</f>
        <v xml:space="preserve">                    MMC Norilsk Nickel PJSC</v>
      </c>
      <c r="B1950" t="str">
        <f>$B$864</f>
        <v>GMKN RM Equity</v>
      </c>
      <c r="C1950" t="str">
        <f>$C$864</f>
        <v>F0946</v>
      </c>
      <c r="D1950" t="str">
        <f>$D$864</f>
        <v>TOTAL_GHG_CO2_EMISSIONS</v>
      </c>
      <c r="E1950" t="str">
        <f>$E$864</f>
        <v>Dynamic</v>
      </c>
      <c r="F1950" t="str">
        <f ca="1">_xll.BDH($B$864,$C$864,$B$1130,$B$1131,CONCATENATE("Per=",$B$1128),"Dts=H","Dir=H",CONCATENATE("Points=",$B$1129),"Sort=R","Days=A","Fill=B",CONCATENATE("FX=", $B$1127),"cols=5;rows=1")</f>
        <v/>
      </c>
      <c r="G1950">
        <v>10.31</v>
      </c>
      <c r="H1950">
        <v>9.6986000000000008</v>
      </c>
      <c r="I1950">
        <v>9.9</v>
      </c>
      <c r="J1950">
        <v>10</v>
      </c>
      <c r="K1950" t="str">
        <f>""</f>
        <v/>
      </c>
      <c r="L1950" t="str">
        <f>""</f>
        <v/>
      </c>
      <c r="M1950" t="str">
        <f>""</f>
        <v/>
      </c>
      <c r="N1950" t="str">
        <f>""</f>
        <v/>
      </c>
      <c r="O1950" t="str">
        <f>""</f>
        <v/>
      </c>
    </row>
    <row r="1951" spans="1:15" x14ac:dyDescent="0.25">
      <c r="A1951" t="str">
        <f>$A$865</f>
        <v xml:space="preserve">                    Newcrest Mining Ltd</v>
      </c>
      <c r="B1951" t="str">
        <f>$B$865</f>
        <v>NCM AU Equity</v>
      </c>
      <c r="C1951" t="str">
        <f>$C$865</f>
        <v>F0946</v>
      </c>
      <c r="D1951" t="str">
        <f>$D$865</f>
        <v>TOTAL_GHG_CO2_EMISSIONS</v>
      </c>
      <c r="E1951" t="str">
        <f>$E$865</f>
        <v>Dynamic</v>
      </c>
      <c r="F1951" t="str">
        <f ca="1">_xll.BDH($B$865,$C$865,$B$1130,$B$1131,CONCATENATE("Per=",$B$1128),"Dts=H","Dir=H",CONCATENATE("Points=",$B$1129),"Sort=R","Days=A","Fill=B",CONCATENATE("FX=", $B$1127),"cols=5;rows=1")</f>
        <v/>
      </c>
      <c r="G1951">
        <v>2.2412999999999998</v>
      </c>
      <c r="H1951">
        <v>2.3384999999999998</v>
      </c>
      <c r="I1951">
        <v>2.2736000000000001</v>
      </c>
      <c r="J1951">
        <v>2.2787999999999999</v>
      </c>
      <c r="K1951" t="str">
        <f>""</f>
        <v/>
      </c>
      <c r="L1951" t="str">
        <f>""</f>
        <v/>
      </c>
      <c r="M1951" t="str">
        <f>""</f>
        <v/>
      </c>
      <c r="N1951" t="str">
        <f>""</f>
        <v/>
      </c>
      <c r="O1951" t="str">
        <f>""</f>
        <v/>
      </c>
    </row>
    <row r="1952" spans="1:15" x14ac:dyDescent="0.25">
      <c r="A1952" t="str">
        <f>$A$866</f>
        <v xml:space="preserve">                    OZ Minerals Ltd</v>
      </c>
      <c r="B1952" t="str">
        <f>$B$866</f>
        <v>OZL AU Equity</v>
      </c>
      <c r="C1952" t="str">
        <f>$C$866</f>
        <v>F0946</v>
      </c>
      <c r="D1952" t="str">
        <f>$D$866</f>
        <v>TOTAL_GHG_CO2_EMISSIONS</v>
      </c>
      <c r="E1952" t="str">
        <f>$E$866</f>
        <v>Dynamic</v>
      </c>
      <c r="F1952">
        <f ca="1">_xll.BDH($B$866,$C$866,$B$1130,$B$1131,CONCATENATE("Per=",$B$1128),"Dts=H","Dir=H",CONCATENATE("Points=",$B$1129),"Sort=R","Days=A","Fill=B",CONCATENATE("FX=", $B$1127),"cols=5;rows=1")</f>
        <v>0.32600000000000001</v>
      </c>
      <c r="G1952">
        <v>0.34460000000000002</v>
      </c>
      <c r="H1952">
        <v>0.27789999999999998</v>
      </c>
      <c r="I1952">
        <v>0.25390000000000001</v>
      </c>
      <c r="J1952">
        <v>0.25319999999999998</v>
      </c>
      <c r="K1952" t="str">
        <f>""</f>
        <v/>
      </c>
      <c r="L1952" t="str">
        <f>""</f>
        <v/>
      </c>
      <c r="M1952" t="str">
        <f>""</f>
        <v/>
      </c>
      <c r="N1952" t="str">
        <f>""</f>
        <v/>
      </c>
      <c r="O1952" t="str">
        <f>""</f>
        <v/>
      </c>
    </row>
    <row r="1953" spans="1:15" x14ac:dyDescent="0.25">
      <c r="A1953" t="str">
        <f>$A$867</f>
        <v xml:space="preserve">                    Philex Mining Corp</v>
      </c>
      <c r="B1953" t="str">
        <f>$B$867</f>
        <v>PX PM Equity</v>
      </c>
      <c r="C1953" t="str">
        <f>$C$867</f>
        <v>F0946</v>
      </c>
      <c r="D1953" t="str">
        <f>$D$867</f>
        <v>TOTAL_GHG_CO2_EMISSIONS</v>
      </c>
      <c r="E1953" t="str">
        <f>$E$867</f>
        <v>Dynamic</v>
      </c>
      <c r="F1953" t="str">
        <f ca="1">_xll.BDH($B$867,$C$867,$B$1130,$B$1131,CONCATENATE("Per=",$B$1128),"Dts=H","Dir=H",CONCATENATE("Points=",$B$1129),"Sort=R","Days=A","Fill=B",CONCATENATE("FX=", $B$1127) )</f>
        <v/>
      </c>
      <c r="K1953" t="str">
        <f>""</f>
        <v/>
      </c>
      <c r="L1953" t="str">
        <f>""</f>
        <v/>
      </c>
      <c r="M1953" t="str">
        <f>""</f>
        <v/>
      </c>
      <c r="N1953" t="str">
        <f>""</f>
        <v/>
      </c>
      <c r="O1953" t="str">
        <f>""</f>
        <v/>
      </c>
    </row>
    <row r="1954" spans="1:15" x14ac:dyDescent="0.25">
      <c r="A1954" t="str">
        <f>$A$868</f>
        <v xml:space="preserve">                    Rio Tinto PLC</v>
      </c>
      <c r="B1954" t="str">
        <f>$B$868</f>
        <v>RIO LN Equity</v>
      </c>
      <c r="C1954" t="str">
        <f>$C$868</f>
        <v>F0946</v>
      </c>
      <c r="D1954" t="str">
        <f>$D$868</f>
        <v>TOTAL_GHG_CO2_EMISSIONS</v>
      </c>
      <c r="E1954" t="str">
        <f>$E$868</f>
        <v>Dynamic</v>
      </c>
      <c r="F1954">
        <f ca="1">_xll.BDH($B$868,$C$868,$B$1130,$B$1131,CONCATENATE("Per=",$B$1128),"Dts=H","Dir=H",CONCATENATE("Points=",$B$1129),"Sort=R","Days=A","Fill=B",CONCATENATE("FX=", $B$1127),"cols=5;rows=1")</f>
        <v>30.3</v>
      </c>
      <c r="G1954">
        <v>30</v>
      </c>
      <c r="H1954">
        <v>24.911999999999999</v>
      </c>
      <c r="I1954">
        <v>24.8</v>
      </c>
      <c r="J1954">
        <v>25.5</v>
      </c>
      <c r="K1954" t="str">
        <f>""</f>
        <v/>
      </c>
      <c r="L1954" t="str">
        <f>""</f>
        <v/>
      </c>
      <c r="M1954" t="str">
        <f>""</f>
        <v/>
      </c>
      <c r="N1954" t="str">
        <f>""</f>
        <v/>
      </c>
      <c r="O1954" t="str">
        <f>""</f>
        <v/>
      </c>
    </row>
    <row r="1955" spans="1:15" x14ac:dyDescent="0.25">
      <c r="A1955" t="str">
        <f>$A$869</f>
        <v xml:space="preserve">                    Southern Copper Corp</v>
      </c>
      <c r="B1955" t="str">
        <f>$B$869</f>
        <v>SCCO US Equity</v>
      </c>
      <c r="C1955" t="str">
        <f>$C$869</f>
        <v>F0946</v>
      </c>
      <c r="D1955" t="str">
        <f>$D$869</f>
        <v>TOTAL_GHG_CO2_EMISSIONS</v>
      </c>
      <c r="E1955" t="str">
        <f>$E$869</f>
        <v>Dynamic</v>
      </c>
      <c r="F1955" t="str">
        <f ca="1">_xll.BDH($B$869,$C$869,$B$1130,$B$1131,CONCATENATE("Per=",$B$1128),"Dts=H","Dir=H",CONCATENATE("Points=",$B$1129),"Sort=R","Days=A","Fill=B",CONCATENATE("FX=", $B$1127) )</f>
        <v/>
      </c>
      <c r="K1955" t="str">
        <f>""</f>
        <v/>
      </c>
      <c r="L1955" t="str">
        <f>""</f>
        <v/>
      </c>
      <c r="M1955" t="str">
        <f>""</f>
        <v/>
      </c>
      <c r="N1955" t="str">
        <f>""</f>
        <v/>
      </c>
      <c r="O1955" t="str">
        <f>""</f>
        <v/>
      </c>
    </row>
    <row r="1956" spans="1:15" x14ac:dyDescent="0.25">
      <c r="A1956" t="str">
        <f>$A$870</f>
        <v xml:space="preserve">                    Teck Resources Ltd</v>
      </c>
      <c r="B1956" t="str">
        <f>$B$870</f>
        <v>TECK/B CN Equity</v>
      </c>
      <c r="C1956" t="str">
        <f>$C$870</f>
        <v>F0946</v>
      </c>
      <c r="D1956" t="str">
        <f>$D$870</f>
        <v>TOTAL_GHG_CO2_EMISSIONS</v>
      </c>
      <c r="E1956" t="str">
        <f>$E$870</f>
        <v>Dynamic</v>
      </c>
      <c r="F1956">
        <f ca="1">_xll.BDH($B$870,$C$870,$B$1130,$B$1131,CONCATENATE("Per=",$B$1128),"Dts=H","Dir=H",CONCATENATE("Points=",$B$1129),"Sort=R","Days=A","Fill=B",CONCATENATE("FX=", $B$1127),"cols=5;rows=1")</f>
        <v>2.85</v>
      </c>
      <c r="G1956">
        <v>2.8809999999999998</v>
      </c>
      <c r="H1956">
        <v>2.7557</v>
      </c>
      <c r="I1956">
        <v>3.226</v>
      </c>
      <c r="J1956">
        <v>3.21</v>
      </c>
      <c r="K1956" t="str">
        <f>""</f>
        <v/>
      </c>
      <c r="L1956" t="str">
        <f>""</f>
        <v/>
      </c>
      <c r="M1956" t="str">
        <f>""</f>
        <v/>
      </c>
      <c r="N1956" t="str">
        <f>""</f>
        <v/>
      </c>
      <c r="O1956" t="str">
        <f>""</f>
        <v/>
      </c>
    </row>
    <row r="1957" spans="1:15" x14ac:dyDescent="0.25">
      <c r="A1957" t="str">
        <f>$A$871</f>
        <v xml:space="preserve">                    Taseko Mines Ltd</v>
      </c>
      <c r="B1957" t="str">
        <f>$B$871</f>
        <v>TKO CN Equity</v>
      </c>
      <c r="C1957" t="str">
        <f>$C$871</f>
        <v>F0946</v>
      </c>
      <c r="D1957" t="str">
        <f>$D$871</f>
        <v>TOTAL_GHG_CO2_EMISSIONS</v>
      </c>
      <c r="E1957" t="str">
        <f>$E$871</f>
        <v>Dynamic</v>
      </c>
      <c r="F1957">
        <f ca="1">_xll.BDH($B$871,$C$871,$B$1130,$B$1131,CONCATENATE("Per=",$B$1128),"Dts=H","Dir=H",CONCATENATE("Points=",$B$1129),"Sort=R","Days=A","Fill=B",CONCATENATE("FX=", $B$1127),"cols=5;rows=1")</f>
        <v>0.1303</v>
      </c>
      <c r="G1957">
        <v>0.11310000000000001</v>
      </c>
      <c r="H1957">
        <v>9.6600000000000005E-2</v>
      </c>
      <c r="I1957">
        <v>0.10920000000000001</v>
      </c>
      <c r="J1957">
        <v>0.1074</v>
      </c>
      <c r="K1957" t="str">
        <f>""</f>
        <v/>
      </c>
      <c r="L1957" t="str">
        <f>""</f>
        <v/>
      </c>
      <c r="M1957" t="str">
        <f>""</f>
        <v/>
      </c>
      <c r="N1957" t="str">
        <f>""</f>
        <v/>
      </c>
      <c r="O1957" t="str">
        <f>""</f>
        <v/>
      </c>
    </row>
    <row r="1958" spans="1:15" x14ac:dyDescent="0.25">
      <c r="A1958" t="str">
        <f>$A$872</f>
        <v xml:space="preserve">                    Vale SA</v>
      </c>
      <c r="B1958" t="str">
        <f>$B$872</f>
        <v>VALE3 BZ Equity</v>
      </c>
      <c r="C1958" t="str">
        <f>$C$872</f>
        <v>F0946</v>
      </c>
      <c r="D1958" t="str">
        <f>$D$872</f>
        <v>TOTAL_GHG_CO2_EMISSIONS</v>
      </c>
      <c r="E1958" t="str">
        <f>$E$872</f>
        <v>Dynamic</v>
      </c>
      <c r="F1958">
        <f ca="1">_xll.BDH($B$872,$C$872,$B$1130,$B$1131,CONCATENATE("Per=",$B$1128),"Dts=H","Dir=H",CONCATENATE("Points=",$B$1129),"Sort=R","Days=A","Fill=B",CONCATENATE("FX=", $B$1127),"cols=5;rows=1")</f>
        <v>9.1999999999999993</v>
      </c>
      <c r="G1958">
        <v>11</v>
      </c>
      <c r="H1958">
        <v>10.640700000000001</v>
      </c>
      <c r="I1958">
        <v>12.570499999999999</v>
      </c>
      <c r="J1958">
        <v>14.2</v>
      </c>
      <c r="K1958" t="str">
        <f>""</f>
        <v/>
      </c>
      <c r="L1958" t="str">
        <f>""</f>
        <v/>
      </c>
      <c r="M1958" t="str">
        <f>""</f>
        <v/>
      </c>
      <c r="N1958" t="str">
        <f>""</f>
        <v/>
      </c>
      <c r="O1958" t="str">
        <f>""</f>
        <v/>
      </c>
    </row>
    <row r="1959" spans="1:15" x14ac:dyDescent="0.25">
      <c r="A1959" t="str">
        <f>$A$873</f>
        <v xml:space="preserve">                    Zijin Mining Group Co Ltd</v>
      </c>
      <c r="B1959" t="str">
        <f>$B$873</f>
        <v>2899 HK Equity</v>
      </c>
      <c r="C1959" t="str">
        <f>$C$873</f>
        <v>F0946</v>
      </c>
      <c r="D1959" t="str">
        <f>$D$873</f>
        <v>TOTAL_GHG_CO2_EMISSIONS</v>
      </c>
      <c r="E1959" t="str">
        <f>$E$873</f>
        <v>Dynamic</v>
      </c>
      <c r="F1959">
        <f ca="1">_xll.BDH($B$873,$C$873,$B$1130,$B$1131,CONCATENATE("Per=",$B$1128),"Dts=H","Dir=H",CONCATENATE("Points=",$B$1129),"Sort=R","Days=A","Fill=B",CONCATENATE("FX=", $B$1127),"cols=5;rows=1")</f>
        <v>7.78</v>
      </c>
      <c r="G1959">
        <v>7.26</v>
      </c>
      <c r="H1959">
        <v>6.11</v>
      </c>
      <c r="I1959">
        <v>5.35</v>
      </c>
      <c r="J1959">
        <v>2.4175</v>
      </c>
      <c r="K1959" t="str">
        <f>""</f>
        <v/>
      </c>
      <c r="L1959" t="str">
        <f>""</f>
        <v/>
      </c>
      <c r="M1959" t="str">
        <f>""</f>
        <v/>
      </c>
      <c r="N1959" t="str">
        <f>""</f>
        <v/>
      </c>
      <c r="O1959" t="str">
        <f>""</f>
        <v/>
      </c>
    </row>
    <row r="1960" spans="1:15" x14ac:dyDescent="0.25">
      <c r="A1960" t="str">
        <f>$A$875</f>
        <v xml:space="preserve">                    Agnico Eagle Mines Ltd</v>
      </c>
      <c r="B1960" t="str">
        <f>$B$875</f>
        <v>AEM CN Equity</v>
      </c>
      <c r="C1960" t="str">
        <f>$C$875</f>
        <v>F0946</v>
      </c>
      <c r="D1960" t="str">
        <f>$D$875</f>
        <v>TOTAL_GHG_CO2_EMISSIONS</v>
      </c>
      <c r="E1960" t="str">
        <f>$E$875</f>
        <v>Dynamic</v>
      </c>
      <c r="F1960">
        <f ca="1">_xll.BDH($B$875,$C$875,$B$1130,$B$1131,CONCATENATE("Per=",$B$1128),"Dts=H","Dir=H",CONCATENATE("Points=",$B$1129),"Sort=R","Days=A","Fill=B",CONCATENATE("FX=", $B$1127),"cols=5;rows=1")</f>
        <v>1.175</v>
      </c>
      <c r="G1960">
        <v>0.69159999999999999</v>
      </c>
      <c r="H1960">
        <v>0.57820000000000005</v>
      </c>
      <c r="I1960">
        <v>0.52080000000000004</v>
      </c>
      <c r="J1960">
        <v>0.4113</v>
      </c>
      <c r="K1960" t="str">
        <f>""</f>
        <v/>
      </c>
      <c r="L1960" t="str">
        <f>""</f>
        <v/>
      </c>
      <c r="M1960" t="str">
        <f>""</f>
        <v/>
      </c>
      <c r="N1960" t="str">
        <f>""</f>
        <v/>
      </c>
      <c r="O1960" t="str">
        <f>""</f>
        <v/>
      </c>
    </row>
    <row r="1961" spans="1:15" x14ac:dyDescent="0.25">
      <c r="A1961" t="str">
        <f>$A$876</f>
        <v xml:space="preserve">                    AngloGold Ashanti Ltd</v>
      </c>
      <c r="B1961" t="str">
        <f>$B$876</f>
        <v>ANG SJ Equity</v>
      </c>
      <c r="C1961" t="str">
        <f>$C$876</f>
        <v>F0946</v>
      </c>
      <c r="D1961" t="str">
        <f>$D$876</f>
        <v>TOTAL_GHG_CO2_EMISSIONS</v>
      </c>
      <c r="E1961" t="str">
        <f>$E$876</f>
        <v>Dynamic</v>
      </c>
      <c r="F1961">
        <f ca="1">_xll.BDH($B$876,$C$876,$B$1130,$B$1131,CONCATENATE("Per=",$B$1128),"Dts=H","Dir=H",CONCATENATE("Points=",$B$1129),"Sort=R","Days=A","Fill=B",CONCATENATE("FX=", $B$1127),"cols=5;rows=1")</f>
        <v>1.474</v>
      </c>
      <c r="G1961">
        <v>1.381</v>
      </c>
      <c r="H1961">
        <v>1.304</v>
      </c>
      <c r="I1961">
        <v>1.268</v>
      </c>
      <c r="J1961">
        <v>2.2999999999999998</v>
      </c>
      <c r="K1961" t="str">
        <f>""</f>
        <v/>
      </c>
      <c r="L1961" t="str">
        <f>""</f>
        <v/>
      </c>
      <c r="M1961" t="str">
        <f>""</f>
        <v/>
      </c>
      <c r="N1961" t="str">
        <f>""</f>
        <v/>
      </c>
      <c r="O1961" t="str">
        <f>""</f>
        <v/>
      </c>
    </row>
    <row r="1962" spans="1:15" x14ac:dyDescent="0.25">
      <c r="A1962" t="str">
        <f>$A$877</f>
        <v xml:space="preserve">                    Barrick Gold Corp</v>
      </c>
      <c r="B1962" t="str">
        <f>$B$877</f>
        <v>GOLD US Equity</v>
      </c>
      <c r="C1962" t="str">
        <f>$C$877</f>
        <v>F0946</v>
      </c>
      <c r="D1962" t="str">
        <f>$D$877</f>
        <v>TOTAL_GHG_CO2_EMISSIONS</v>
      </c>
      <c r="E1962" t="str">
        <f>$E$877</f>
        <v>Dynamic</v>
      </c>
      <c r="F1962">
        <f ca="1">_xll.BDH($B$877,$C$877,$B$1130,$B$1131,CONCATENATE("Per=",$B$1128),"Dts=H","Dir=H",CONCATENATE("Points=",$B$1129),"Sort=R","Days=A","Fill=B",CONCATENATE("FX=", $B$1127),"cols=5;rows=1")</f>
        <v>6.7050000000000001</v>
      </c>
      <c r="G1962">
        <v>7.4</v>
      </c>
      <c r="H1962">
        <v>7.3514999999999997</v>
      </c>
      <c r="I1962">
        <v>6.7480000000000002</v>
      </c>
      <c r="J1962">
        <v>4.5430000000000001</v>
      </c>
      <c r="K1962" t="str">
        <f>""</f>
        <v/>
      </c>
      <c r="L1962" t="str">
        <f>""</f>
        <v/>
      </c>
      <c r="M1962" t="str">
        <f>""</f>
        <v/>
      </c>
      <c r="N1962" t="str">
        <f>""</f>
        <v/>
      </c>
      <c r="O1962" t="str">
        <f>""</f>
        <v/>
      </c>
    </row>
    <row r="1963" spans="1:15" x14ac:dyDescent="0.25">
      <c r="A1963" t="str">
        <f>$A$878</f>
        <v xml:space="preserve">                    Cia de Minas Buenaventura SAA</v>
      </c>
      <c r="B1963" t="str">
        <f>$B$878</f>
        <v>BUENAVI1 PE Equity</v>
      </c>
      <c r="C1963" t="str">
        <f>$C$878</f>
        <v>F0946</v>
      </c>
      <c r="D1963" t="str">
        <f>$D$878</f>
        <v>TOTAL_GHG_CO2_EMISSIONS</v>
      </c>
      <c r="E1963" t="str">
        <f>$E$878</f>
        <v>Dynamic</v>
      </c>
      <c r="F1963" t="str">
        <f ca="1">_xll.BDH($B$878,$C$878,$B$1130,$B$1131,CONCATENATE("Per=",$B$1128),"Dts=H","Dir=H",CONCATENATE("Points=",$B$1129),"Sort=R","Days=A","Fill=B",CONCATENATE("FX=", $B$1127) )</f>
        <v/>
      </c>
      <c r="K1963" t="str">
        <f>""</f>
        <v/>
      </c>
      <c r="L1963" t="str">
        <f>""</f>
        <v/>
      </c>
      <c r="M1963" t="str">
        <f>""</f>
        <v/>
      </c>
      <c r="N1963" t="str">
        <f>""</f>
        <v/>
      </c>
      <c r="O1963" t="str">
        <f>""</f>
        <v/>
      </c>
    </row>
    <row r="1964" spans="1:15" x14ac:dyDescent="0.25">
      <c r="A1964" t="str">
        <f>$A$879</f>
        <v xml:space="preserve">                    Gold Fields Ltd</v>
      </c>
      <c r="B1964" t="str">
        <f>$B$879</f>
        <v>GFI SJ Equity</v>
      </c>
      <c r="C1964" t="str">
        <f>$C$879</f>
        <v>F0946</v>
      </c>
      <c r="D1964" t="str">
        <f>$D$879</f>
        <v>TOTAL_GHG_CO2_EMISSIONS</v>
      </c>
      <c r="E1964" t="str">
        <f>$E$879</f>
        <v>Dynamic</v>
      </c>
      <c r="F1964">
        <f ca="1">_xll.BDH($B$879,$C$879,$B$1130,$B$1131,CONCATENATE("Per=",$B$1128),"Dts=H","Dir=H",CONCATENATE("Points=",$B$1129),"Sort=R","Days=A","Fill=B",CONCATENATE("FX=", $B$1127),"cols=5;rows=1")</f>
        <v>1.72</v>
      </c>
      <c r="G1964">
        <v>1.7150000000000001</v>
      </c>
      <c r="H1964">
        <v>1.452</v>
      </c>
      <c r="I1964">
        <v>1.4570000000000001</v>
      </c>
      <c r="J1964">
        <v>1.3680000000000001</v>
      </c>
      <c r="K1964" t="str">
        <f>""</f>
        <v/>
      </c>
      <c r="L1964" t="str">
        <f>""</f>
        <v/>
      </c>
      <c r="M1964" t="str">
        <f>""</f>
        <v/>
      </c>
      <c r="N1964" t="str">
        <f>""</f>
        <v/>
      </c>
      <c r="O1964" t="str">
        <f>""</f>
        <v/>
      </c>
    </row>
    <row r="1965" spans="1:15" x14ac:dyDescent="0.25">
      <c r="A1965" t="str">
        <f>$A$880</f>
        <v xml:space="preserve">                    Harmony Gold Mining Co Ltd</v>
      </c>
      <c r="B1965" t="str">
        <f>$B$880</f>
        <v>HAR SJ Equity</v>
      </c>
      <c r="C1965" t="str">
        <f>$C$880</f>
        <v>F0946</v>
      </c>
      <c r="D1965" t="str">
        <f>$D$880</f>
        <v>TOTAL_GHG_CO2_EMISSIONS</v>
      </c>
      <c r="E1965" t="str">
        <f>$E$880</f>
        <v>Dynamic</v>
      </c>
      <c r="F1965" t="str">
        <f ca="1">_xll.BDH($B$880,$C$880,$B$1130,$B$1131,CONCATENATE("Per=",$B$1128),"Dts=H","Dir=H",CONCATENATE("Points=",$B$1129),"Sort=R","Days=A","Fill=B",CONCATENATE("FX=", $B$1127),"cols=5;rows=1")</f>
        <v/>
      </c>
      <c r="G1965">
        <v>4.7483000000000004</v>
      </c>
      <c r="H1965">
        <v>4.3872</v>
      </c>
      <c r="I1965">
        <v>3.4420000000000002</v>
      </c>
      <c r="J1965">
        <v>3.3258999999999999</v>
      </c>
      <c r="K1965" t="str">
        <f>""</f>
        <v/>
      </c>
      <c r="L1965" t="str">
        <f>""</f>
        <v/>
      </c>
      <c r="M1965" t="str">
        <f>""</f>
        <v/>
      </c>
      <c r="N1965" t="str">
        <f>""</f>
        <v/>
      </c>
      <c r="O1965" t="str">
        <f>""</f>
        <v/>
      </c>
    </row>
    <row r="1966" spans="1:15" x14ac:dyDescent="0.25">
      <c r="A1966" t="str">
        <f>$A$881</f>
        <v xml:space="preserve">                    Kinross Gold Corp</v>
      </c>
      <c r="B1966" t="str">
        <f>$B$881</f>
        <v>K CN Equity</v>
      </c>
      <c r="C1966" t="str">
        <f>$C$881</f>
        <v>F0946</v>
      </c>
      <c r="D1966" t="str">
        <f>$D$881</f>
        <v>TOTAL_GHG_CO2_EMISSIONS</v>
      </c>
      <c r="E1966" t="str">
        <f>$E$881</f>
        <v>Dynamic</v>
      </c>
      <c r="F1966">
        <f ca="1">_xll.BDH($B$881,$C$881,$B$1130,$B$1131,CONCATENATE("Per=",$B$1128),"Dts=H","Dir=H",CONCATENATE("Points=",$B$1129),"Sort=R","Days=A","Fill=B",CONCATENATE("FX=", $B$1127),"cols=5;rows=1")</f>
        <v>1.4488000000000001</v>
      </c>
      <c r="I1966">
        <v>1.6123000000000001</v>
      </c>
      <c r="J1966">
        <v>1.641</v>
      </c>
      <c r="K1966" t="str">
        <f>""</f>
        <v/>
      </c>
      <c r="L1966" t="str">
        <f>""</f>
        <v/>
      </c>
      <c r="M1966" t="str">
        <f>""</f>
        <v/>
      </c>
      <c r="N1966" t="str">
        <f>""</f>
        <v/>
      </c>
      <c r="O1966" t="str">
        <f>""</f>
        <v/>
      </c>
    </row>
    <row r="1967" spans="1:15" x14ac:dyDescent="0.25">
      <c r="A1967" t="str">
        <f>$A$882</f>
        <v xml:space="preserve">                    Newmont Corp</v>
      </c>
      <c r="B1967" t="str">
        <f>$B$882</f>
        <v>NEM US Equity</v>
      </c>
      <c r="C1967" t="str">
        <f>$C$882</f>
        <v>F0946</v>
      </c>
      <c r="D1967" t="str">
        <f>$D$882</f>
        <v>TOTAL_GHG_CO2_EMISSIONS</v>
      </c>
      <c r="E1967" t="str">
        <f>$E$882</f>
        <v>Dynamic</v>
      </c>
      <c r="F1967">
        <f ca="1">_xll.BDH($B$882,$C$882,$B$1130,$B$1131,CONCATENATE("Per=",$B$1128),"Dts=H","Dir=H",CONCATENATE("Points=",$B$1129),"Sort=R","Days=A","Fill=B",CONCATENATE("FX=", $B$1127),"cols=5;rows=1")</f>
        <v>3.1303999999999998</v>
      </c>
      <c r="G1967">
        <v>3.3921000000000001</v>
      </c>
      <c r="H1967">
        <v>3.2305000000000001</v>
      </c>
      <c r="I1967">
        <v>3.5539999999999998</v>
      </c>
      <c r="J1967">
        <v>4.6900000000000004</v>
      </c>
      <c r="K1967" t="str">
        <f>""</f>
        <v/>
      </c>
      <c r="L1967" t="str">
        <f>""</f>
        <v/>
      </c>
      <c r="M1967" t="str">
        <f>""</f>
        <v/>
      </c>
      <c r="N1967" t="str">
        <f>""</f>
        <v/>
      </c>
      <c r="O1967" t="str">
        <f>""</f>
        <v/>
      </c>
    </row>
    <row r="1968" spans="1:15" x14ac:dyDescent="0.25">
      <c r="A1968" t="str">
        <f>$A$883</f>
        <v xml:space="preserve">                    Newcrest Mining Ltd</v>
      </c>
      <c r="B1968" t="str">
        <f>$B$883</f>
        <v>NCM AU Equity</v>
      </c>
      <c r="C1968" t="str">
        <f>$C$883</f>
        <v>F0946</v>
      </c>
      <c r="D1968" t="str">
        <f>$D$883</f>
        <v>TOTAL_GHG_CO2_EMISSIONS</v>
      </c>
      <c r="E1968" t="str">
        <f>$E$883</f>
        <v>Dynamic</v>
      </c>
      <c r="F1968" t="str">
        <f ca="1">_xll.BDH($B$883,$C$883,$B$1130,$B$1131,CONCATENATE("Per=",$B$1128),"Dts=H","Dir=H",CONCATENATE("Points=",$B$1129),"Sort=R","Days=A","Fill=B",CONCATENATE("FX=", $B$1127),"cols=5;rows=1")</f>
        <v/>
      </c>
      <c r="G1968">
        <v>2.2412999999999998</v>
      </c>
      <c r="H1968">
        <v>2.3384999999999998</v>
      </c>
      <c r="I1968">
        <v>2.2736000000000001</v>
      </c>
      <c r="J1968">
        <v>2.2787999999999999</v>
      </c>
      <c r="K1968" t="str">
        <f>""</f>
        <v/>
      </c>
      <c r="L1968" t="str">
        <f>""</f>
        <v/>
      </c>
      <c r="M1968" t="str">
        <f>""</f>
        <v/>
      </c>
      <c r="N1968" t="str">
        <f>""</f>
        <v/>
      </c>
      <c r="O1968" t="str">
        <f>""</f>
        <v/>
      </c>
    </row>
    <row r="1969" spans="1:15" x14ac:dyDescent="0.25">
      <c r="A1969" t="str">
        <f>$A$884</f>
        <v xml:space="preserve">                    Polyus PJSC</v>
      </c>
      <c r="B1969" t="str">
        <f>$B$884</f>
        <v>PLZL RM Equity</v>
      </c>
      <c r="C1969" t="str">
        <f>$C$884</f>
        <v>F0946</v>
      </c>
      <c r="D1969" t="str">
        <f>$D$884</f>
        <v>TOTAL_GHG_CO2_EMISSIONS</v>
      </c>
      <c r="E1969" t="str">
        <f>$E$884</f>
        <v>Dynamic</v>
      </c>
      <c r="F1969" t="str">
        <f ca="1">_xll.BDH($B$884,$C$884,$B$1130,$B$1131,CONCATENATE("Per=",$B$1128),"Dts=H","Dir=H",CONCATENATE("Points=",$B$1129),"Sort=R","Days=A","Fill=B",CONCATENATE("FX=", $B$1127),"cols=5;rows=1")</f>
        <v/>
      </c>
      <c r="G1969">
        <v>1.34</v>
      </c>
      <c r="H1969">
        <v>2.02</v>
      </c>
      <c r="I1969">
        <v>3.2</v>
      </c>
      <c r="J1969">
        <v>3.16</v>
      </c>
      <c r="K1969" t="str">
        <f>""</f>
        <v/>
      </c>
      <c r="L1969" t="str">
        <f>""</f>
        <v/>
      </c>
      <c r="M1969" t="str">
        <f>""</f>
        <v/>
      </c>
      <c r="N1969" t="str">
        <f>""</f>
        <v/>
      </c>
      <c r="O1969" t="str">
        <f>""</f>
        <v/>
      </c>
    </row>
    <row r="1970" spans="1:15" x14ac:dyDescent="0.25">
      <c r="A1970" t="str">
        <f>$A$885</f>
        <v xml:space="preserve">                    Sibanye Stillwater Ltd</v>
      </c>
      <c r="B1970" t="str">
        <f>$B$885</f>
        <v>SSW SJ Equity</v>
      </c>
      <c r="C1970" t="str">
        <f>$C$885</f>
        <v>F0946</v>
      </c>
      <c r="D1970" t="str">
        <f>$D$885</f>
        <v>TOTAL_GHG_CO2_EMISSIONS</v>
      </c>
      <c r="E1970" t="str">
        <f>$E$885</f>
        <v>Dynamic</v>
      </c>
      <c r="F1970">
        <f ca="1">_xll.BDH($B$885,$C$885,$B$1130,$B$1131,CONCATENATE("Per=",$B$1128),"Dts=H","Dir=H",CONCATENATE("Points=",$B$1129),"Sort=R","Days=A","Fill=B",CONCATENATE("FX=", $B$1127),"cols=5;rows=1")</f>
        <v>6.6520000000000001</v>
      </c>
      <c r="G1970">
        <v>7.3018000000000001</v>
      </c>
      <c r="H1970">
        <v>7.0170000000000003</v>
      </c>
      <c r="I1970">
        <v>7.4080000000000004</v>
      </c>
      <c r="J1970">
        <v>5.6660000000000004</v>
      </c>
      <c r="K1970" t="str">
        <f>""</f>
        <v/>
      </c>
      <c r="L1970" t="str">
        <f>""</f>
        <v/>
      </c>
      <c r="M1970" t="str">
        <f>""</f>
        <v/>
      </c>
      <c r="N1970" t="str">
        <f>""</f>
        <v/>
      </c>
      <c r="O1970" t="str">
        <f>""</f>
        <v/>
      </c>
    </row>
    <row r="1971" spans="1:15" x14ac:dyDescent="0.25">
      <c r="A1971" t="str">
        <f>$A$886</f>
        <v xml:space="preserve">                    Zijin Mining Group Co Ltd</v>
      </c>
      <c r="B1971" t="str">
        <f>$B$886</f>
        <v>2899 HK Equity</v>
      </c>
      <c r="C1971" t="str">
        <f>$C$886</f>
        <v>F0946</v>
      </c>
      <c r="D1971" t="str">
        <f>$D$886</f>
        <v>TOTAL_GHG_CO2_EMISSIONS</v>
      </c>
      <c r="E1971" t="str">
        <f>$E$886</f>
        <v>Dynamic</v>
      </c>
      <c r="F1971">
        <f ca="1">_xll.BDH($B$886,$C$886,$B$1130,$B$1131,CONCATENATE("Per=",$B$1128),"Dts=H","Dir=H",CONCATENATE("Points=",$B$1129),"Sort=R","Days=A","Fill=B",CONCATENATE("FX=", $B$1127),"cols=5;rows=1")</f>
        <v>7.78</v>
      </c>
      <c r="G1971">
        <v>7.26</v>
      </c>
      <c r="H1971">
        <v>6.11</v>
      </c>
      <c r="I1971">
        <v>5.35</v>
      </c>
      <c r="J1971">
        <v>2.4175</v>
      </c>
      <c r="K1971" t="str">
        <f>""</f>
        <v/>
      </c>
      <c r="L1971" t="str">
        <f>""</f>
        <v/>
      </c>
      <c r="M1971" t="str">
        <f>""</f>
        <v/>
      </c>
      <c r="N1971" t="str">
        <f>""</f>
        <v/>
      </c>
      <c r="O1971" t="str">
        <f>""</f>
        <v/>
      </c>
    </row>
    <row r="1972" spans="1:15" x14ac:dyDescent="0.25">
      <c r="A1972" t="str">
        <f>$A$888</f>
        <v xml:space="preserve">                    Alien Metals Ltd</v>
      </c>
      <c r="B1972" t="str">
        <f>$B$888</f>
        <v>UFO LN Equity</v>
      </c>
      <c r="C1972" t="str">
        <f>$C$888</f>
        <v>F0946</v>
      </c>
      <c r="D1972" t="str">
        <f>$D$888</f>
        <v>TOTAL_GHG_CO2_EMISSIONS</v>
      </c>
      <c r="E1972" t="str">
        <f>$E$888</f>
        <v>Dynamic</v>
      </c>
      <c r="F1972" t="str">
        <f ca="1">_xll.BDH($B$888,$C$888,$B$1130,$B$1131,CONCATENATE("Per=",$B$1128),"Dts=H","Dir=H",CONCATENATE("Points=",$B$1129),"Sort=R","Days=A","Fill=B",CONCATENATE("FX=", $B$1127) )</f>
        <v/>
      </c>
      <c r="K1972" t="str">
        <f>""</f>
        <v/>
      </c>
      <c r="L1972" t="str">
        <f>""</f>
        <v/>
      </c>
      <c r="M1972" t="str">
        <f>""</f>
        <v/>
      </c>
      <c r="N1972" t="str">
        <f>""</f>
        <v/>
      </c>
      <c r="O1972" t="str">
        <f>""</f>
        <v/>
      </c>
    </row>
    <row r="1973" spans="1:15" x14ac:dyDescent="0.25">
      <c r="A1973" t="str">
        <f>$A$889</f>
        <v xml:space="preserve">                    Americas Gold &amp; Silver Corp</v>
      </c>
      <c r="B1973" t="str">
        <f>$B$889</f>
        <v>USA CN Equity</v>
      </c>
      <c r="C1973" t="str">
        <f>$C$889</f>
        <v>F0946</v>
      </c>
      <c r="D1973" t="str">
        <f>$D$889</f>
        <v>TOTAL_GHG_CO2_EMISSIONS</v>
      </c>
      <c r="E1973" t="str">
        <f>$E$889</f>
        <v>Dynamic</v>
      </c>
      <c r="F1973" t="str">
        <f ca="1">_xll.BDH($B$889,$C$889,$B$1130,$B$1131,CONCATENATE("Per=",$B$1128),"Dts=H","Dir=H",CONCATENATE("Points=",$B$1129),"Sort=R","Days=A","Fill=B",CONCATENATE("FX=", $B$1127) )</f>
        <v/>
      </c>
      <c r="K1973" t="str">
        <f>""</f>
        <v/>
      </c>
      <c r="L1973" t="str">
        <f>""</f>
        <v/>
      </c>
      <c r="M1973" t="str">
        <f>""</f>
        <v/>
      </c>
      <c r="N1973" t="str">
        <f>""</f>
        <v/>
      </c>
      <c r="O1973" t="str">
        <f>""</f>
        <v/>
      </c>
    </row>
    <row r="1974" spans="1:15" x14ac:dyDescent="0.25">
      <c r="A1974" t="str">
        <f>$A$890</f>
        <v xml:space="preserve">                    Aurcana Silver Corp</v>
      </c>
      <c r="B1974" t="str">
        <f>$B$890</f>
        <v>AUN CN Equity</v>
      </c>
      <c r="C1974" t="str">
        <f>$C$890</f>
        <v>F0946</v>
      </c>
      <c r="D1974" t="str">
        <f>$D$890</f>
        <v>TOTAL_GHG_CO2_EMISSIONS</v>
      </c>
      <c r="E1974" t="str">
        <f>$E$890</f>
        <v>Dynamic</v>
      </c>
      <c r="F1974" t="str">
        <f ca="1">_xll.BDH($B$890,$C$890,$B$1130,$B$1131,CONCATENATE("Per=",$B$1128),"Dts=H","Dir=H",CONCATENATE("Points=",$B$1129),"Sort=R","Days=A","Fill=B",CONCATENATE("FX=", $B$1127) )</f>
        <v/>
      </c>
      <c r="K1974" t="str">
        <f>""</f>
        <v/>
      </c>
      <c r="L1974" t="str">
        <f>""</f>
        <v/>
      </c>
      <c r="M1974" t="str">
        <f>""</f>
        <v/>
      </c>
      <c r="N1974" t="str">
        <f>""</f>
        <v/>
      </c>
      <c r="O1974" t="str">
        <f>""</f>
        <v/>
      </c>
    </row>
    <row r="1975" spans="1:15" x14ac:dyDescent="0.25">
      <c r="A1975" t="str">
        <f>$A$891</f>
        <v xml:space="preserve">                    Bear Creek Mining Corp</v>
      </c>
      <c r="B1975" t="str">
        <f>$B$891</f>
        <v>BCM CN Equity</v>
      </c>
      <c r="C1975" t="str">
        <f>$C$891</f>
        <v>F0946</v>
      </c>
      <c r="D1975" t="str">
        <f>$D$891</f>
        <v>TOTAL_GHG_CO2_EMISSIONS</v>
      </c>
      <c r="E1975" t="str">
        <f>$E$891</f>
        <v>Dynamic</v>
      </c>
      <c r="F1975" t="str">
        <f ca="1">_xll.BDH($B$891,$C$891,$B$1130,$B$1131,CONCATENATE("Per=",$B$1128),"Dts=H","Dir=H",CONCATENATE("Points=",$B$1129),"Sort=R","Days=A","Fill=B",CONCATENATE("FX=", $B$1127) )</f>
        <v/>
      </c>
      <c r="K1975" t="str">
        <f>""</f>
        <v/>
      </c>
      <c r="L1975" t="str">
        <f>""</f>
        <v/>
      </c>
      <c r="M1975" t="str">
        <f>""</f>
        <v/>
      </c>
      <c r="N1975" t="str">
        <f>""</f>
        <v/>
      </c>
      <c r="O1975" t="str">
        <f>""</f>
        <v/>
      </c>
    </row>
    <row r="1976" spans="1:15" x14ac:dyDescent="0.25">
      <c r="A1976" t="str">
        <f>$A$892</f>
        <v xml:space="preserve">                    Coeur Mining Inc</v>
      </c>
      <c r="B1976" t="str">
        <f>$B$892</f>
        <v>CDE US Equity</v>
      </c>
      <c r="C1976" t="str">
        <f>$C$892</f>
        <v>F0946</v>
      </c>
      <c r="D1976" t="str">
        <f>$D$892</f>
        <v>TOTAL_GHG_CO2_EMISSIONS</v>
      </c>
      <c r="E1976" t="str">
        <f>$E$892</f>
        <v>Dynamic</v>
      </c>
      <c r="F1976">
        <f ca="1">_xll.BDH($B$892,$C$892,$B$1130,$B$1131,CONCATENATE("Per=",$B$1128),"Dts=H","Dir=H",CONCATENATE("Points=",$B$1129),"Sort=R","Days=A","Fill=B",CONCATENATE("FX=", $B$1127),"cols=5;rows=1")</f>
        <v>0.30020000000000002</v>
      </c>
      <c r="G1976">
        <v>0.29930000000000001</v>
      </c>
      <c r="H1976">
        <v>0.2888</v>
      </c>
      <c r="I1976">
        <v>0.2833</v>
      </c>
      <c r="J1976">
        <v>0.2409</v>
      </c>
      <c r="K1976" t="str">
        <f>""</f>
        <v/>
      </c>
      <c r="L1976" t="str">
        <f>""</f>
        <v/>
      </c>
      <c r="M1976" t="str">
        <f>""</f>
        <v/>
      </c>
      <c r="N1976" t="str">
        <f>""</f>
        <v/>
      </c>
      <c r="O1976" t="str">
        <f>""</f>
        <v/>
      </c>
    </row>
    <row r="1977" spans="1:15" x14ac:dyDescent="0.25">
      <c r="A1977" t="str">
        <f>$A$893</f>
        <v xml:space="preserve">                    Endeavour Silver Corp</v>
      </c>
      <c r="B1977" t="str">
        <f>$B$893</f>
        <v>EDR CN Equity</v>
      </c>
      <c r="C1977" t="str">
        <f>$C$893</f>
        <v>F0946</v>
      </c>
      <c r="D1977" t="str">
        <f>$D$893</f>
        <v>TOTAL_GHG_CO2_EMISSIONS</v>
      </c>
      <c r="E1977" t="str">
        <f>$E$893</f>
        <v>Dynamic</v>
      </c>
      <c r="F1977">
        <f ca="1">_xll.BDH($B$893,$C$893,$B$1130,$B$1131,CONCATENATE("Per=",$B$1128),"Dts=H","Dir=H",CONCATENATE("Points=",$B$1129),"Sort=R","Days=A","Fill=B",CONCATENATE("FX=", $B$1127),"cols=5;rows=1")</f>
        <v>5.4600000000000003E-2</v>
      </c>
      <c r="G1977">
        <v>5.0299999999999997E-2</v>
      </c>
      <c r="H1977">
        <v>4.8500000000000001E-2</v>
      </c>
      <c r="I1977">
        <v>7.3899999999999993E-2</v>
      </c>
      <c r="J1977">
        <v>8.6099999999999996E-2</v>
      </c>
      <c r="K1977" t="str">
        <f>""</f>
        <v/>
      </c>
      <c r="L1977" t="str">
        <f>""</f>
        <v/>
      </c>
      <c r="M1977" t="str">
        <f>""</f>
        <v/>
      </c>
      <c r="N1977" t="str">
        <f>""</f>
        <v/>
      </c>
      <c r="O1977" t="str">
        <f>""</f>
        <v/>
      </c>
    </row>
    <row r="1978" spans="1:15" x14ac:dyDescent="0.25">
      <c r="A1978" t="str">
        <f>$A$894</f>
        <v xml:space="preserve">                    Excellon Resources Inc</v>
      </c>
      <c r="B1978" t="str">
        <f>$B$894</f>
        <v>EXN CN Equity</v>
      </c>
      <c r="C1978" t="str">
        <f>$C$894</f>
        <v>F0946</v>
      </c>
      <c r="D1978" t="str">
        <f>$D$894</f>
        <v>TOTAL_GHG_CO2_EMISSIONS</v>
      </c>
      <c r="E1978" t="str">
        <f>$E$894</f>
        <v>Dynamic</v>
      </c>
      <c r="F1978" t="str">
        <f ca="1">_xll.BDH($B$894,$C$894,$B$1130,$B$1131,CONCATENATE("Per=",$B$1128),"Dts=H","Dir=H",CONCATENATE("Points=",$B$1129),"Sort=R","Days=A","Fill=B",CONCATENATE("FX=", $B$1127) )</f>
        <v/>
      </c>
      <c r="K1978" t="str">
        <f>""</f>
        <v/>
      </c>
      <c r="L1978" t="str">
        <f>""</f>
        <v/>
      </c>
      <c r="M1978" t="str">
        <f>""</f>
        <v/>
      </c>
      <c r="N1978" t="str">
        <f>""</f>
        <v/>
      </c>
      <c r="O1978" t="str">
        <f>""</f>
        <v/>
      </c>
    </row>
    <row r="1979" spans="1:15" x14ac:dyDescent="0.25">
      <c r="A1979" t="str">
        <f>$A$895</f>
        <v xml:space="preserve">                    First Majestic Silver Corp</v>
      </c>
      <c r="B1979" t="str">
        <f>$B$895</f>
        <v>FR CN Equity</v>
      </c>
      <c r="C1979" t="str">
        <f>$C$895</f>
        <v>F0946</v>
      </c>
      <c r="D1979" t="str">
        <f>$D$895</f>
        <v>TOTAL_GHG_CO2_EMISSIONS</v>
      </c>
      <c r="E1979" t="str">
        <f>$E$895</f>
        <v>Dynamic</v>
      </c>
      <c r="F1979" t="str">
        <f ca="1">_xll.BDH($B$895,$C$895,$B$1130,$B$1131,CONCATENATE("Per=",$B$1128),"Dts=H","Dir=H",CONCATENATE("Points=",$B$1129),"Sort=R","Days=A","Fill=B",CONCATENATE("FX=", $B$1127),"cols=5;rows=1")</f>
        <v/>
      </c>
      <c r="G1979">
        <v>8.4199999999999997E-2</v>
      </c>
      <c r="H1979">
        <v>8.0699999999999994E-2</v>
      </c>
      <c r="I1979">
        <v>0.1207</v>
      </c>
      <c r="K1979" t="str">
        <f>""</f>
        <v/>
      </c>
      <c r="L1979" t="str">
        <f>""</f>
        <v/>
      </c>
      <c r="M1979" t="str">
        <f>""</f>
        <v/>
      </c>
      <c r="N1979" t="str">
        <f>""</f>
        <v/>
      </c>
      <c r="O1979" t="str">
        <f>""</f>
        <v/>
      </c>
    </row>
    <row r="1980" spans="1:15" x14ac:dyDescent="0.25">
      <c r="A1980" t="str">
        <f>$A$896</f>
        <v xml:space="preserve">                    Fortuna Silver Mines Inc</v>
      </c>
      <c r="B1980" t="str">
        <f>$B$896</f>
        <v>FVI CN Equity</v>
      </c>
      <c r="C1980" t="str">
        <f>$C$896</f>
        <v>F0946</v>
      </c>
      <c r="D1980" t="str">
        <f>$D$896</f>
        <v>TOTAL_GHG_CO2_EMISSIONS</v>
      </c>
      <c r="E1980" t="str">
        <f>$E$896</f>
        <v>Dynamic</v>
      </c>
      <c r="F1980" t="str">
        <f ca="1">_xll.BDH($B$896,$C$896,$B$1130,$B$1131,CONCATENATE("Per=",$B$1128),"Dts=H","Dir=H",CONCATENATE("Points=",$B$1129),"Sort=R","Days=A","Fill=B",CONCATENATE("FX=", $B$1127),"cols=5;rows=1")</f>
        <v/>
      </c>
      <c r="G1980">
        <v>0.1522</v>
      </c>
      <c r="H1980">
        <v>7.0999999999999994E-2</v>
      </c>
      <c r="I1980">
        <v>7.5600000000000001E-2</v>
      </c>
      <c r="J1980">
        <v>8.0299999999999996E-2</v>
      </c>
      <c r="K1980" t="str">
        <f>""</f>
        <v/>
      </c>
      <c r="L1980" t="str">
        <f>""</f>
        <v/>
      </c>
      <c r="M1980" t="str">
        <f>""</f>
        <v/>
      </c>
      <c r="N1980" t="str">
        <f>""</f>
        <v/>
      </c>
      <c r="O1980" t="str">
        <f>""</f>
        <v/>
      </c>
    </row>
    <row r="1981" spans="1:15" x14ac:dyDescent="0.25">
      <c r="A1981" t="str">
        <f>$A$897</f>
        <v xml:space="preserve">                    Fresnillo PLC</v>
      </c>
      <c r="B1981" t="str">
        <f>$B$897</f>
        <v>FRES LN Equity</v>
      </c>
      <c r="C1981" t="str">
        <f>$C$897</f>
        <v>F0946</v>
      </c>
      <c r="D1981" t="str">
        <f>$D$897</f>
        <v>TOTAL_GHG_CO2_EMISSIONS</v>
      </c>
      <c r="E1981" t="str">
        <f>$E$897</f>
        <v>Dynamic</v>
      </c>
      <c r="F1981">
        <f ca="1">_xll.BDH($B$897,$C$897,$B$1130,$B$1131,CONCATENATE("Per=",$B$1128),"Dts=H","Dir=H",CONCATENATE("Points=",$B$1129),"Sort=R","Days=A","Fill=B",CONCATENATE("FX=", $B$1127),"cols=5;rows=1")</f>
        <v>0.96109999999999995</v>
      </c>
      <c r="G1981">
        <v>0.89890000000000003</v>
      </c>
      <c r="H1981">
        <v>0.84150000000000003</v>
      </c>
      <c r="I1981">
        <v>0.84850000000000003</v>
      </c>
      <c r="J1981">
        <v>0.81710000000000005</v>
      </c>
      <c r="K1981" t="str">
        <f>""</f>
        <v/>
      </c>
      <c r="L1981" t="str">
        <f>""</f>
        <v/>
      </c>
      <c r="M1981" t="str">
        <f>""</f>
        <v/>
      </c>
      <c r="N1981" t="str">
        <f>""</f>
        <v/>
      </c>
      <c r="O1981" t="str">
        <f>""</f>
        <v/>
      </c>
    </row>
    <row r="1982" spans="1:15" x14ac:dyDescent="0.25">
      <c r="A1982" t="str">
        <f>$A$898</f>
        <v xml:space="preserve">                    Golden Minerals Co</v>
      </c>
      <c r="B1982" t="str">
        <f>$B$898</f>
        <v>AUMN US Equity</v>
      </c>
      <c r="C1982" t="str">
        <f>$C$898</f>
        <v>F0946</v>
      </c>
      <c r="D1982" t="str">
        <f>$D$898</f>
        <v>TOTAL_GHG_CO2_EMISSIONS</v>
      </c>
      <c r="E1982" t="str">
        <f>$E$898</f>
        <v>Dynamic</v>
      </c>
      <c r="F1982" t="str">
        <f ca="1">_xll.BDH($B$898,$C$898,$B$1130,$B$1131,CONCATENATE("Per=",$B$1128),"Dts=H","Dir=H",CONCATENATE("Points=",$B$1129),"Sort=R","Days=A","Fill=B",CONCATENATE("FX=", $B$1127) )</f>
        <v/>
      </c>
      <c r="K1982" t="str">
        <f>""</f>
        <v/>
      </c>
      <c r="L1982" t="str">
        <f>""</f>
        <v/>
      </c>
      <c r="M1982" t="str">
        <f>""</f>
        <v/>
      </c>
      <c r="N1982" t="str">
        <f>""</f>
        <v/>
      </c>
      <c r="O1982" t="str">
        <f>""</f>
        <v/>
      </c>
    </row>
    <row r="1983" spans="1:15" x14ac:dyDescent="0.25">
      <c r="A1983" t="str">
        <f>$A$899</f>
        <v xml:space="preserve">                    Hochschild Mining PLC</v>
      </c>
      <c r="B1983" t="str">
        <f>$B$899</f>
        <v>HOC LN Equity</v>
      </c>
      <c r="C1983" t="str">
        <f>$C$899</f>
        <v>F0946</v>
      </c>
      <c r="D1983" t="str">
        <f>$D$899</f>
        <v>TOTAL_GHG_CO2_EMISSIONS</v>
      </c>
      <c r="E1983" t="str">
        <f>$E$899</f>
        <v>Dynamic</v>
      </c>
      <c r="F1983">
        <f ca="1">_xll.BDH($B$899,$C$899,$B$1130,$B$1131,CONCATENATE("Per=",$B$1128),"Dts=H","Dir=H",CONCATENATE("Points=",$B$1129),"Sort=R","Days=A","Fill=B",CONCATENATE("FX=", $B$1127),"cols=5;rows=1")</f>
        <v>0.1113</v>
      </c>
      <c r="G1983">
        <v>0.1046</v>
      </c>
      <c r="H1983">
        <v>9.9000000000000005E-2</v>
      </c>
      <c r="I1983">
        <v>0.1222</v>
      </c>
      <c r="J1983">
        <v>0.1295</v>
      </c>
      <c r="K1983" t="str">
        <f>""</f>
        <v/>
      </c>
      <c r="L1983" t="str">
        <f>""</f>
        <v/>
      </c>
      <c r="M1983" t="str">
        <f>""</f>
        <v/>
      </c>
      <c r="N1983" t="str">
        <f>""</f>
        <v/>
      </c>
      <c r="O1983" t="str">
        <f>""</f>
        <v/>
      </c>
    </row>
    <row r="1984" spans="1:15" x14ac:dyDescent="0.25">
      <c r="A1984" t="str">
        <f>$A$900</f>
        <v xml:space="preserve">                    Hecla Mining Co</v>
      </c>
      <c r="B1984" t="str">
        <f>$B$900</f>
        <v>HL US Equity</v>
      </c>
      <c r="C1984" t="str">
        <f>$C$900</f>
        <v>F0946</v>
      </c>
      <c r="D1984" t="str">
        <f>$D$900</f>
        <v>TOTAL_GHG_CO2_EMISSIONS</v>
      </c>
      <c r="E1984" t="str">
        <f>$E$900</f>
        <v>Dynamic</v>
      </c>
      <c r="F1984">
        <f ca="1">_xll.BDH($B$900,$C$900,$B$1130,$B$1131,CONCATENATE("Per=",$B$1128),"Dts=H","Dir=H",CONCATENATE("Points=",$B$1129),"Sort=R","Days=A","Fill=B",CONCATENATE("FX=", $B$1127),"cols=5;rows=1")</f>
        <v>9.0999999999999998E-2</v>
      </c>
      <c r="G1984">
        <v>7.4999999999999997E-2</v>
      </c>
      <c r="H1984">
        <v>7.5600000000000001E-2</v>
      </c>
      <c r="I1984">
        <v>0.1343</v>
      </c>
      <c r="K1984" t="str">
        <f>""</f>
        <v/>
      </c>
      <c r="L1984" t="str">
        <f>""</f>
        <v/>
      </c>
      <c r="M1984" t="str">
        <f>""</f>
        <v/>
      </c>
      <c r="N1984" t="str">
        <f>""</f>
        <v/>
      </c>
      <c r="O1984" t="str">
        <f>""</f>
        <v/>
      </c>
    </row>
    <row r="1985" spans="1:15" x14ac:dyDescent="0.25">
      <c r="A1985" t="str">
        <f>$A$901</f>
        <v xml:space="preserve">                    MAG Silver Corp</v>
      </c>
      <c r="B1985" t="str">
        <f>$B$901</f>
        <v>MAG CN Equity</v>
      </c>
      <c r="C1985" t="str">
        <f>$C$901</f>
        <v>F0946</v>
      </c>
      <c r="D1985" t="str">
        <f>$D$901</f>
        <v>TOTAL_GHG_CO2_EMISSIONS</v>
      </c>
      <c r="E1985" t="str">
        <f>$E$901</f>
        <v>Dynamic</v>
      </c>
      <c r="F1985" t="str">
        <f ca="1">_xll.BDH($B$901,$C$901,$B$1130,$B$1131,CONCATENATE("Per=",$B$1128),"Dts=H","Dir=H",CONCATENATE("Points=",$B$1129),"Sort=R","Days=A","Fill=B",CONCATENATE("FX=", $B$1127) )</f>
        <v/>
      </c>
      <c r="K1985" t="str">
        <f>""</f>
        <v/>
      </c>
      <c r="L1985" t="str">
        <f>""</f>
        <v/>
      </c>
      <c r="M1985" t="str">
        <f>""</f>
        <v/>
      </c>
      <c r="N1985" t="str">
        <f>""</f>
        <v/>
      </c>
      <c r="O1985" t="str">
        <f>""</f>
        <v/>
      </c>
    </row>
    <row r="1986" spans="1:15" x14ac:dyDescent="0.25">
      <c r="A1986" t="str">
        <f>$A$902</f>
        <v xml:space="preserve">                    McEwen Mining Inc</v>
      </c>
      <c r="B1986" t="str">
        <f>$B$902</f>
        <v>MUX US Equity</v>
      </c>
      <c r="C1986" t="str">
        <f>$C$902</f>
        <v>F0946</v>
      </c>
      <c r="D1986" t="str">
        <f>$D$902</f>
        <v>TOTAL_GHG_CO2_EMISSIONS</v>
      </c>
      <c r="E1986" t="str">
        <f>$E$902</f>
        <v>Dynamic</v>
      </c>
      <c r="F1986" t="str">
        <f ca="1">_xll.BDH($B$902,$C$902,$B$1130,$B$1131,CONCATENATE("Per=",$B$1128),"Dts=H","Dir=H",CONCATENATE("Points=",$B$1129),"Sort=R","Days=A","Fill=B",CONCATENATE("FX=", $B$1127) )</f>
        <v/>
      </c>
      <c r="K1986" t="str">
        <f>""</f>
        <v/>
      </c>
      <c r="L1986" t="str">
        <f>""</f>
        <v/>
      </c>
      <c r="M1986" t="str">
        <f>""</f>
        <v/>
      </c>
      <c r="N1986" t="str">
        <f>""</f>
        <v/>
      </c>
      <c r="O1986" t="str">
        <f>""</f>
        <v/>
      </c>
    </row>
    <row r="1987" spans="1:15" x14ac:dyDescent="0.25">
      <c r="A1987" t="str">
        <f>$A$903</f>
        <v xml:space="preserve">                    Minco Silver Corp</v>
      </c>
      <c r="B1987" t="str">
        <f>$B$903</f>
        <v>MSV CN Equity</v>
      </c>
      <c r="C1987" t="str">
        <f>$C$903</f>
        <v>F0946</v>
      </c>
      <c r="D1987" t="str">
        <f>$D$903</f>
        <v>TOTAL_GHG_CO2_EMISSIONS</v>
      </c>
      <c r="E1987" t="str">
        <f>$E$903</f>
        <v>Dynamic</v>
      </c>
      <c r="F1987" t="str">
        <f ca="1">_xll.BDH($B$903,$C$903,$B$1130,$B$1131,CONCATENATE("Per=",$B$1128),"Dts=H","Dir=H",CONCATENATE("Points=",$B$1129),"Sort=R","Days=A","Fill=B",CONCATENATE("FX=", $B$1127) )</f>
        <v/>
      </c>
      <c r="K1987" t="str">
        <f>""</f>
        <v/>
      </c>
      <c r="L1987" t="str">
        <f>""</f>
        <v/>
      </c>
      <c r="M1987" t="str">
        <f>""</f>
        <v/>
      </c>
      <c r="N1987" t="str">
        <f>""</f>
        <v/>
      </c>
      <c r="O1987" t="str">
        <f>""</f>
        <v/>
      </c>
    </row>
    <row r="1988" spans="1:15" x14ac:dyDescent="0.25">
      <c r="A1988" t="str">
        <f>$A$904</f>
        <v xml:space="preserve">                    Pan American Silver Corp</v>
      </c>
      <c r="B1988" t="str">
        <f>$B$904</f>
        <v>PAAS CN Equity</v>
      </c>
      <c r="C1988" t="str">
        <f>$C$904</f>
        <v>F0946</v>
      </c>
      <c r="D1988" t="str">
        <f>$D$904</f>
        <v>TOTAL_GHG_CO2_EMISSIONS</v>
      </c>
      <c r="E1988" t="str">
        <f>$E$904</f>
        <v>Dynamic</v>
      </c>
      <c r="F1988">
        <f ca="1">_xll.BDH($B$904,$C$904,$B$1130,$B$1131,CONCATENATE("Per=",$B$1128),"Dts=H","Dir=H",CONCATENATE("Points=",$B$1129),"Sort=R","Days=A","Fill=B",CONCATENATE("FX=", $B$1127),"cols=5;rows=1")</f>
        <v>0.39419999999999999</v>
      </c>
      <c r="G1988">
        <v>0.40210000000000001</v>
      </c>
      <c r="H1988">
        <v>0.38250000000000001</v>
      </c>
      <c r="I1988">
        <v>0.4506</v>
      </c>
      <c r="J1988">
        <v>0.28849999999999998</v>
      </c>
      <c r="K1988" t="str">
        <f>""</f>
        <v/>
      </c>
      <c r="L1988" t="str">
        <f>""</f>
        <v/>
      </c>
      <c r="M1988" t="str">
        <f>""</f>
        <v/>
      </c>
      <c r="N1988" t="str">
        <f>""</f>
        <v/>
      </c>
      <c r="O1988" t="str">
        <f>""</f>
        <v/>
      </c>
    </row>
    <row r="1989" spans="1:15" x14ac:dyDescent="0.25">
      <c r="A1989" t="str">
        <f>$A$905</f>
        <v xml:space="preserve">                    Silvercorp Metals Inc</v>
      </c>
      <c r="B1989" t="str">
        <f>$B$905</f>
        <v>SVM CN Equity</v>
      </c>
      <c r="C1989" t="str">
        <f>$C$905</f>
        <v>F0946</v>
      </c>
      <c r="D1989" t="str">
        <f>$D$905</f>
        <v>TOTAL_GHG_CO2_EMISSIONS</v>
      </c>
      <c r="E1989" t="str">
        <f>$E$905</f>
        <v>Dynamic</v>
      </c>
      <c r="F1989" t="str">
        <f ca="1">_xll.BDH($B$905,$C$905,$B$1130,$B$1131,CONCATENATE("Per=",$B$1128),"Dts=H","Dir=H",CONCATENATE("Points=",$B$1129),"Sort=R","Days=A","Fill=B",CONCATENATE("FX=", $B$1127),"cols=5;rows=1")</f>
        <v/>
      </c>
      <c r="G1989">
        <v>6.54E-2</v>
      </c>
      <c r="H1989">
        <v>6.4899999999999999E-2</v>
      </c>
      <c r="I1989">
        <v>8.4699999999999998E-2</v>
      </c>
      <c r="J1989">
        <v>8.2699999999999996E-2</v>
      </c>
      <c r="K1989" t="str">
        <f>""</f>
        <v/>
      </c>
      <c r="L1989" t="str">
        <f>""</f>
        <v/>
      </c>
      <c r="M1989" t="str">
        <f>""</f>
        <v/>
      </c>
      <c r="N1989" t="str">
        <f>""</f>
        <v/>
      </c>
      <c r="O1989" t="str">
        <f>""</f>
        <v/>
      </c>
    </row>
    <row r="1990" spans="1:15" x14ac:dyDescent="0.25">
      <c r="A1990" t="str">
        <f>$A$906</f>
        <v xml:space="preserve">                    Societe Metallurgique D'imiter</v>
      </c>
      <c r="B1990" t="str">
        <f>$B$906</f>
        <v>SMI MC Equity</v>
      </c>
      <c r="C1990" t="str">
        <f>$C$906</f>
        <v>F0946</v>
      </c>
      <c r="D1990" t="str">
        <f>$D$906</f>
        <v>TOTAL_GHG_CO2_EMISSIONS</v>
      </c>
      <c r="E1990" t="str">
        <f>$E$906</f>
        <v>Dynamic</v>
      </c>
      <c r="F1990" t="str">
        <f ca="1">_xll.BDH($B$906,$C$906,$B$1130,$B$1131,CONCATENATE("Per=",$B$1128),"Dts=H","Dir=H",CONCATENATE("Points=",$B$1129),"Sort=R","Days=A","Fill=B",CONCATENATE("FX=", $B$1127) )</f>
        <v/>
      </c>
      <c r="K1990" t="str">
        <f>""</f>
        <v/>
      </c>
      <c r="L1990" t="str">
        <f>""</f>
        <v/>
      </c>
      <c r="M1990" t="str">
        <f>""</f>
        <v/>
      </c>
      <c r="N1990" t="str">
        <f>""</f>
        <v/>
      </c>
      <c r="O1990" t="str">
        <f>""</f>
        <v/>
      </c>
    </row>
    <row r="1991" spans="1:15" x14ac:dyDescent="0.25">
      <c r="A1991" t="str">
        <f>$A$907</f>
        <v xml:space="preserve">                    SSR Mining Inc</v>
      </c>
      <c r="B1991" t="str">
        <f>$B$907</f>
        <v>SSRM CN Equity</v>
      </c>
      <c r="C1991" t="str">
        <f>$C$907</f>
        <v>F0946</v>
      </c>
      <c r="D1991" t="str">
        <f>$D$907</f>
        <v>TOTAL_GHG_CO2_EMISSIONS</v>
      </c>
      <c r="E1991" t="str">
        <f>$E$907</f>
        <v>Dynamic</v>
      </c>
      <c r="F1991">
        <f ca="1">_xll.BDH($B$907,$C$907,$B$1130,$B$1131,CONCATENATE("Per=",$B$1128),"Dts=H","Dir=H",CONCATENATE("Points=",$B$1129),"Sort=R","Days=A","Fill=B",CONCATENATE("FX=", $B$1127),"cols=5;rows=1")</f>
        <v>0.40129999999999999</v>
      </c>
      <c r="G1991">
        <v>0.50349999999999995</v>
      </c>
      <c r="H1991">
        <v>0.46110000000000001</v>
      </c>
      <c r="I1991">
        <v>0.19370000000000001</v>
      </c>
      <c r="J1991">
        <v>0.21429999999999999</v>
      </c>
      <c r="K1991" t="str">
        <f>""</f>
        <v/>
      </c>
      <c r="L1991" t="str">
        <f>""</f>
        <v/>
      </c>
      <c r="M1991" t="str">
        <f>""</f>
        <v/>
      </c>
      <c r="N1991" t="str">
        <f>""</f>
        <v/>
      </c>
      <c r="O1991" t="str">
        <f>""</f>
        <v/>
      </c>
    </row>
    <row r="1992" spans="1:15" x14ac:dyDescent="0.25">
      <c r="A1992" t="str">
        <f>$A$908</f>
        <v xml:space="preserve">                    Troilus Gold Corp</v>
      </c>
      <c r="B1992" t="str">
        <f>$B$908</f>
        <v>TLG CN Equity</v>
      </c>
      <c r="C1992" t="str">
        <f>$C$908</f>
        <v>F0946</v>
      </c>
      <c r="D1992" t="str">
        <f>$D$908</f>
        <v>TOTAL_GHG_CO2_EMISSIONS</v>
      </c>
      <c r="E1992" t="str">
        <f>$E$908</f>
        <v>Dynamic</v>
      </c>
      <c r="F1992" t="str">
        <f ca="1">_xll.BDH($B$908,$C$908,$B$1130,$B$1131,CONCATENATE("Per=",$B$1128),"Dts=H","Dir=H",CONCATENATE("Points=",$B$1129),"Sort=R","Days=A","Fill=B",CONCATENATE("FX=", $B$1127) )</f>
        <v/>
      </c>
      <c r="K1992" t="str">
        <f>""</f>
        <v/>
      </c>
      <c r="L1992" t="str">
        <f>""</f>
        <v/>
      </c>
      <c r="M1992" t="str">
        <f>""</f>
        <v/>
      </c>
      <c r="N1992" t="str">
        <f>""</f>
        <v/>
      </c>
      <c r="O1992" t="str">
        <f>""</f>
        <v/>
      </c>
    </row>
    <row r="1993" spans="1:15" x14ac:dyDescent="0.25">
      <c r="A1993" t="str">
        <f>$A$909</f>
        <v xml:space="preserve">                    Wheaton Precious Metals Corp</v>
      </c>
      <c r="B1993" t="str">
        <f>$B$909</f>
        <v>WPM CN Equity</v>
      </c>
      <c r="C1993" t="str">
        <f>$C$909</f>
        <v>F0946</v>
      </c>
      <c r="D1993" t="str">
        <f>$D$909</f>
        <v>TOTAL_GHG_CO2_EMISSIONS</v>
      </c>
      <c r="E1993" t="str">
        <f>$E$909</f>
        <v>Dynamic</v>
      </c>
      <c r="F1993">
        <f ca="1">_xll.BDH($B$909,$C$909,$B$1130,$B$1131,CONCATENATE("Per=",$B$1128),"Dts=H","Dir=H",CONCATENATE("Points=",$B$1129),"Sort=R","Days=A","Fill=B",CONCATENATE("FX=", $B$1127),"cols=5;rows=1")</f>
        <v>0</v>
      </c>
      <c r="G1993">
        <v>0</v>
      </c>
      <c r="H1993">
        <v>0</v>
      </c>
      <c r="I1993">
        <v>0</v>
      </c>
      <c r="J1993">
        <v>0</v>
      </c>
      <c r="K1993" t="str">
        <f>""</f>
        <v/>
      </c>
      <c r="L1993" t="str">
        <f>""</f>
        <v/>
      </c>
      <c r="M1993" t="str">
        <f>""</f>
        <v/>
      </c>
      <c r="N1993" t="str">
        <f>""</f>
        <v/>
      </c>
      <c r="O1993" t="str">
        <f>""</f>
        <v/>
      </c>
    </row>
    <row r="1994" spans="1:15" x14ac:dyDescent="0.25">
      <c r="A1994" t="str">
        <f>$A$911</f>
        <v xml:space="preserve">                    African Rainbow Minerals Ltd</v>
      </c>
      <c r="B1994" t="str">
        <f>$B$911</f>
        <v>ARI SJ Equity</v>
      </c>
      <c r="C1994" t="str">
        <f>$C$911</f>
        <v>F0946</v>
      </c>
      <c r="D1994" t="str">
        <f>$D$911</f>
        <v>TOTAL_GHG_CO2_EMISSIONS</v>
      </c>
      <c r="E1994" t="str">
        <f>$E$911</f>
        <v>Dynamic</v>
      </c>
      <c r="F1994" t="str">
        <f ca="1">_xll.BDH($B$911,$C$911,$B$1130,$B$1131,CONCATENATE("Per=",$B$1128),"Dts=H","Dir=H",CONCATENATE("Points=",$B$1129),"Sort=R","Days=A","Fill=B",CONCATENATE("FX=", $B$1127),"cols=5;rows=1")</f>
        <v/>
      </c>
      <c r="G1994">
        <v>1.8794999999999999</v>
      </c>
      <c r="H1994">
        <v>0.99580000000000002</v>
      </c>
      <c r="I1994">
        <v>1.0163</v>
      </c>
      <c r="J1994">
        <v>1.1014999999999999</v>
      </c>
      <c r="K1994" t="str">
        <f>""</f>
        <v/>
      </c>
      <c r="L1994" t="str">
        <f>""</f>
        <v/>
      </c>
      <c r="M1994" t="str">
        <f>""</f>
        <v/>
      </c>
      <c r="N1994" t="str">
        <f>""</f>
        <v/>
      </c>
      <c r="O1994" t="str">
        <f>""</f>
        <v/>
      </c>
    </row>
    <row r="1995" spans="1:15" x14ac:dyDescent="0.25">
      <c r="A1995" t="str">
        <f>$A$912</f>
        <v xml:space="preserve">                    Anglo American PLC</v>
      </c>
      <c r="B1995" t="str">
        <f>$B$912</f>
        <v>AAL LN Equity</v>
      </c>
      <c r="C1995" t="str">
        <f>$C$912</f>
        <v>F0946</v>
      </c>
      <c r="D1995" t="str">
        <f>$D$912</f>
        <v>TOTAL_GHG_CO2_EMISSIONS</v>
      </c>
      <c r="E1995" t="str">
        <f>$E$912</f>
        <v>Dynamic</v>
      </c>
      <c r="F1995">
        <f ca="1">_xll.BDH($B$912,$C$912,$B$1130,$B$1131,CONCATENATE("Per=",$B$1128),"Dts=H","Dir=H",CONCATENATE("Points=",$B$1129),"Sort=R","Days=A","Fill=B",CONCATENATE("FX=", $B$1127),"cols=5;rows=1")</f>
        <v>13.3</v>
      </c>
      <c r="G1995">
        <v>14.76</v>
      </c>
      <c r="H1995">
        <v>16.079999999999998</v>
      </c>
      <c r="I1995">
        <v>17.8</v>
      </c>
      <c r="J1995">
        <v>16.2</v>
      </c>
      <c r="K1995" t="str">
        <f>""</f>
        <v/>
      </c>
      <c r="L1995" t="str">
        <f>""</f>
        <v/>
      </c>
      <c r="M1995" t="str">
        <f>""</f>
        <v/>
      </c>
      <c r="N1995" t="str">
        <f>""</f>
        <v/>
      </c>
      <c r="O1995" t="str">
        <f>""</f>
        <v/>
      </c>
    </row>
    <row r="1996" spans="1:15" x14ac:dyDescent="0.25">
      <c r="A1996" t="str">
        <f>$A$913</f>
        <v xml:space="preserve">                    Anglo American Platinum Ltd</v>
      </c>
      <c r="B1996" t="str">
        <f>$B$913</f>
        <v>AMS SJ Equity</v>
      </c>
      <c r="C1996" t="str">
        <f>$C$913</f>
        <v>F0946</v>
      </c>
      <c r="D1996" t="str">
        <f>$D$913</f>
        <v>TOTAL_GHG_CO2_EMISSIONS</v>
      </c>
      <c r="E1996" t="str">
        <f>$E$913</f>
        <v>Dynamic</v>
      </c>
      <c r="F1996">
        <f ca="1">_xll.BDH($B$913,$C$913,$B$1130,$B$1131,CONCATENATE("Per=",$B$1128),"Dts=H","Dir=H",CONCATENATE("Points=",$B$1129),"Sort=R","Days=A","Fill=B",CONCATENATE("FX=", $B$1127),"cols=5;rows=1")</f>
        <v>4.0860000000000003</v>
      </c>
      <c r="G1996">
        <v>4.5220000000000002</v>
      </c>
      <c r="H1996">
        <v>3.9420000000000002</v>
      </c>
      <c r="I1996">
        <v>4.4355000000000002</v>
      </c>
      <c r="J1996">
        <v>4.1180000000000003</v>
      </c>
      <c r="K1996" t="str">
        <f>""</f>
        <v/>
      </c>
      <c r="L1996" t="str">
        <f>""</f>
        <v/>
      </c>
      <c r="M1996" t="str">
        <f>""</f>
        <v/>
      </c>
      <c r="N1996" t="str">
        <f>""</f>
        <v/>
      </c>
      <c r="O1996" t="str">
        <f>""</f>
        <v/>
      </c>
    </row>
    <row r="1997" spans="1:15" x14ac:dyDescent="0.25">
      <c r="A1997" t="str">
        <f>$A$914</f>
        <v xml:space="preserve">                    Eastern Platinum Ltd</v>
      </c>
      <c r="B1997" t="str">
        <f>$B$914</f>
        <v>ELR CN Equity</v>
      </c>
      <c r="C1997" t="str">
        <f>$C$914</f>
        <v>F0946</v>
      </c>
      <c r="D1997" t="str">
        <f>$D$914</f>
        <v>TOTAL_GHG_CO2_EMISSIONS</v>
      </c>
      <c r="E1997" t="str">
        <f>$E$914</f>
        <v>Dynamic</v>
      </c>
      <c r="F1997" t="str">
        <f ca="1">_xll.BDH($B$914,$C$914,$B$1130,$B$1131,CONCATENATE("Per=",$B$1128),"Dts=H","Dir=H",CONCATENATE("Points=",$B$1129),"Sort=R","Days=A","Fill=B",CONCATENATE("FX=", $B$1127) )</f>
        <v/>
      </c>
      <c r="K1997" t="str">
        <f>""</f>
        <v/>
      </c>
      <c r="L1997" t="str">
        <f>""</f>
        <v/>
      </c>
      <c r="M1997" t="str">
        <f>""</f>
        <v/>
      </c>
      <c r="N1997" t="str">
        <f>""</f>
        <v/>
      </c>
      <c r="O1997" t="str">
        <f>""</f>
        <v/>
      </c>
    </row>
    <row r="1998" spans="1:15" x14ac:dyDescent="0.25">
      <c r="A1998" t="str">
        <f>$A$915</f>
        <v xml:space="preserve">                    Impala Platinum Holdings Ltd</v>
      </c>
      <c r="B1998" t="str">
        <f>$B$915</f>
        <v>IMP SJ Equity</v>
      </c>
      <c r="C1998" t="str">
        <f>$C$915</f>
        <v>F0946</v>
      </c>
      <c r="D1998" t="str">
        <f>$D$915</f>
        <v>TOTAL_GHG_CO2_EMISSIONS</v>
      </c>
      <c r="E1998" t="str">
        <f>$E$915</f>
        <v>Dynamic</v>
      </c>
      <c r="F1998" t="str">
        <f ca="1">_xll.BDH($B$915,$C$915,$B$1130,$B$1131,CONCATENATE("Per=",$B$1128),"Dts=H","Dir=H",CONCATENATE("Points=",$B$1129),"Sort=R","Days=A","Fill=B",CONCATENATE("FX=", $B$1127),"cols=5;rows=1")</f>
        <v/>
      </c>
      <c r="G1998">
        <v>4.0709999999999997</v>
      </c>
      <c r="H1998">
        <v>4.1394000000000002</v>
      </c>
      <c r="I1998">
        <v>3.6448999999999998</v>
      </c>
      <c r="J1998">
        <v>3.8296999999999999</v>
      </c>
      <c r="K1998" t="str">
        <f>""</f>
        <v/>
      </c>
      <c r="L1998" t="str">
        <f>""</f>
        <v/>
      </c>
      <c r="M1998" t="str">
        <f>""</f>
        <v/>
      </c>
      <c r="N1998" t="str">
        <f>""</f>
        <v/>
      </c>
      <c r="O1998" t="str">
        <f>""</f>
        <v/>
      </c>
    </row>
    <row r="1999" spans="1:15" x14ac:dyDescent="0.25">
      <c r="A1999" t="str">
        <f>$A$916</f>
        <v xml:space="preserve">                    Jubilee Metals Group PLC</v>
      </c>
      <c r="B1999" t="str">
        <f>$B$916</f>
        <v>JLP LN Equity</v>
      </c>
      <c r="C1999" t="str">
        <f>$C$916</f>
        <v>F0946</v>
      </c>
      <c r="D1999" t="str">
        <f>$D$916</f>
        <v>TOTAL_GHG_CO2_EMISSIONS</v>
      </c>
      <c r="E1999" t="str">
        <f>$E$916</f>
        <v>Dynamic</v>
      </c>
      <c r="F1999" t="str">
        <f ca="1">_xll.BDH($B$916,$C$916,$B$1130,$B$1131,CONCATENATE("Per=",$B$1128),"Dts=H","Dir=H",CONCATENATE("Points=",$B$1129),"Sort=R","Days=A","Fill=B",CONCATENATE("FX=", $B$1127) )</f>
        <v/>
      </c>
      <c r="K1999" t="str">
        <f>""</f>
        <v/>
      </c>
      <c r="L1999" t="str">
        <f>""</f>
        <v/>
      </c>
      <c r="M1999" t="str">
        <f>""</f>
        <v/>
      </c>
      <c r="N1999" t="str">
        <f>""</f>
        <v/>
      </c>
      <c r="O1999" t="str">
        <f>""</f>
        <v/>
      </c>
    </row>
    <row r="2000" spans="1:15" x14ac:dyDescent="0.25">
      <c r="A2000" t="str">
        <f>$A$917</f>
        <v xml:space="preserve">                    MMC Norilsk Nickel PJSC</v>
      </c>
      <c r="B2000" t="str">
        <f>$B$917</f>
        <v>GMKN RM Equity</v>
      </c>
      <c r="C2000" t="str">
        <f>$C$917</f>
        <v>F0946</v>
      </c>
      <c r="D2000" t="str">
        <f>$D$917</f>
        <v>TOTAL_GHG_CO2_EMISSIONS</v>
      </c>
      <c r="E2000" t="str">
        <f>$E$917</f>
        <v>Dynamic</v>
      </c>
      <c r="F2000" t="str">
        <f ca="1">_xll.BDH($B$917,$C$917,$B$1130,$B$1131,CONCATENATE("Per=",$B$1128),"Dts=H","Dir=H",CONCATENATE("Points=",$B$1129),"Sort=R","Days=A","Fill=B",CONCATENATE("FX=", $B$1127),"cols=5;rows=1")</f>
        <v/>
      </c>
      <c r="G2000">
        <v>10.31</v>
      </c>
      <c r="H2000">
        <v>9.6986000000000008</v>
      </c>
      <c r="I2000">
        <v>9.9</v>
      </c>
      <c r="J2000">
        <v>10</v>
      </c>
      <c r="K2000" t="str">
        <f>""</f>
        <v/>
      </c>
      <c r="L2000" t="str">
        <f>""</f>
        <v/>
      </c>
      <c r="M2000" t="str">
        <f>""</f>
        <v/>
      </c>
      <c r="N2000" t="str">
        <f>""</f>
        <v/>
      </c>
      <c r="O2000" t="str">
        <f>""</f>
        <v/>
      </c>
    </row>
    <row r="2001" spans="1:15" x14ac:dyDescent="0.25">
      <c r="A2001" t="str">
        <f>$A$918</f>
        <v xml:space="preserve">                    PolyMet Mining Corp</v>
      </c>
      <c r="B2001" t="str">
        <f>$B$918</f>
        <v>POM CN Equity</v>
      </c>
      <c r="C2001" t="str">
        <f>$C$918</f>
        <v>F0946</v>
      </c>
      <c r="D2001" t="str">
        <f>$D$918</f>
        <v>TOTAL_GHG_CO2_EMISSIONS</v>
      </c>
      <c r="E2001" t="str">
        <f>$E$918</f>
        <v>Dynamic</v>
      </c>
      <c r="F2001" t="str">
        <f ca="1">_xll.BDH($B$918,$C$918,$B$1130,$B$1131,CONCATENATE("Per=",$B$1128),"Dts=H","Dir=H",CONCATENATE("Points=",$B$1129),"Sort=R","Days=A","Fill=B",CONCATENATE("FX=", $B$1127) )</f>
        <v/>
      </c>
      <c r="K2001" t="str">
        <f>""</f>
        <v/>
      </c>
      <c r="L2001" t="str">
        <f>""</f>
        <v/>
      </c>
      <c r="M2001" t="str">
        <f>""</f>
        <v/>
      </c>
      <c r="N2001" t="str">
        <f>""</f>
        <v/>
      </c>
      <c r="O2001" t="str">
        <f>""</f>
        <v/>
      </c>
    </row>
    <row r="2002" spans="1:15" x14ac:dyDescent="0.25">
      <c r="A2002" t="str">
        <f>$A$919</f>
        <v xml:space="preserve">                    Royal Bafokeng Platinum Ltd</v>
      </c>
      <c r="B2002" t="str">
        <f>$B$919</f>
        <v>RBP SJ Equity</v>
      </c>
      <c r="C2002" t="str">
        <f>$C$919</f>
        <v>F0946</v>
      </c>
      <c r="D2002" t="str">
        <f>$D$919</f>
        <v>TOTAL_GHG_CO2_EMISSIONS</v>
      </c>
      <c r="E2002" t="str">
        <f>$E$919</f>
        <v>Dynamic</v>
      </c>
      <c r="F2002">
        <f ca="1">_xll.BDH($B$919,$C$919,$B$1130,$B$1131,CONCATENATE("Per=",$B$1128),"Dts=H","Dir=H",CONCATENATE("Points=",$B$1129),"Sort=R","Days=A","Fill=B",CONCATENATE("FX=", $B$1127),"cols=5;rows=1")</f>
        <v>0.5575</v>
      </c>
      <c r="G2002">
        <v>0.51390000000000002</v>
      </c>
      <c r="H2002">
        <v>0.45029999999999998</v>
      </c>
      <c r="I2002">
        <v>0.42759999999999998</v>
      </c>
      <c r="J2002">
        <v>0.3417</v>
      </c>
      <c r="K2002" t="str">
        <f>""</f>
        <v/>
      </c>
      <c r="L2002" t="str">
        <f>""</f>
        <v/>
      </c>
      <c r="M2002" t="str">
        <f>""</f>
        <v/>
      </c>
      <c r="N2002" t="str">
        <f>""</f>
        <v/>
      </c>
      <c r="O2002" t="str">
        <f>""</f>
        <v/>
      </c>
    </row>
    <row r="2003" spans="1:15" x14ac:dyDescent="0.25">
      <c r="A2003" t="str">
        <f>$A$920</f>
        <v xml:space="preserve">                    Sibanye Stillwater Ltd</v>
      </c>
      <c r="B2003" t="str">
        <f>$B$920</f>
        <v>SSW SJ Equity</v>
      </c>
      <c r="C2003" t="str">
        <f>$C$920</f>
        <v>F0946</v>
      </c>
      <c r="D2003" t="str">
        <f>$D$920</f>
        <v>TOTAL_GHG_CO2_EMISSIONS</v>
      </c>
      <c r="E2003" t="str">
        <f>$E$920</f>
        <v>Dynamic</v>
      </c>
      <c r="F2003">
        <f ca="1">_xll.BDH($B$920,$C$920,$B$1130,$B$1131,CONCATENATE("Per=",$B$1128),"Dts=H","Dir=H",CONCATENATE("Points=",$B$1129),"Sort=R","Days=A","Fill=B",CONCATENATE("FX=", $B$1127),"cols=5;rows=1")</f>
        <v>6.6520000000000001</v>
      </c>
      <c r="G2003">
        <v>7.3018000000000001</v>
      </c>
      <c r="H2003">
        <v>7.0170000000000003</v>
      </c>
      <c r="I2003">
        <v>7.4080000000000004</v>
      </c>
      <c r="J2003">
        <v>5.6660000000000004</v>
      </c>
      <c r="K2003" t="str">
        <f>""</f>
        <v/>
      </c>
      <c r="L2003" t="str">
        <f>""</f>
        <v/>
      </c>
      <c r="M2003" t="str">
        <f>""</f>
        <v/>
      </c>
      <c r="N2003" t="str">
        <f>""</f>
        <v/>
      </c>
      <c r="O2003" t="str">
        <f>""</f>
        <v/>
      </c>
    </row>
    <row r="2004" spans="1:15" x14ac:dyDescent="0.25">
      <c r="A2004" t="str">
        <f>$A$921</f>
        <v xml:space="preserve">                    Wesizwe Platinum Ltd</v>
      </c>
      <c r="B2004" t="str">
        <f>$B$921</f>
        <v>WEZ SJ Equity</v>
      </c>
      <c r="C2004" t="str">
        <f>$C$921</f>
        <v>F0946</v>
      </c>
      <c r="D2004" t="str">
        <f>$D$921</f>
        <v>TOTAL_GHG_CO2_EMISSIONS</v>
      </c>
      <c r="E2004" t="str">
        <f>$E$921</f>
        <v>Dynamic</v>
      </c>
      <c r="F2004">
        <f ca="1">_xll.BDH($B$921,$C$921,$B$1130,$B$1131,CONCATENATE("Per=",$B$1128),"Dts=H","Dir=H",CONCATENATE("Points=",$B$1129),"Sort=R","Days=A","Fill=B",CONCATENATE("FX=", $B$1127),"cols=5;rows=1")</f>
        <v>4.9599999999999998E-2</v>
      </c>
      <c r="G2004">
        <v>4.5999999999999999E-2</v>
      </c>
      <c r="I2004">
        <v>0.20960000000000001</v>
      </c>
      <c r="J2004">
        <v>3.3700000000000001E-2</v>
      </c>
      <c r="K2004" t="str">
        <f>""</f>
        <v/>
      </c>
      <c r="L2004" t="str">
        <f>""</f>
        <v/>
      </c>
      <c r="M2004" t="str">
        <f>""</f>
        <v/>
      </c>
      <c r="N2004" t="str">
        <f>""</f>
        <v/>
      </c>
      <c r="O2004" t="str">
        <f>""</f>
        <v/>
      </c>
    </row>
    <row r="2005" spans="1:15" x14ac:dyDescent="0.25">
      <c r="A2005" t="str">
        <f>$A$922</f>
        <v xml:space="preserve">                    Zimplats Holdings Ltd</v>
      </c>
      <c r="B2005" t="str">
        <f>$B$922</f>
        <v>ZIM AU Equity</v>
      </c>
      <c r="C2005" t="str">
        <f>$C$922</f>
        <v>F0946</v>
      </c>
      <c r="D2005" t="str">
        <f>$D$922</f>
        <v>TOTAL_GHG_CO2_EMISSIONS</v>
      </c>
      <c r="E2005" t="str">
        <f>$E$922</f>
        <v>Dynamic</v>
      </c>
      <c r="F2005" t="str">
        <f ca="1">_xll.BDH($B$922,$C$922,$B$1130,$B$1131,CONCATENATE("Per=",$B$1128),"Dts=H","Dir=H",CONCATENATE("Points=",$B$1129),"Sort=R","Days=A","Fill=B",CONCATENATE("FX=", $B$1127) )</f>
        <v/>
      </c>
      <c r="K2005" t="str">
        <f>""</f>
        <v/>
      </c>
      <c r="L2005" t="str">
        <f>""</f>
        <v/>
      </c>
      <c r="M2005" t="str">
        <f>""</f>
        <v/>
      </c>
      <c r="N2005" t="str">
        <f>""</f>
        <v/>
      </c>
      <c r="O2005" t="str">
        <f>""</f>
        <v/>
      </c>
    </row>
    <row r="2006" spans="1:15" x14ac:dyDescent="0.25">
      <c r="A2006" t="str">
        <f>$A$924</f>
        <v xml:space="preserve">                    African Rainbow Minerals Ltd</v>
      </c>
      <c r="B2006" t="str">
        <f>$B$924</f>
        <v>ARI SJ Equity</v>
      </c>
      <c r="C2006" t="str">
        <f>$C$924</f>
        <v>F0946</v>
      </c>
      <c r="D2006" t="str">
        <f>$D$924</f>
        <v>TOTAL_GHG_CO2_EMISSIONS</v>
      </c>
      <c r="E2006" t="str">
        <f>$E$924</f>
        <v>Dynamic</v>
      </c>
      <c r="F2006" t="str">
        <f ca="1">_xll.BDH($B$924,$C$924,$B$1130,$B$1131,CONCATENATE("Per=",$B$1128),"Dts=H","Dir=H",CONCATENATE("Points=",$B$1129),"Sort=R","Days=A","Fill=B",CONCATENATE("FX=", $B$1127),"cols=5;rows=1")</f>
        <v/>
      </c>
      <c r="G2006">
        <v>1.8794999999999999</v>
      </c>
      <c r="H2006">
        <v>0.99580000000000002</v>
      </c>
      <c r="I2006">
        <v>1.0163</v>
      </c>
      <c r="J2006">
        <v>1.1014999999999999</v>
      </c>
      <c r="K2006" t="str">
        <f>""</f>
        <v/>
      </c>
      <c r="L2006" t="str">
        <f>""</f>
        <v/>
      </c>
      <c r="M2006" t="str">
        <f>""</f>
        <v/>
      </c>
      <c r="N2006" t="str">
        <f>""</f>
        <v/>
      </c>
      <c r="O2006" t="str">
        <f>""</f>
        <v/>
      </c>
    </row>
    <row r="2007" spans="1:15" x14ac:dyDescent="0.25">
      <c r="A2007" t="str">
        <f>$A$925</f>
        <v xml:space="preserve">                    BHP Group Ltd</v>
      </c>
      <c r="B2007" t="str">
        <f>$B$925</f>
        <v>BHP AU Equity</v>
      </c>
      <c r="C2007" t="str">
        <f>$C$925</f>
        <v>F0946</v>
      </c>
      <c r="D2007" t="str">
        <f>$D$925</f>
        <v>TOTAL_GHG_CO2_EMISSIONS</v>
      </c>
      <c r="E2007" t="str">
        <f>$E$925</f>
        <v>Dynamic</v>
      </c>
      <c r="F2007" t="str">
        <f ca="1">_xll.BDH($B$925,$C$925,$B$1130,$B$1131,CONCATENATE("Per=",$B$1128),"Dts=H","Dir=H",CONCATENATE("Points=",$B$1129),"Sort=R","Days=A","Fill=B",CONCATENATE("FX=", $B$1127),"cols=5;rows=1")</f>
        <v/>
      </c>
      <c r="G2007">
        <v>14</v>
      </c>
      <c r="H2007">
        <v>15</v>
      </c>
      <c r="I2007">
        <v>14.6</v>
      </c>
      <c r="J2007">
        <v>14.824</v>
      </c>
      <c r="K2007" t="str">
        <f>""</f>
        <v/>
      </c>
      <c r="L2007" t="str">
        <f>""</f>
        <v/>
      </c>
      <c r="M2007" t="str">
        <f>""</f>
        <v/>
      </c>
      <c r="N2007" t="str">
        <f>""</f>
        <v/>
      </c>
      <c r="O2007" t="str">
        <f>""</f>
        <v/>
      </c>
    </row>
    <row r="2008" spans="1:15" x14ac:dyDescent="0.25">
      <c r="A2008" t="str">
        <f>$A$926</f>
        <v xml:space="preserve">                    Ferrexpo PLC</v>
      </c>
      <c r="B2008" t="str">
        <f>$B$926</f>
        <v>FXPO LN Equity</v>
      </c>
      <c r="C2008" t="str">
        <f>$C$926</f>
        <v>F0946</v>
      </c>
      <c r="D2008" t="str">
        <f>$D$926</f>
        <v>TOTAL_GHG_CO2_EMISSIONS</v>
      </c>
      <c r="E2008" t="str">
        <f>$E$926</f>
        <v>Dynamic</v>
      </c>
      <c r="F2008">
        <f ca="1">_xll.BDH($B$926,$C$926,$B$1130,$B$1131,CONCATENATE("Per=",$B$1128),"Dts=H","Dir=H",CONCATENATE("Points=",$B$1129),"Sort=R","Days=A","Fill=B",CONCATENATE("FX=", $B$1127),"cols=5;rows=1")</f>
        <v>0.56399999999999995</v>
      </c>
      <c r="G2008">
        <v>1.0531999999999999</v>
      </c>
      <c r="H2008">
        <v>1.2625</v>
      </c>
      <c r="I2008">
        <v>2.52</v>
      </c>
      <c r="J2008">
        <v>2.4925999999999999</v>
      </c>
      <c r="K2008" t="str">
        <f>""</f>
        <v/>
      </c>
      <c r="L2008" t="str">
        <f>""</f>
        <v/>
      </c>
      <c r="M2008" t="str">
        <f>""</f>
        <v/>
      </c>
      <c r="N2008" t="str">
        <f>""</f>
        <v/>
      </c>
      <c r="O2008" t="str">
        <f>""</f>
        <v/>
      </c>
    </row>
    <row r="2009" spans="1:15" x14ac:dyDescent="0.25">
      <c r="A2009" t="str">
        <f>$A$927</f>
        <v xml:space="preserve">                    Fortescue Metals Group Ltd</v>
      </c>
      <c r="B2009" t="str">
        <f>$B$927</f>
        <v>FMG AU Equity</v>
      </c>
      <c r="C2009" t="str">
        <f>$C$927</f>
        <v>F0946</v>
      </c>
      <c r="D2009" t="str">
        <f>$D$927</f>
        <v>TOTAL_GHG_CO2_EMISSIONS</v>
      </c>
      <c r="E2009" t="str">
        <f>$E$927</f>
        <v>Dynamic</v>
      </c>
      <c r="F2009" t="str">
        <f ca="1">_xll.BDH($B$927,$C$927,$B$1130,$B$1131,CONCATENATE("Per=",$B$1128),"Dts=H","Dir=H",CONCATENATE("Points=",$B$1129),"Sort=R","Days=A","Fill=B",CONCATENATE("FX=", $B$1127),"cols=5;rows=1")</f>
        <v/>
      </c>
      <c r="G2009">
        <v>2.5499999999999998</v>
      </c>
      <c r="H2009">
        <v>2.2200000000000002</v>
      </c>
      <c r="I2009">
        <v>2.09</v>
      </c>
      <c r="J2009">
        <v>1.84</v>
      </c>
      <c r="K2009" t="str">
        <f>""</f>
        <v/>
      </c>
      <c r="L2009" t="str">
        <f>""</f>
        <v/>
      </c>
      <c r="M2009" t="str">
        <f>""</f>
        <v/>
      </c>
      <c r="N2009" t="str">
        <f>""</f>
        <v/>
      </c>
      <c r="O2009" t="str">
        <f>""</f>
        <v/>
      </c>
    </row>
    <row r="2010" spans="1:15" x14ac:dyDescent="0.25">
      <c r="A2010" t="str">
        <f>$A$928</f>
        <v xml:space="preserve">                    Kumba Iron Ore Ltd</v>
      </c>
      <c r="B2010" t="str">
        <f>$B$928</f>
        <v>KIO SJ Equity</v>
      </c>
      <c r="C2010" t="str">
        <f>$C$928</f>
        <v>F0946</v>
      </c>
      <c r="D2010" t="str">
        <f>$D$928</f>
        <v>TOTAL_GHG_CO2_EMISSIONS</v>
      </c>
      <c r="E2010" t="str">
        <f>$E$928</f>
        <v>Dynamic</v>
      </c>
      <c r="F2010">
        <f ca="1">_xll.BDH($B$928,$C$928,$B$1130,$B$1131,CONCATENATE("Per=",$B$1128),"Dts=H","Dir=H",CONCATENATE("Points=",$B$1129),"Sort=R","Days=A","Fill=B",CONCATENATE("FX=", $B$1127),"cols=5;rows=1")</f>
        <v>0.99399999999999999</v>
      </c>
      <c r="G2010">
        <v>0.99</v>
      </c>
      <c r="H2010">
        <v>0.91</v>
      </c>
      <c r="I2010">
        <v>1</v>
      </c>
      <c r="J2010">
        <v>0.96</v>
      </c>
      <c r="K2010" t="str">
        <f>""</f>
        <v/>
      </c>
      <c r="L2010" t="str">
        <f>""</f>
        <v/>
      </c>
      <c r="M2010" t="str">
        <f>""</f>
        <v/>
      </c>
      <c r="N2010" t="str">
        <f>""</f>
        <v/>
      </c>
      <c r="O2010" t="str">
        <f>""</f>
        <v/>
      </c>
    </row>
    <row r="2011" spans="1:15" x14ac:dyDescent="0.25">
      <c r="A2011" t="str">
        <f>$A$929</f>
        <v xml:space="preserve">                    Rio Tinto PLC</v>
      </c>
      <c r="B2011" t="str">
        <f>$B$929</f>
        <v>RIO LN Equity</v>
      </c>
      <c r="C2011" t="str">
        <f>$C$929</f>
        <v>F0946</v>
      </c>
      <c r="D2011" t="str">
        <f>$D$929</f>
        <v>TOTAL_GHG_CO2_EMISSIONS</v>
      </c>
      <c r="E2011" t="str">
        <f>$E$929</f>
        <v>Dynamic</v>
      </c>
      <c r="F2011">
        <f ca="1">_xll.BDH($B$929,$C$929,$B$1130,$B$1131,CONCATENATE("Per=",$B$1128),"Dts=H","Dir=H",CONCATENATE("Points=",$B$1129),"Sort=R","Days=A","Fill=B",CONCATENATE("FX=", $B$1127),"cols=5;rows=1")</f>
        <v>30.3</v>
      </c>
      <c r="G2011">
        <v>30</v>
      </c>
      <c r="H2011">
        <v>24.911999999999999</v>
      </c>
      <c r="I2011">
        <v>24.8</v>
      </c>
      <c r="J2011">
        <v>25.5</v>
      </c>
      <c r="K2011" t="str">
        <f>""</f>
        <v/>
      </c>
      <c r="L2011" t="str">
        <f>""</f>
        <v/>
      </c>
      <c r="M2011" t="str">
        <f>""</f>
        <v/>
      </c>
      <c r="N2011" t="str">
        <f>""</f>
        <v/>
      </c>
      <c r="O2011" t="str">
        <f>""</f>
        <v/>
      </c>
    </row>
    <row r="2012" spans="1:15" x14ac:dyDescent="0.25">
      <c r="A2012" t="str">
        <f>$A$932</f>
        <v xml:space="preserve">                    Buzzi Unicem SpA</v>
      </c>
      <c r="B2012" t="str">
        <f>$B$932</f>
        <v>BZU IM Equity</v>
      </c>
      <c r="C2012" t="str">
        <f>$C$932</f>
        <v>F0946</v>
      </c>
      <c r="D2012" t="str">
        <f>$D$932</f>
        <v>TOTAL_GHG_CO2_EMISSIONS</v>
      </c>
      <c r="E2012" t="str">
        <f>$E$932</f>
        <v>Dynamic</v>
      </c>
      <c r="F2012">
        <f ca="1">_xll.BDH($B$932,$C$932,$B$1130,$B$1131,CONCATENATE("Per=",$B$1128),"Dts=H","Dir=H",CONCATENATE("Points=",$B$1129),"Sort=R","Days=A","Fill=B",CONCATENATE("FX=", $B$1127),"cols=5;rows=1")</f>
        <v>20.218</v>
      </c>
      <c r="G2012">
        <v>22.186</v>
      </c>
      <c r="H2012">
        <v>21.3217</v>
      </c>
      <c r="I2012">
        <v>21.633700000000001</v>
      </c>
      <c r="J2012">
        <v>20.620799999999999</v>
      </c>
      <c r="K2012" t="str">
        <f>""</f>
        <v/>
      </c>
      <c r="L2012" t="str">
        <f>""</f>
        <v/>
      </c>
      <c r="M2012" t="str">
        <f>""</f>
        <v/>
      </c>
      <c r="N2012" t="str">
        <f>""</f>
        <v/>
      </c>
      <c r="O2012" t="str">
        <f>""</f>
        <v/>
      </c>
    </row>
    <row r="2013" spans="1:15" x14ac:dyDescent="0.25">
      <c r="A2013" t="str">
        <f>$A$933</f>
        <v xml:space="preserve">                    Cementos Argos SA</v>
      </c>
      <c r="B2013" t="str">
        <f>$B$933</f>
        <v>CEMARGOS CB Equity</v>
      </c>
      <c r="C2013" t="str">
        <f>$C$933</f>
        <v>F0946</v>
      </c>
      <c r="D2013" t="str">
        <f>$D$933</f>
        <v>TOTAL_GHG_CO2_EMISSIONS</v>
      </c>
      <c r="E2013" t="str">
        <f>$E$933</f>
        <v>Dynamic</v>
      </c>
      <c r="F2013" t="str">
        <f ca="1">_xll.BDH($B$933,$C$933,$B$1130,$B$1131,CONCATENATE("Per=",$B$1128),"Dts=H","Dir=H",CONCATENATE("Points=",$B$1129),"Sort=R","Days=A","Fill=B",CONCATENATE("FX=", $B$1127),"cols=5;rows=1")</f>
        <v/>
      </c>
      <c r="G2013">
        <v>9.2090999999999994</v>
      </c>
      <c r="H2013">
        <v>8.1872000000000007</v>
      </c>
      <c r="I2013">
        <v>9.16</v>
      </c>
      <c r="J2013">
        <v>8.7506000000000004</v>
      </c>
      <c r="K2013" t="str">
        <f>""</f>
        <v/>
      </c>
      <c r="L2013" t="str">
        <f>""</f>
        <v/>
      </c>
      <c r="M2013" t="str">
        <f>""</f>
        <v/>
      </c>
      <c r="N2013" t="str">
        <f>""</f>
        <v/>
      </c>
      <c r="O2013" t="str">
        <f>""</f>
        <v/>
      </c>
    </row>
    <row r="2014" spans="1:15" x14ac:dyDescent="0.25">
      <c r="A2014" t="str">
        <f>$A$934</f>
        <v xml:space="preserve">                    CRH PLC</v>
      </c>
      <c r="B2014" t="str">
        <f>$B$934</f>
        <v>CRH ID Equity</v>
      </c>
      <c r="C2014" t="str">
        <f>$C$934</f>
        <v>F0946</v>
      </c>
      <c r="D2014" t="str">
        <f>$D$934</f>
        <v>TOTAL_GHG_CO2_EMISSIONS</v>
      </c>
      <c r="E2014" t="str">
        <f>$E$934</f>
        <v>Dynamic</v>
      </c>
      <c r="F2014" t="str">
        <f ca="1">_xll.BDH($B$934,$C$934,$B$1130,$B$1131,CONCATENATE("Per=",$B$1128),"Dts=H","Dir=H",CONCATENATE("Points=",$B$1129),"Sort=R","Days=A","Fill=B",CONCATENATE("FX=", $B$1127),"cols=5;rows=1")</f>
        <v/>
      </c>
      <c r="G2014">
        <v>36</v>
      </c>
      <c r="H2014">
        <v>35</v>
      </c>
      <c r="I2014">
        <v>36.5</v>
      </c>
      <c r="J2014">
        <v>38.1</v>
      </c>
      <c r="K2014" t="str">
        <f>""</f>
        <v/>
      </c>
      <c r="L2014" t="str">
        <f>""</f>
        <v/>
      </c>
      <c r="M2014" t="str">
        <f>""</f>
        <v/>
      </c>
      <c r="N2014" t="str">
        <f>""</f>
        <v/>
      </c>
      <c r="O2014" t="str">
        <f>""</f>
        <v/>
      </c>
    </row>
    <row r="2015" spans="1:15" x14ac:dyDescent="0.25">
      <c r="A2015" t="str">
        <f>$A$935</f>
        <v xml:space="preserve">                    Cementir Holding NV</v>
      </c>
      <c r="B2015" t="str">
        <f>$B$935</f>
        <v>CEM IM Equity</v>
      </c>
      <c r="C2015" t="str">
        <f>$C$935</f>
        <v>F0946</v>
      </c>
      <c r="D2015" t="str">
        <f>$D$935</f>
        <v>TOTAL_GHG_CO2_EMISSIONS</v>
      </c>
      <c r="E2015" t="str">
        <f>$E$935</f>
        <v>Dynamic</v>
      </c>
      <c r="F2015">
        <f ca="1">_xll.BDH($B$935,$C$935,$B$1130,$B$1131,CONCATENATE("Per=",$B$1128),"Dts=H","Dir=H",CONCATENATE("Points=",$B$1129),"Sort=R","Days=A","Fill=B",CONCATENATE("FX=", $B$1127),"cols=5;rows=1")</f>
        <v>7.7111999999999998</v>
      </c>
      <c r="G2015">
        <v>8.7139000000000006</v>
      </c>
      <c r="H2015">
        <v>8.4974000000000007</v>
      </c>
      <c r="I2015">
        <v>7.7061000000000002</v>
      </c>
      <c r="J2015">
        <v>8.0794999999999995</v>
      </c>
      <c r="K2015" t="str">
        <f>""</f>
        <v/>
      </c>
      <c r="L2015" t="str">
        <f>""</f>
        <v/>
      </c>
      <c r="M2015" t="str">
        <f>""</f>
        <v/>
      </c>
      <c r="N2015" t="str">
        <f>""</f>
        <v/>
      </c>
      <c r="O2015" t="str">
        <f>""</f>
        <v/>
      </c>
    </row>
    <row r="2016" spans="1:15" x14ac:dyDescent="0.25">
      <c r="A2016" t="str">
        <f>$A$936</f>
        <v xml:space="preserve">                    Cemex SAB de CV</v>
      </c>
      <c r="B2016" t="str">
        <f>$B$936</f>
        <v>CEMEXCPO MM Equity</v>
      </c>
      <c r="C2016" t="str">
        <f>$C$936</f>
        <v>F0946</v>
      </c>
      <c r="D2016" t="str">
        <f>$D$936</f>
        <v>TOTAL_GHG_CO2_EMISSIONS</v>
      </c>
      <c r="E2016" t="str">
        <f>$E$936</f>
        <v>Dynamic</v>
      </c>
      <c r="F2016">
        <f ca="1">_xll.BDH($B$936,$C$936,$B$1130,$B$1131,CONCATENATE("Per=",$B$1128),"Dts=H","Dir=H",CONCATENATE("Points=",$B$1129),"Sort=R","Days=A","Fill=B",CONCATENATE("FX=", $B$1127),"cols=5;rows=1")</f>
        <v>39.299999999999997</v>
      </c>
      <c r="G2016">
        <v>41.832299999999996</v>
      </c>
      <c r="H2016">
        <v>40.977899999999998</v>
      </c>
      <c r="I2016">
        <v>42.463299999999997</v>
      </c>
      <c r="J2016">
        <v>47.0259</v>
      </c>
      <c r="K2016" t="str">
        <f>""</f>
        <v/>
      </c>
      <c r="L2016" t="str">
        <f>""</f>
        <v/>
      </c>
      <c r="M2016" t="str">
        <f>""</f>
        <v/>
      </c>
      <c r="N2016" t="str">
        <f>""</f>
        <v/>
      </c>
      <c r="O2016" t="str">
        <f>""</f>
        <v/>
      </c>
    </row>
    <row r="2017" spans="1:15" x14ac:dyDescent="0.25">
      <c r="A2017" t="str">
        <f>$A$937</f>
        <v xml:space="preserve">                    GCC SAB de CV</v>
      </c>
      <c r="B2017" t="str">
        <f>$B$937</f>
        <v>GCC* MM Equity</v>
      </c>
      <c r="C2017" t="str">
        <f>$C$937</f>
        <v>F0946</v>
      </c>
      <c r="D2017" t="str">
        <f>$D$937</f>
        <v>TOTAL_GHG_CO2_EMISSIONS</v>
      </c>
      <c r="E2017" t="str">
        <f>$E$937</f>
        <v>Dynamic</v>
      </c>
      <c r="F2017" t="str">
        <f ca="1">_xll.BDH($B$937,$C$937,$B$1130,$B$1131,CONCATENATE("Per=",$B$1128),"Dts=H","Dir=H",CONCATENATE("Points=",$B$1129),"Sort=R","Days=A","Fill=B",CONCATENATE("FX=", $B$1127),"cols=5;rows=1")</f>
        <v/>
      </c>
      <c r="G2017">
        <v>3.8279999999999998</v>
      </c>
      <c r="H2017">
        <v>3.544</v>
      </c>
      <c r="I2017">
        <v>3.4830000000000001</v>
      </c>
      <c r="J2017">
        <v>3.3580000000000001</v>
      </c>
      <c r="K2017" t="str">
        <f>""</f>
        <v/>
      </c>
      <c r="L2017" t="str">
        <f>""</f>
        <v/>
      </c>
      <c r="M2017" t="str">
        <f>""</f>
        <v/>
      </c>
      <c r="N2017" t="str">
        <f>""</f>
        <v/>
      </c>
      <c r="O2017" t="str">
        <f>""</f>
        <v/>
      </c>
    </row>
    <row r="2018" spans="1:15" x14ac:dyDescent="0.25">
      <c r="A2018" t="str">
        <f>$A$938</f>
        <v xml:space="preserve">                    HeidelbergCement AG</v>
      </c>
      <c r="B2018" t="str">
        <f>$B$938</f>
        <v>HEI GR Equity</v>
      </c>
      <c r="C2018" t="str">
        <f>$C$938</f>
        <v>F0946</v>
      </c>
      <c r="D2018" t="str">
        <f>$D$938</f>
        <v>TOTAL_GHG_CO2_EMISSIONS</v>
      </c>
      <c r="E2018" t="str">
        <f>$E$938</f>
        <v>Dynamic</v>
      </c>
      <c r="F2018">
        <f ca="1">_xll.BDH($B$938,$C$938,$B$1130,$B$1131,CONCATENATE("Per=",$B$1128),"Dts=H","Dir=H",CONCATENATE("Points=",$B$1129),"Sort=R","Days=A","Fill=B",CONCATENATE("FX=", $B$1127),"cols=5;rows=1")</f>
        <v>70.69</v>
      </c>
      <c r="G2018">
        <v>74.224100000000007</v>
      </c>
      <c r="H2018">
        <v>75.739999999999995</v>
      </c>
      <c r="I2018">
        <v>77</v>
      </c>
      <c r="J2018">
        <v>76.7</v>
      </c>
      <c r="K2018" t="str">
        <f>""</f>
        <v/>
      </c>
      <c r="L2018" t="str">
        <f>""</f>
        <v/>
      </c>
      <c r="M2018" t="str">
        <f>""</f>
        <v/>
      </c>
      <c r="N2018" t="str">
        <f>""</f>
        <v/>
      </c>
      <c r="O2018" t="str">
        <f>""</f>
        <v/>
      </c>
    </row>
    <row r="2019" spans="1:15" x14ac:dyDescent="0.25">
      <c r="A2019" t="str">
        <f>$A$939</f>
        <v xml:space="preserve">                    Holcim AG</v>
      </c>
      <c r="B2019" t="str">
        <f>$B$939</f>
        <v>HOLN SW Equity</v>
      </c>
      <c r="C2019" t="str">
        <f>$C$939</f>
        <v>F0946</v>
      </c>
      <c r="D2019" t="str">
        <f>$D$939</f>
        <v>TOTAL_GHG_CO2_EMISSIONS</v>
      </c>
      <c r="E2019" t="str">
        <f>$E$939</f>
        <v>Dynamic</v>
      </c>
      <c r="F2019">
        <f ca="1">_xll.BDH($B$939,$C$939,$B$1130,$B$1131,CONCATENATE("Per=",$B$1128),"Dts=H","Dir=H",CONCATENATE("Points=",$B$1129),"Sort=R","Days=A","Fill=B",CONCATENATE("FX=", $B$1127),"cols=5;rows=1")</f>
        <v>83</v>
      </c>
      <c r="G2019">
        <v>126.444</v>
      </c>
      <c r="H2019">
        <v>115.896</v>
      </c>
      <c r="I2019">
        <v>127.693</v>
      </c>
      <c r="J2019">
        <v>142.87799999999999</v>
      </c>
      <c r="K2019" t="str">
        <f>""</f>
        <v/>
      </c>
      <c r="L2019" t="str">
        <f>""</f>
        <v/>
      </c>
      <c r="M2019" t="str">
        <f>""</f>
        <v/>
      </c>
      <c r="N2019" t="str">
        <f>""</f>
        <v/>
      </c>
      <c r="O2019" t="str">
        <f>""</f>
        <v/>
      </c>
    </row>
    <row r="2020" spans="1:15" x14ac:dyDescent="0.25">
      <c r="A2020" t="str">
        <f>$A$940</f>
        <v xml:space="preserve">                    Taiheiyo Cement Corp</v>
      </c>
      <c r="B2020" t="str">
        <f>$B$940</f>
        <v>5233 JP Equity</v>
      </c>
      <c r="C2020" t="str">
        <f>$C$940</f>
        <v>F0946</v>
      </c>
      <c r="D2020" t="str">
        <f>$D$940</f>
        <v>TOTAL_GHG_CO2_EMISSIONS</v>
      </c>
      <c r="E2020" t="str">
        <f>$E$940</f>
        <v>Dynamic</v>
      </c>
      <c r="F2020" t="str">
        <f ca="1">_xll.BDH($B$940,$C$940,$B$1130,$B$1131,CONCATENATE("Per=",$B$1128),"Dts=H","Dir=H",CONCATENATE("Points=",$B$1129),"Sort=R","Days=A","Fill=B",CONCATENATE("FX=", $B$1127),"cols=5;rows=1")</f>
        <v/>
      </c>
      <c r="G2020">
        <v>22.6218</v>
      </c>
      <c r="H2020">
        <v>24.852399999999999</v>
      </c>
      <c r="I2020">
        <v>25.896000000000001</v>
      </c>
      <c r="J2020">
        <v>25.763000000000002</v>
      </c>
      <c r="K2020" t="str">
        <f>""</f>
        <v/>
      </c>
      <c r="L2020" t="str">
        <f>""</f>
        <v/>
      </c>
      <c r="M2020" t="str">
        <f>""</f>
        <v/>
      </c>
      <c r="N2020" t="str">
        <f>""</f>
        <v/>
      </c>
      <c r="O2020" t="str">
        <f>""</f>
        <v/>
      </c>
    </row>
    <row r="2021" spans="1:15" x14ac:dyDescent="0.25">
      <c r="A2021" t="str">
        <f>$A$941</f>
        <v xml:space="preserve">                    Vicat SA</v>
      </c>
      <c r="B2021" t="str">
        <f>$B$941</f>
        <v>VCT FP Equity</v>
      </c>
      <c r="C2021" t="str">
        <f>$C$941</f>
        <v>F0946</v>
      </c>
      <c r="D2021" t="str">
        <f>$D$941</f>
        <v>TOTAL_GHG_CO2_EMISSIONS</v>
      </c>
      <c r="E2021" t="str">
        <f>$E$941</f>
        <v>Dynamic</v>
      </c>
      <c r="F2021">
        <f ca="1">_xll.BDH($B$941,$C$941,$B$1130,$B$1131,CONCATENATE("Per=",$B$1128),"Dts=H","Dir=H",CONCATENATE("Points=",$B$1129),"Sort=R","Days=A","Fill=B",CONCATENATE("FX=", $B$1127),"cols=5;rows=1")</f>
        <v>18.100000000000001</v>
      </c>
      <c r="H2021">
        <v>16.556999999999999</v>
      </c>
      <c r="I2021">
        <v>14.583</v>
      </c>
      <c r="J2021">
        <v>15.920999999999999</v>
      </c>
      <c r="K2021" t="str">
        <f>""</f>
        <v/>
      </c>
      <c r="L2021" t="str">
        <f>""</f>
        <v/>
      </c>
      <c r="M2021" t="str">
        <f>""</f>
        <v/>
      </c>
      <c r="N2021" t="str">
        <f>""</f>
        <v/>
      </c>
      <c r="O2021" t="str">
        <f>""</f>
        <v/>
      </c>
    </row>
    <row r="2022" spans="1:15" x14ac:dyDescent="0.25">
      <c r="A2022" t="str">
        <f>$A$946</f>
        <v xml:space="preserve">                    Apple Inc</v>
      </c>
      <c r="B2022" t="str">
        <f>$B$946</f>
        <v>AAPL US Equity</v>
      </c>
      <c r="C2022" t="str">
        <f>$C$946</f>
        <v>F0946</v>
      </c>
      <c r="D2022" t="str">
        <f>$D$946</f>
        <v>TOTAL_GHG_CO2_EMISSIONS</v>
      </c>
      <c r="E2022" t="str">
        <f>$E$946</f>
        <v>Dynamic</v>
      </c>
      <c r="F2022">
        <f ca="1">_xll.BDH($B$946,$C$946,$B$1130,$B$1131,CONCATENATE("Per=",$B$1128),"Dts=H","Dir=H",CONCATENATE("Points=",$B$1129),"Sort=R","Days=A","Fill=B",CONCATENATE("FX=", $B$1127),"cols=5;rows=1")</f>
        <v>1.1206</v>
      </c>
      <c r="G2022">
        <v>1.0584</v>
      </c>
      <c r="H2022">
        <v>0.93759999999999999</v>
      </c>
      <c r="I2022">
        <v>0.91269999999999996</v>
      </c>
      <c r="J2022">
        <v>0.83109999999999995</v>
      </c>
      <c r="K2022" t="str">
        <f>""</f>
        <v/>
      </c>
      <c r="L2022" t="str">
        <f>""</f>
        <v/>
      </c>
      <c r="M2022" t="str">
        <f>""</f>
        <v/>
      </c>
      <c r="N2022" t="str">
        <f>""</f>
        <v/>
      </c>
      <c r="O2022" t="str">
        <f>""</f>
        <v/>
      </c>
    </row>
    <row r="2023" spans="1:15" x14ac:dyDescent="0.25">
      <c r="A2023" t="str">
        <f>$A$947</f>
        <v xml:space="preserve">                    Asustek Computer Inc</v>
      </c>
      <c r="B2023" t="str">
        <f>$B$947</f>
        <v>2357 TT Equity</v>
      </c>
      <c r="C2023" t="str">
        <f>$C$947</f>
        <v>F0946</v>
      </c>
      <c r="D2023" t="str">
        <f>$D$947</f>
        <v>TOTAL_GHG_CO2_EMISSIONS</v>
      </c>
      <c r="E2023" t="str">
        <f>$E$947</f>
        <v>Dynamic</v>
      </c>
      <c r="F2023" t="str">
        <f ca="1">_xll.BDH($B$947,$C$947,$B$1130,$B$1131,CONCATENATE("Per=",$B$1128),"Dts=H","Dir=H",CONCATENATE("Points=",$B$1129),"Sort=R","Days=A","Fill=B",CONCATENATE("FX=", $B$1127),"cols=5;rows=1")</f>
        <v/>
      </c>
      <c r="G2023">
        <v>1.7299999999999999E-2</v>
      </c>
      <c r="H2023">
        <v>2.0400000000000001E-2</v>
      </c>
      <c r="K2023" t="str">
        <f>""</f>
        <v/>
      </c>
      <c r="L2023" t="str">
        <f>""</f>
        <v/>
      </c>
      <c r="M2023" t="str">
        <f>""</f>
        <v/>
      </c>
      <c r="N2023" t="str">
        <f>""</f>
        <v/>
      </c>
      <c r="O2023" t="str">
        <f>""</f>
        <v/>
      </c>
    </row>
    <row r="2024" spans="1:15" x14ac:dyDescent="0.25">
      <c r="A2024" t="str">
        <f>$A$948</f>
        <v xml:space="preserve">                    Acer Inc</v>
      </c>
      <c r="B2024" t="str">
        <f>$B$948</f>
        <v>2353 TT Equity</v>
      </c>
      <c r="C2024" t="str">
        <f>$C$948</f>
        <v>F0946</v>
      </c>
      <c r="D2024" t="str">
        <f>$D$948</f>
        <v>TOTAL_GHG_CO2_EMISSIONS</v>
      </c>
      <c r="E2024" t="str">
        <f>$E$948</f>
        <v>Dynamic</v>
      </c>
      <c r="F2024" t="str">
        <f ca="1">_xll.BDH($B$948,$C$948,$B$1130,$B$1131,CONCATENATE("Per=",$B$1128),"Dts=H","Dir=H",CONCATENATE("Points=",$B$1129),"Sort=R","Days=A","Fill=B",CONCATENATE("FX=", $B$1127),"cols=5;rows=1")</f>
        <v/>
      </c>
      <c r="G2024">
        <v>1.9400000000000001E-2</v>
      </c>
      <c r="H2024">
        <v>1.8100000000000002E-2</v>
      </c>
      <c r="I2024">
        <v>2.0299999999999999E-2</v>
      </c>
      <c r="J2024">
        <v>2.2200000000000001E-2</v>
      </c>
      <c r="K2024" t="str">
        <f>""</f>
        <v/>
      </c>
      <c r="L2024" t="str">
        <f>""</f>
        <v/>
      </c>
      <c r="M2024" t="str">
        <f>""</f>
        <v/>
      </c>
      <c r="N2024" t="str">
        <f>""</f>
        <v/>
      </c>
      <c r="O2024" t="str">
        <f>""</f>
        <v/>
      </c>
    </row>
    <row r="2025" spans="1:15" x14ac:dyDescent="0.25">
      <c r="A2025" t="str">
        <f>$A$949</f>
        <v xml:space="preserve">                    Founder Technology Group Corp</v>
      </c>
      <c r="B2025" t="str">
        <f>$B$949</f>
        <v>600601 CH Equity</v>
      </c>
      <c r="C2025" t="str">
        <f>$C$949</f>
        <v>F0946</v>
      </c>
      <c r="D2025" t="str">
        <f>$D$949</f>
        <v>TOTAL_GHG_CO2_EMISSIONS</v>
      </c>
      <c r="E2025" t="str">
        <f>$E$949</f>
        <v>Dynamic</v>
      </c>
      <c r="F2025" t="str">
        <f ca="1">_xll.BDH($B$949,$C$949,$B$1130,$B$1131,CONCATENATE("Per=",$B$1128),"Dts=H","Dir=H",CONCATENATE("Points=",$B$1129),"Sort=R","Days=A","Fill=B",CONCATENATE("FX=", $B$1127),"cols=5;rows=1")</f>
        <v/>
      </c>
      <c r="G2025">
        <v>3.9699999999999999E-2</v>
      </c>
      <c r="K2025" t="str">
        <f>""</f>
        <v/>
      </c>
      <c r="L2025" t="str">
        <f>""</f>
        <v/>
      </c>
      <c r="M2025" t="str">
        <f>""</f>
        <v/>
      </c>
      <c r="N2025" t="str">
        <f>""</f>
        <v/>
      </c>
      <c r="O2025" t="str">
        <f>""</f>
        <v/>
      </c>
    </row>
    <row r="2026" spans="1:15" x14ac:dyDescent="0.25">
      <c r="A2026" t="str">
        <f>$A$950</f>
        <v xml:space="preserve">                    Fujitsu Ltd</v>
      </c>
      <c r="B2026" t="str">
        <f>$B$950</f>
        <v>6702 JP Equity</v>
      </c>
      <c r="C2026" t="str">
        <f>$C$950</f>
        <v>F0946</v>
      </c>
      <c r="D2026" t="str">
        <f>$D$950</f>
        <v>TOTAL_GHG_CO2_EMISSIONS</v>
      </c>
      <c r="E2026" t="str">
        <f>$E$950</f>
        <v>Dynamic</v>
      </c>
      <c r="F2026" t="str">
        <f ca="1">_xll.BDH($B$950,$C$950,$B$1130,$B$1131,CONCATENATE("Per=",$B$1128),"Dts=H","Dir=H",CONCATENATE("Points=",$B$1129),"Sort=R","Days=A","Fill=B",CONCATENATE("FX=", $B$1127),"cols=5;rows=1")</f>
        <v/>
      </c>
      <c r="G2026">
        <v>0.6</v>
      </c>
      <c r="H2026">
        <v>0.65800000000000003</v>
      </c>
      <c r="I2026">
        <v>0.80200000000000005</v>
      </c>
      <c r="J2026">
        <v>0.95499999999999996</v>
      </c>
      <c r="K2026" t="str">
        <f>""</f>
        <v/>
      </c>
      <c r="L2026" t="str">
        <f>""</f>
        <v/>
      </c>
      <c r="M2026" t="str">
        <f>""</f>
        <v/>
      </c>
      <c r="N2026" t="str">
        <f>""</f>
        <v/>
      </c>
      <c r="O2026" t="str">
        <f>""</f>
        <v/>
      </c>
    </row>
    <row r="2027" spans="1:15" x14ac:dyDescent="0.25">
      <c r="A2027" t="str">
        <f>$A$951</f>
        <v xml:space="preserve">                    HCL Technologies Ltd</v>
      </c>
      <c r="B2027" t="str">
        <f>$B$951</f>
        <v>HCLT IN Equity</v>
      </c>
      <c r="C2027" t="str">
        <f>$C$951</f>
        <v>F0946</v>
      </c>
      <c r="D2027" t="str">
        <f>$D$951</f>
        <v>TOTAL_GHG_CO2_EMISSIONS</v>
      </c>
      <c r="E2027" t="str">
        <f>$E$951</f>
        <v>Dynamic</v>
      </c>
      <c r="F2027" t="str">
        <f ca="1">_xll.BDH($B$951,$C$951,$B$1130,$B$1131,CONCATENATE("Per=",$B$1128),"Dts=H","Dir=H",CONCATENATE("Points=",$B$1129),"Sort=R","Days=A","Fill=B",CONCATENATE("FX=", $B$1127),"cols=5;rows=1")</f>
        <v/>
      </c>
      <c r="G2027">
        <v>0.15579999999999999</v>
      </c>
      <c r="H2027">
        <v>0.15190000000000001</v>
      </c>
      <c r="I2027">
        <v>0.2044</v>
      </c>
      <c r="K2027" t="str">
        <f>""</f>
        <v/>
      </c>
      <c r="L2027" t="str">
        <f>""</f>
        <v/>
      </c>
      <c r="M2027" t="str">
        <f>""</f>
        <v/>
      </c>
      <c r="N2027" t="str">
        <f>""</f>
        <v/>
      </c>
      <c r="O2027" t="str">
        <f>""</f>
        <v/>
      </c>
    </row>
    <row r="2028" spans="1:15" x14ac:dyDescent="0.25">
      <c r="A2028" t="str">
        <f>$A$952</f>
        <v xml:space="preserve">                    HP Inc</v>
      </c>
      <c r="B2028" t="str">
        <f>$B$952</f>
        <v>HPQ US Equity</v>
      </c>
      <c r="C2028" t="str">
        <f>$C$952</f>
        <v>F0946</v>
      </c>
      <c r="D2028" t="str">
        <f>$D$952</f>
        <v>TOTAL_GHG_CO2_EMISSIONS</v>
      </c>
      <c r="E2028" t="str">
        <f>$E$952</f>
        <v>Dynamic</v>
      </c>
      <c r="F2028" t="str">
        <f ca="1">_xll.BDH($B$952,$C$952,$B$1130,$B$1131,CONCATENATE("Per=",$B$1128),"Dts=H","Dir=H",CONCATENATE("Points=",$B$1129),"Sort=R","Days=A","Fill=B",CONCATENATE("FX=", $B$1127),"cols=5;rows=1")</f>
        <v/>
      </c>
      <c r="G2028">
        <v>0.24690000000000001</v>
      </c>
      <c r="H2028">
        <v>0.25419999999999998</v>
      </c>
      <c r="I2028">
        <v>0.2883</v>
      </c>
      <c r="J2028">
        <v>0.31819999999999998</v>
      </c>
      <c r="K2028" t="str">
        <f>""</f>
        <v/>
      </c>
      <c r="L2028" t="str">
        <f>""</f>
        <v/>
      </c>
      <c r="M2028" t="str">
        <f>""</f>
        <v/>
      </c>
      <c r="N2028" t="str">
        <f>""</f>
        <v/>
      </c>
      <c r="O2028" t="str">
        <f>""</f>
        <v/>
      </c>
    </row>
    <row r="2029" spans="1:15" x14ac:dyDescent="0.25">
      <c r="A2029" t="str">
        <f>$A$953</f>
        <v xml:space="preserve">                    Inspur Electronic Information</v>
      </c>
      <c r="B2029" t="str">
        <f>$B$953</f>
        <v>000977 CH Equity</v>
      </c>
      <c r="C2029" t="str">
        <f>$C$953</f>
        <v>F0946</v>
      </c>
      <c r="D2029" t="str">
        <f>$D$953</f>
        <v>TOTAL_GHG_CO2_EMISSIONS</v>
      </c>
      <c r="E2029" t="str">
        <f>$E$953</f>
        <v>Dynamic</v>
      </c>
      <c r="F2029">
        <f ca="1">_xll.BDH($B$953,$C$953,$B$1130,$B$1131,CONCATENATE("Per=",$B$1128),"Dts=H","Dir=H",CONCATENATE("Points=",$B$1129),"Sort=R","Days=A","Fill=B",CONCATENATE("FX=", $B$1127),"cols=5;rows=1")</f>
        <v>3.6799999999999999E-2</v>
      </c>
      <c r="G2029">
        <v>2.7199999999999998E-2</v>
      </c>
      <c r="K2029" t="str">
        <f>""</f>
        <v/>
      </c>
      <c r="L2029" t="str">
        <f>""</f>
        <v/>
      </c>
      <c r="M2029" t="str">
        <f>""</f>
        <v/>
      </c>
      <c r="N2029" t="str">
        <f>""</f>
        <v/>
      </c>
      <c r="O2029" t="str">
        <f>""</f>
        <v/>
      </c>
    </row>
    <row r="2030" spans="1:15" x14ac:dyDescent="0.25">
      <c r="A2030" t="str">
        <f>$A$954</f>
        <v xml:space="preserve">                    Lenovo Group Ltd</v>
      </c>
      <c r="B2030" t="str">
        <f>$B$954</f>
        <v>992 HK Equity</v>
      </c>
      <c r="C2030" t="str">
        <f>$C$954</f>
        <v>F0946</v>
      </c>
      <c r="D2030" t="str">
        <f>$D$954</f>
        <v>TOTAL_GHG_CO2_EMISSIONS</v>
      </c>
      <c r="E2030" t="str">
        <f>$E$954</f>
        <v>Dynamic</v>
      </c>
      <c r="F2030" t="str">
        <f ca="1">_xll.BDH($B$954,$C$954,$B$1130,$B$1131,CONCATENATE("Per=",$B$1128),"Dts=H","Dir=H",CONCATENATE("Points=",$B$1129),"Sort=R","Days=A","Fill=B",CONCATENATE("FX=", $B$1127),"cols=5;rows=1")</f>
        <v/>
      </c>
      <c r="G2030">
        <v>0.1978</v>
      </c>
      <c r="H2030">
        <v>0.18490000000000001</v>
      </c>
      <c r="I2030">
        <v>0.1704</v>
      </c>
      <c r="J2030">
        <v>0.2074</v>
      </c>
      <c r="K2030" t="str">
        <f>""</f>
        <v/>
      </c>
      <c r="L2030" t="str">
        <f>""</f>
        <v/>
      </c>
      <c r="M2030" t="str">
        <f>""</f>
        <v/>
      </c>
      <c r="N2030" t="str">
        <f>""</f>
        <v/>
      </c>
      <c r="O2030" t="str">
        <f>""</f>
        <v/>
      </c>
    </row>
    <row r="2031" spans="1:15" x14ac:dyDescent="0.25">
      <c r="A2031" t="str">
        <f>$A$955</f>
        <v xml:space="preserve">                    LG Electronics Inc</v>
      </c>
      <c r="B2031" t="str">
        <f>$B$955</f>
        <v>066570 KS Equity</v>
      </c>
      <c r="C2031" t="str">
        <f>$C$955</f>
        <v>F0946</v>
      </c>
      <c r="D2031" t="str">
        <f>$D$955</f>
        <v>TOTAL_GHG_CO2_EMISSIONS</v>
      </c>
      <c r="E2031" t="str">
        <f>$E$955</f>
        <v>Dynamic</v>
      </c>
      <c r="F2031" t="str">
        <f ca="1">_xll.BDH($B$955,$C$955,$B$1130,$B$1131,CONCATENATE("Per=",$B$1128),"Dts=H","Dir=H",CONCATENATE("Points=",$B$1129),"Sort=R","Days=A","Fill=B",CONCATENATE("FX=", $B$1127),"cols=5;rows=1")</f>
        <v/>
      </c>
      <c r="G2031">
        <v>1.1519999999999999</v>
      </c>
      <c r="H2031">
        <v>1.294</v>
      </c>
      <c r="I2031">
        <v>1.4690000000000001</v>
      </c>
      <c r="J2031">
        <v>1.637</v>
      </c>
      <c r="K2031" t="str">
        <f>""</f>
        <v/>
      </c>
      <c r="L2031" t="str">
        <f>""</f>
        <v/>
      </c>
      <c r="M2031" t="str">
        <f>""</f>
        <v/>
      </c>
      <c r="N2031" t="str">
        <f>""</f>
        <v/>
      </c>
      <c r="O2031" t="str">
        <f>""</f>
        <v/>
      </c>
    </row>
    <row r="2032" spans="1:15" x14ac:dyDescent="0.25">
      <c r="A2032" t="str">
        <f>$A$956</f>
        <v xml:space="preserve">                    Medion AG</v>
      </c>
      <c r="B2032" t="str">
        <f>$B$956</f>
        <v>MDN GR Equity</v>
      </c>
      <c r="C2032" t="str">
        <f>$C$956</f>
        <v>F0946</v>
      </c>
      <c r="D2032" t="str">
        <f>$D$956</f>
        <v>TOTAL_GHG_CO2_EMISSIONS</v>
      </c>
      <c r="E2032" t="str">
        <f>$E$956</f>
        <v>Dynamic</v>
      </c>
      <c r="F2032" t="str">
        <f ca="1">_xll.BDH($B$956,$C$956,$B$1130,$B$1131,CONCATENATE("Per=",$B$1128),"Dts=H","Dir=H",CONCATENATE("Points=",$B$1129),"Sort=R","Days=A","Fill=B",CONCATENATE("FX=", $B$1127),"cols=5;rows=1")</f>
        <v/>
      </c>
      <c r="G2032">
        <v>4.0000000000000002E-4</v>
      </c>
      <c r="H2032">
        <v>2.9999999999999997E-4</v>
      </c>
      <c r="K2032" t="str">
        <f>""</f>
        <v/>
      </c>
      <c r="L2032" t="str">
        <f>""</f>
        <v/>
      </c>
      <c r="M2032" t="str">
        <f>""</f>
        <v/>
      </c>
      <c r="N2032" t="str">
        <f>""</f>
        <v/>
      </c>
      <c r="O2032" t="str">
        <f>""</f>
        <v/>
      </c>
    </row>
    <row r="2033" spans="1:15" x14ac:dyDescent="0.25">
      <c r="A2033" t="str">
        <f>$A$957</f>
        <v xml:space="preserve">                    Micro-Star International Co Lt</v>
      </c>
      <c r="B2033" t="str">
        <f>$B$957</f>
        <v>2377 TT Equity</v>
      </c>
      <c r="C2033" t="str">
        <f>$C$957</f>
        <v>F0946</v>
      </c>
      <c r="D2033" t="str">
        <f>$D$957</f>
        <v>TOTAL_GHG_CO2_EMISSIONS</v>
      </c>
      <c r="E2033" t="str">
        <f>$E$957</f>
        <v>Dynamic</v>
      </c>
      <c r="F2033" t="str">
        <f ca="1">_xll.BDH($B$957,$C$957,$B$1130,$B$1131,CONCATENATE("Per=",$B$1128),"Dts=H","Dir=H",CONCATENATE("Points=",$B$1129),"Sort=R","Days=A","Fill=B",CONCATENATE("FX=", $B$1127),"cols=5;rows=1")</f>
        <v/>
      </c>
      <c r="G2033">
        <v>5.9200000000000003E-2</v>
      </c>
      <c r="H2033">
        <v>6.13E-2</v>
      </c>
      <c r="I2033">
        <v>5.91E-2</v>
      </c>
      <c r="J2033">
        <v>6.2700000000000006E-2</v>
      </c>
      <c r="K2033" t="str">
        <f>""</f>
        <v/>
      </c>
      <c r="L2033" t="str">
        <f>""</f>
        <v/>
      </c>
      <c r="M2033" t="str">
        <f>""</f>
        <v/>
      </c>
      <c r="N2033" t="str">
        <f>""</f>
        <v/>
      </c>
      <c r="O2033" t="str">
        <f>""</f>
        <v/>
      </c>
    </row>
    <row r="2034" spans="1:15" x14ac:dyDescent="0.25">
      <c r="A2034" t="str">
        <f>$A$958</f>
        <v xml:space="preserve">                    NEC Corp</v>
      </c>
      <c r="B2034" t="str">
        <f>$B$958</f>
        <v>6701 JP Equity</v>
      </c>
      <c r="C2034" t="str">
        <f>$C$958</f>
        <v>F0946</v>
      </c>
      <c r="D2034" t="str">
        <f>$D$958</f>
        <v>TOTAL_GHG_CO2_EMISSIONS</v>
      </c>
      <c r="E2034" t="str">
        <f>$E$958</f>
        <v>Dynamic</v>
      </c>
      <c r="F2034" t="str">
        <f ca="1">_xll.BDH($B$958,$C$958,$B$1130,$B$1131,CONCATENATE("Per=",$B$1128),"Dts=H","Dir=H",CONCATENATE("Points=",$B$1129),"Sort=R","Days=A","Fill=B",CONCATENATE("FX=", $B$1127),"cols=5;rows=1")</f>
        <v/>
      </c>
      <c r="G2034">
        <v>0.32400000000000001</v>
      </c>
      <c r="H2034">
        <v>0.32700000000000001</v>
      </c>
      <c r="I2034">
        <v>0.373</v>
      </c>
      <c r="J2034">
        <v>0.32900000000000001</v>
      </c>
      <c r="K2034" t="str">
        <f>""</f>
        <v/>
      </c>
      <c r="L2034" t="str">
        <f>""</f>
        <v/>
      </c>
      <c r="M2034" t="str">
        <f>""</f>
        <v/>
      </c>
      <c r="N2034" t="str">
        <f>""</f>
        <v/>
      </c>
      <c r="O2034" t="str">
        <f>""</f>
        <v/>
      </c>
    </row>
    <row r="2035" spans="1:15" x14ac:dyDescent="0.25">
      <c r="A2035" t="str">
        <f>$A$959</f>
        <v xml:space="preserve">                    Panasonic Holdings Corp</v>
      </c>
      <c r="B2035" t="str">
        <f>$B$959</f>
        <v>6752 JP Equity</v>
      </c>
      <c r="C2035" t="str">
        <f>$C$959</f>
        <v>F0946</v>
      </c>
      <c r="D2035" t="str">
        <f>$D$959</f>
        <v>TOTAL_GHG_CO2_EMISSIONS</v>
      </c>
      <c r="E2035" t="str">
        <f>$E$959</f>
        <v>Dynamic</v>
      </c>
      <c r="F2035" t="str">
        <f ca="1">_xll.BDH($B$959,$C$959,$B$1130,$B$1131,CONCATENATE("Per=",$B$1128),"Dts=H","Dir=H",CONCATENATE("Points=",$B$1129),"Sort=R","Days=A","Fill=B",CONCATENATE("FX=", $B$1127),"cols=5;rows=1")</f>
        <v/>
      </c>
      <c r="G2035">
        <v>2.06</v>
      </c>
      <c r="H2035">
        <v>2.2000000000000002</v>
      </c>
      <c r="I2035">
        <v>2.3199999999999998</v>
      </c>
      <c r="J2035">
        <v>2.44</v>
      </c>
      <c r="K2035" t="str">
        <f>""</f>
        <v/>
      </c>
      <c r="L2035" t="str">
        <f>""</f>
        <v/>
      </c>
      <c r="M2035" t="str">
        <f>""</f>
        <v/>
      </c>
      <c r="N2035" t="str">
        <f>""</f>
        <v/>
      </c>
      <c r="O2035" t="str">
        <f>""</f>
        <v/>
      </c>
    </row>
    <row r="2036" spans="1:15" x14ac:dyDescent="0.25">
      <c r="A2036" t="str">
        <f>$A$960</f>
        <v xml:space="preserve">                    Samsung Electronics Co Ltd</v>
      </c>
      <c r="B2036" t="str">
        <f>$B$960</f>
        <v>005930 KS Equity</v>
      </c>
      <c r="C2036" t="str">
        <f>$C$960</f>
        <v>F0946</v>
      </c>
      <c r="D2036" t="str">
        <f>$D$960</f>
        <v>TOTAL_GHG_CO2_EMISSIONS</v>
      </c>
      <c r="E2036" t="str">
        <f>$E$960</f>
        <v>Dynamic</v>
      </c>
      <c r="F2036" t="str">
        <f ca="1">_xll.BDH($B$960,$C$960,$B$1130,$B$1131,CONCATENATE("Per=",$B$1128),"Dts=H","Dir=H",CONCATENATE("Points=",$B$1129),"Sort=R","Days=A","Fill=B",CONCATENATE("FX=", $B$1127),"cols=5;rows=1")</f>
        <v/>
      </c>
      <c r="G2036">
        <v>20.170000000000002</v>
      </c>
      <c r="H2036">
        <v>17.579000000000001</v>
      </c>
      <c r="I2036">
        <v>16.065000000000001</v>
      </c>
      <c r="J2036">
        <v>15.173</v>
      </c>
      <c r="K2036" t="str">
        <f>""</f>
        <v/>
      </c>
      <c r="L2036" t="str">
        <f>""</f>
        <v/>
      </c>
      <c r="M2036" t="str">
        <f>""</f>
        <v/>
      </c>
      <c r="N2036" t="str">
        <f>""</f>
        <v/>
      </c>
      <c r="O2036" t="str">
        <f>""</f>
        <v/>
      </c>
    </row>
    <row r="2037" spans="1:15" x14ac:dyDescent="0.25">
      <c r="A2037" t="str">
        <f>$A$961</f>
        <v xml:space="preserve">                    Sony Group Corp</v>
      </c>
      <c r="B2037" t="str">
        <f>$B$961</f>
        <v>6758 JP Equity</v>
      </c>
      <c r="C2037" t="str">
        <f>$C$961</f>
        <v>F0946</v>
      </c>
      <c r="D2037" t="str">
        <f>$D$961</f>
        <v>TOTAL_GHG_CO2_EMISSIONS</v>
      </c>
      <c r="E2037" t="str">
        <f>$E$961</f>
        <v>Dynamic</v>
      </c>
      <c r="F2037" t="str">
        <f ca="1">_xll.BDH($B$961,$C$961,$B$1130,$B$1131,CONCATENATE("Per=",$B$1128),"Dts=H","Dir=H",CONCATENATE("Points=",$B$1129),"Sort=R","Days=A","Fill=B",CONCATENATE("FX=", $B$1127),"cols=5;rows=1")</f>
        <v/>
      </c>
      <c r="G2037">
        <v>1.2629999999999999</v>
      </c>
      <c r="H2037">
        <v>1.4711000000000001</v>
      </c>
      <c r="I2037">
        <v>1.3888</v>
      </c>
      <c r="J2037">
        <v>1.3766</v>
      </c>
      <c r="K2037" t="str">
        <f>""</f>
        <v/>
      </c>
      <c r="L2037" t="str">
        <f>""</f>
        <v/>
      </c>
      <c r="M2037" t="str">
        <f>""</f>
        <v/>
      </c>
      <c r="N2037" t="str">
        <f>""</f>
        <v/>
      </c>
      <c r="O2037" t="str">
        <f>""</f>
        <v/>
      </c>
    </row>
    <row r="2038" spans="1:15" x14ac:dyDescent="0.25">
      <c r="A2038" t="str">
        <f>$A$962</f>
        <v xml:space="preserve">                    Toshiba Corp</v>
      </c>
      <c r="B2038" t="str">
        <f>$B$962</f>
        <v>6502 JP Equity</v>
      </c>
      <c r="C2038" t="str">
        <f>$C$962</f>
        <v>F0946</v>
      </c>
      <c r="D2038" t="str">
        <f>$D$962</f>
        <v>TOTAL_GHG_CO2_EMISSIONS</v>
      </c>
      <c r="E2038" t="str">
        <f>$E$962</f>
        <v>Dynamic</v>
      </c>
      <c r="F2038" t="str">
        <f ca="1">_xll.BDH($B$962,$C$962,$B$1130,$B$1131,CONCATENATE("Per=",$B$1128),"Dts=H","Dir=H",CONCATENATE("Points=",$B$1129),"Sort=R","Days=A","Fill=B",CONCATENATE("FX=", $B$1127),"cols=5;rows=1")</f>
        <v/>
      </c>
      <c r="G2038">
        <v>1.0228999999999999</v>
      </c>
      <c r="H2038">
        <v>1.05</v>
      </c>
      <c r="I2038">
        <v>1.1399999999999999</v>
      </c>
      <c r="J2038">
        <v>1.24</v>
      </c>
      <c r="K2038" t="str">
        <f>""</f>
        <v/>
      </c>
      <c r="L2038" t="str">
        <f>""</f>
        <v/>
      </c>
      <c r="M2038" t="str">
        <f>""</f>
        <v/>
      </c>
      <c r="N2038" t="str">
        <f>""</f>
        <v/>
      </c>
      <c r="O2038" t="str">
        <f>""</f>
        <v/>
      </c>
    </row>
    <row r="2039" spans="1:15" x14ac:dyDescent="0.25">
      <c r="A2039" t="str">
        <f>$A$964</f>
        <v xml:space="preserve">                    Acer Inc</v>
      </c>
      <c r="B2039" t="str">
        <f>$B$964</f>
        <v>2353 TT Equity</v>
      </c>
      <c r="C2039" t="str">
        <f>$C$964</f>
        <v>F0946</v>
      </c>
      <c r="D2039" t="str">
        <f>$D$964</f>
        <v>TOTAL_GHG_CO2_EMISSIONS</v>
      </c>
      <c r="E2039" t="str">
        <f>$E$964</f>
        <v>Dynamic</v>
      </c>
      <c r="F2039" t="str">
        <f ca="1">_xll.BDH($B$964,$C$964,$B$1130,$B$1131,CONCATENATE("Per=",$B$1128),"Dts=H","Dir=H",CONCATENATE("Points=",$B$1129),"Sort=R","Days=A","Fill=B",CONCATENATE("FX=", $B$1127),"cols=5;rows=1")</f>
        <v/>
      </c>
      <c r="G2039">
        <v>1.9400000000000001E-2</v>
      </c>
      <c r="H2039">
        <v>1.8100000000000002E-2</v>
      </c>
      <c r="I2039">
        <v>2.0299999999999999E-2</v>
      </c>
      <c r="J2039">
        <v>2.2200000000000001E-2</v>
      </c>
      <c r="K2039" t="str">
        <f>""</f>
        <v/>
      </c>
      <c r="L2039" t="str">
        <f>""</f>
        <v/>
      </c>
      <c r="M2039" t="str">
        <f>""</f>
        <v/>
      </c>
      <c r="N2039" t="str">
        <f>""</f>
        <v/>
      </c>
      <c r="O2039" t="str">
        <f>""</f>
        <v/>
      </c>
    </row>
    <row r="2040" spans="1:15" x14ac:dyDescent="0.25">
      <c r="A2040" t="str">
        <f>$A$965</f>
        <v xml:space="preserve">                    Cisco Systems Inc</v>
      </c>
      <c r="B2040" t="str">
        <f>$B$965</f>
        <v>CSCO US Equity</v>
      </c>
      <c r="C2040" t="str">
        <f>$C$965</f>
        <v>F0946</v>
      </c>
      <c r="D2040" t="str">
        <f>$D$965</f>
        <v>TOTAL_GHG_CO2_EMISSIONS</v>
      </c>
      <c r="E2040" t="str">
        <f>$E$965</f>
        <v>Dynamic</v>
      </c>
      <c r="F2040">
        <f ca="1">_xll.BDH($B$965,$C$965,$B$1130,$B$1131,CONCATENATE("Per=",$B$1128),"Dts=H","Dir=H",CONCATENATE("Points=",$B$1129),"Sort=R","Days=A","Fill=B",CONCATENATE("FX=", $B$1127),"cols=5;rows=1")</f>
        <v>0.59819999999999995</v>
      </c>
      <c r="G2040">
        <v>0.60609999999999997</v>
      </c>
      <c r="H2040">
        <v>0.6472</v>
      </c>
      <c r="I2040">
        <v>0.6925</v>
      </c>
      <c r="J2040">
        <v>0.71220000000000006</v>
      </c>
      <c r="K2040" t="str">
        <f>""</f>
        <v/>
      </c>
      <c r="L2040" t="str">
        <f>""</f>
        <v/>
      </c>
      <c r="M2040" t="str">
        <f>""</f>
        <v/>
      </c>
      <c r="N2040" t="str">
        <f>""</f>
        <v/>
      </c>
      <c r="O2040" t="str">
        <f>""</f>
        <v/>
      </c>
    </row>
    <row r="2041" spans="1:15" x14ac:dyDescent="0.25">
      <c r="A2041" t="str">
        <f>$A$966</f>
        <v xml:space="preserve">                    Fujitsu Ltd</v>
      </c>
      <c r="B2041" t="str">
        <f>$B$966</f>
        <v>6702 JP Equity</v>
      </c>
      <c r="C2041" t="str">
        <f>$C$966</f>
        <v>F0946</v>
      </c>
      <c r="D2041" t="str">
        <f>$D$966</f>
        <v>TOTAL_GHG_CO2_EMISSIONS</v>
      </c>
      <c r="E2041" t="str">
        <f>$E$966</f>
        <v>Dynamic</v>
      </c>
      <c r="F2041" t="str">
        <f ca="1">_xll.BDH($B$966,$C$966,$B$1130,$B$1131,CONCATENATE("Per=",$B$1128),"Dts=H","Dir=H",CONCATENATE("Points=",$B$1129),"Sort=R","Days=A","Fill=B",CONCATENATE("FX=", $B$1127),"cols=5;rows=1")</f>
        <v/>
      </c>
      <c r="G2041">
        <v>0.6</v>
      </c>
      <c r="H2041">
        <v>0.65800000000000003</v>
      </c>
      <c r="I2041">
        <v>0.80200000000000005</v>
      </c>
      <c r="J2041">
        <v>0.95499999999999996</v>
      </c>
      <c r="K2041" t="str">
        <f>""</f>
        <v/>
      </c>
      <c r="L2041" t="str">
        <f>""</f>
        <v/>
      </c>
      <c r="M2041" t="str">
        <f>""</f>
        <v/>
      </c>
      <c r="N2041" t="str">
        <f>""</f>
        <v/>
      </c>
      <c r="O2041" t="str">
        <f>""</f>
        <v/>
      </c>
    </row>
    <row r="2042" spans="1:15" x14ac:dyDescent="0.25">
      <c r="A2042" t="str">
        <f>$A$967</f>
        <v xml:space="preserve">                    Hitachi Ltd</v>
      </c>
      <c r="B2042" t="str">
        <f>$B$967</f>
        <v>6501 JP Equity</v>
      </c>
      <c r="C2042" t="str">
        <f>$C$967</f>
        <v>F0946</v>
      </c>
      <c r="D2042" t="str">
        <f>$D$967</f>
        <v>TOTAL_GHG_CO2_EMISSIONS</v>
      </c>
      <c r="E2042" t="str">
        <f>$E$967</f>
        <v>Dynamic</v>
      </c>
      <c r="F2042" t="str">
        <f ca="1">_xll.BDH($B$967,$C$967,$B$1130,$B$1131,CONCATENATE("Per=",$B$1128),"Dts=H","Dir=H",CONCATENATE("Points=",$B$1129),"Sort=R","Days=A","Fill=B",CONCATENATE("FX=", $B$1127),"cols=5;rows=1")</f>
        <v/>
      </c>
      <c r="G2042">
        <v>3.41</v>
      </c>
      <c r="H2042">
        <v>3.6107</v>
      </c>
      <c r="I2042">
        <v>4.6920000000000002</v>
      </c>
      <c r="J2042">
        <v>4.47</v>
      </c>
      <c r="K2042" t="str">
        <f>""</f>
        <v/>
      </c>
      <c r="L2042" t="str">
        <f>""</f>
        <v/>
      </c>
      <c r="M2042" t="str">
        <f>""</f>
        <v/>
      </c>
      <c r="N2042" t="str">
        <f>""</f>
        <v/>
      </c>
      <c r="O2042" t="str">
        <f>""</f>
        <v/>
      </c>
    </row>
    <row r="2043" spans="1:15" x14ac:dyDescent="0.25">
      <c r="A2043" t="str">
        <f>$A$968</f>
        <v xml:space="preserve">                    HP Inc</v>
      </c>
      <c r="B2043" t="str">
        <f>$B$968</f>
        <v>HPQ US Equity</v>
      </c>
      <c r="C2043" t="str">
        <f>$C$968</f>
        <v>F0946</v>
      </c>
      <c r="D2043" t="str">
        <f>$D$968</f>
        <v>TOTAL_GHG_CO2_EMISSIONS</v>
      </c>
      <c r="E2043" t="str">
        <f>$E$968</f>
        <v>Dynamic</v>
      </c>
      <c r="F2043" t="str">
        <f ca="1">_xll.BDH($B$968,$C$968,$B$1130,$B$1131,CONCATENATE("Per=",$B$1128),"Dts=H","Dir=H",CONCATENATE("Points=",$B$1129),"Sort=R","Days=A","Fill=B",CONCATENATE("FX=", $B$1127),"cols=5;rows=1")</f>
        <v/>
      </c>
      <c r="G2043">
        <v>0.24690000000000001</v>
      </c>
      <c r="H2043">
        <v>0.25419999999999998</v>
      </c>
      <c r="I2043">
        <v>0.2883</v>
      </c>
      <c r="J2043">
        <v>0.31819999999999998</v>
      </c>
      <c r="K2043" t="str">
        <f>""</f>
        <v/>
      </c>
      <c r="L2043" t="str">
        <f>""</f>
        <v/>
      </c>
      <c r="M2043" t="str">
        <f>""</f>
        <v/>
      </c>
      <c r="N2043" t="str">
        <f>""</f>
        <v/>
      </c>
      <c r="O2043" t="str">
        <f>""</f>
        <v/>
      </c>
    </row>
    <row r="2044" spans="1:15" x14ac:dyDescent="0.25">
      <c r="A2044" t="str">
        <f>$A$969</f>
        <v xml:space="preserve">                    Hewlett Packard Enterprise Co</v>
      </c>
      <c r="B2044" t="str">
        <f>$B$969</f>
        <v>HPE US Equity</v>
      </c>
      <c r="C2044" t="str">
        <f>$C$969</f>
        <v>F0946</v>
      </c>
      <c r="D2044" t="str">
        <f>$D$969</f>
        <v>TOTAL_GHG_CO2_EMISSIONS</v>
      </c>
      <c r="E2044" t="str">
        <f>$E$969</f>
        <v>Dynamic</v>
      </c>
      <c r="F2044" t="str">
        <f ca="1">_xll.BDH($B$969,$C$969,$B$1130,$B$1131,CONCATENATE("Per=",$B$1128),"Dts=H","Dir=H",CONCATENATE("Points=",$B$1129),"Sort=R","Days=A","Fill=B",CONCATENATE("FX=", $B$1127),"cols=5;rows=1")</f>
        <v/>
      </c>
      <c r="G2044">
        <v>0.30630000000000002</v>
      </c>
      <c r="H2044">
        <v>0.34260000000000002</v>
      </c>
      <c r="I2044">
        <v>0.3705</v>
      </c>
      <c r="J2044">
        <v>0.40300000000000002</v>
      </c>
      <c r="K2044" t="str">
        <f>""</f>
        <v/>
      </c>
      <c r="L2044" t="str">
        <f>""</f>
        <v/>
      </c>
      <c r="M2044" t="str">
        <f>""</f>
        <v/>
      </c>
      <c r="N2044" t="str">
        <f>""</f>
        <v/>
      </c>
      <c r="O2044" t="str">
        <f>""</f>
        <v/>
      </c>
    </row>
    <row r="2045" spans="1:15" x14ac:dyDescent="0.25">
      <c r="A2045" t="str">
        <f>$A$970</f>
        <v xml:space="preserve">                    Inspur Electronic Information</v>
      </c>
      <c r="B2045" t="str">
        <f>$B$970</f>
        <v>000977 CH Equity</v>
      </c>
      <c r="C2045" t="str">
        <f>$C$970</f>
        <v>F0946</v>
      </c>
      <c r="D2045" t="str">
        <f>$D$970</f>
        <v>TOTAL_GHG_CO2_EMISSIONS</v>
      </c>
      <c r="E2045" t="str">
        <f>$E$970</f>
        <v>Dynamic</v>
      </c>
      <c r="F2045">
        <f ca="1">_xll.BDH($B$970,$C$970,$B$1130,$B$1131,CONCATENATE("Per=",$B$1128),"Dts=H","Dir=H",CONCATENATE("Points=",$B$1129),"Sort=R","Days=A","Fill=B",CONCATENATE("FX=", $B$1127),"cols=5;rows=1")</f>
        <v>3.6799999999999999E-2</v>
      </c>
      <c r="G2045">
        <v>2.7199999999999998E-2</v>
      </c>
      <c r="K2045" t="str">
        <f>""</f>
        <v/>
      </c>
      <c r="L2045" t="str">
        <f>""</f>
        <v/>
      </c>
      <c r="M2045" t="str">
        <f>""</f>
        <v/>
      </c>
      <c r="N2045" t="str">
        <f>""</f>
        <v/>
      </c>
      <c r="O2045" t="str">
        <f>""</f>
        <v/>
      </c>
    </row>
    <row r="2046" spans="1:15" x14ac:dyDescent="0.25">
      <c r="A2046" t="str">
        <f>$A$971</f>
        <v xml:space="preserve">                    International Business Machine</v>
      </c>
      <c r="B2046" t="str">
        <f>$B$971</f>
        <v>IBM US Equity</v>
      </c>
      <c r="C2046" t="str">
        <f>$C$971</f>
        <v>F0946</v>
      </c>
      <c r="D2046" t="str">
        <f>$D$971</f>
        <v>TOTAL_GHG_CO2_EMISSIONS</v>
      </c>
      <c r="E2046" t="str">
        <f>$E$971</f>
        <v>Dynamic</v>
      </c>
      <c r="F2046" t="str">
        <f ca="1">_xll.BDH($B$971,$C$971,$B$1130,$B$1131,CONCATENATE("Per=",$B$1128),"Dts=H","Dir=H",CONCATENATE("Points=",$B$1129),"Sort=R","Days=A","Fill=B",CONCATENATE("FX=", $B$1127),"cols=5;rows=1")</f>
        <v/>
      </c>
      <c r="G2046">
        <v>0.78059999999999996</v>
      </c>
      <c r="H2046">
        <v>0.91969999999999996</v>
      </c>
      <c r="I2046">
        <v>1.1048</v>
      </c>
      <c r="J2046">
        <v>1.2577</v>
      </c>
      <c r="K2046" t="str">
        <f>""</f>
        <v/>
      </c>
      <c r="L2046" t="str">
        <f>""</f>
        <v/>
      </c>
      <c r="M2046" t="str">
        <f>""</f>
        <v/>
      </c>
      <c r="N2046" t="str">
        <f>""</f>
        <v/>
      </c>
      <c r="O2046" t="str">
        <f>""</f>
        <v/>
      </c>
    </row>
    <row r="2047" spans="1:15" x14ac:dyDescent="0.25">
      <c r="A2047" t="str">
        <f>$A$972</f>
        <v xml:space="preserve">                    Lenovo Group Ltd</v>
      </c>
      <c r="B2047" t="str">
        <f>$B$972</f>
        <v>992 HK Equity</v>
      </c>
      <c r="C2047" t="str">
        <f>$C$972</f>
        <v>F0946</v>
      </c>
      <c r="D2047" t="str">
        <f>$D$972</f>
        <v>TOTAL_GHG_CO2_EMISSIONS</v>
      </c>
      <c r="E2047" t="str">
        <f>$E$972</f>
        <v>Dynamic</v>
      </c>
      <c r="F2047" t="str">
        <f ca="1">_xll.BDH($B$972,$C$972,$B$1130,$B$1131,CONCATENATE("Per=",$B$1128),"Dts=H","Dir=H",CONCATENATE("Points=",$B$1129),"Sort=R","Days=A","Fill=B",CONCATENATE("FX=", $B$1127),"cols=5;rows=1")</f>
        <v/>
      </c>
      <c r="G2047">
        <v>0.1978</v>
      </c>
      <c r="H2047">
        <v>0.18490000000000001</v>
      </c>
      <c r="I2047">
        <v>0.1704</v>
      </c>
      <c r="J2047">
        <v>0.2074</v>
      </c>
      <c r="K2047" t="str">
        <f>""</f>
        <v/>
      </c>
      <c r="L2047" t="str">
        <f>""</f>
        <v/>
      </c>
      <c r="M2047" t="str">
        <f>""</f>
        <v/>
      </c>
      <c r="N2047" t="str">
        <f>""</f>
        <v/>
      </c>
      <c r="O2047" t="str">
        <f>""</f>
        <v/>
      </c>
    </row>
    <row r="2048" spans="1:15" x14ac:dyDescent="0.25">
      <c r="A2048" t="str">
        <f>$A$973</f>
        <v xml:space="preserve">                    NEC Corp</v>
      </c>
      <c r="B2048" t="str">
        <f>$B$973</f>
        <v>6701 JP Equity</v>
      </c>
      <c r="C2048" t="str">
        <f>$C$973</f>
        <v>F0946</v>
      </c>
      <c r="D2048" t="str">
        <f>$D$973</f>
        <v>TOTAL_GHG_CO2_EMISSIONS</v>
      </c>
      <c r="E2048" t="str">
        <f>$E$973</f>
        <v>Dynamic</v>
      </c>
      <c r="F2048" t="str">
        <f ca="1">_xll.BDH($B$973,$C$973,$B$1130,$B$1131,CONCATENATE("Per=",$B$1128),"Dts=H","Dir=H",CONCATENATE("Points=",$B$1129),"Sort=R","Days=A","Fill=B",CONCATENATE("FX=", $B$1127),"cols=5;rows=1")</f>
        <v/>
      </c>
      <c r="G2048">
        <v>0.32400000000000001</v>
      </c>
      <c r="H2048">
        <v>0.32700000000000001</v>
      </c>
      <c r="I2048">
        <v>0.373</v>
      </c>
      <c r="J2048">
        <v>0.32900000000000001</v>
      </c>
      <c r="K2048" t="str">
        <f>""</f>
        <v/>
      </c>
      <c r="L2048" t="str">
        <f>""</f>
        <v/>
      </c>
      <c r="M2048" t="str">
        <f>""</f>
        <v/>
      </c>
      <c r="N2048" t="str">
        <f>""</f>
        <v/>
      </c>
      <c r="O2048" t="str">
        <f>""</f>
        <v/>
      </c>
    </row>
    <row r="2049" spans="1:15" x14ac:dyDescent="0.25">
      <c r="A2049" t="str">
        <f>$A$974</f>
        <v xml:space="preserve">                    NVIDIA Corp</v>
      </c>
      <c r="B2049" t="str">
        <f>$B$974</f>
        <v>NVDA US Equity</v>
      </c>
      <c r="C2049" t="str">
        <f>$C$974</f>
        <v>F0946</v>
      </c>
      <c r="D2049" t="str">
        <f>$D$974</f>
        <v>TOTAL_GHG_CO2_EMISSIONS</v>
      </c>
      <c r="E2049" t="str">
        <f>$E$974</f>
        <v>Dynamic</v>
      </c>
      <c r="F2049" t="str">
        <f ca="1">_xll.BDH($B$974,$C$974,$B$1130,$B$1131,CONCATENATE("Per=",$B$1128),"Dts=H","Dir=H",CONCATENATE("Points=",$B$1129),"Sort=R","Days=A","Fill=B",CONCATENATE("FX=", $B$1127),"cols=5;rows=1")</f>
        <v/>
      </c>
      <c r="G2049">
        <v>0.13819999999999999</v>
      </c>
      <c r="H2049">
        <v>0.10829999999999999</v>
      </c>
      <c r="I2049">
        <v>7.7499999999999999E-2</v>
      </c>
      <c r="J2049">
        <v>6.7599999999999993E-2</v>
      </c>
      <c r="K2049" t="str">
        <f>""</f>
        <v/>
      </c>
      <c r="L2049" t="str">
        <f>""</f>
        <v/>
      </c>
      <c r="M2049" t="str">
        <f>""</f>
        <v/>
      </c>
      <c r="N2049" t="str">
        <f>""</f>
        <v/>
      </c>
      <c r="O2049" t="str">
        <f>""</f>
        <v/>
      </c>
    </row>
    <row r="2050" spans="1:15" x14ac:dyDescent="0.25">
      <c r="A2050" t="str">
        <f>$A$975</f>
        <v xml:space="preserve">                    Oracle Corp</v>
      </c>
      <c r="B2050" t="str">
        <f>$B$975</f>
        <v>ORCL US Equity</v>
      </c>
      <c r="C2050" t="str">
        <f>$C$975</f>
        <v>F0946</v>
      </c>
      <c r="D2050" t="str">
        <f>$D$975</f>
        <v>TOTAL_GHG_CO2_EMISSIONS</v>
      </c>
      <c r="E2050" t="str">
        <f>$E$975</f>
        <v>Dynamic</v>
      </c>
      <c r="F2050" t="str">
        <f ca="1">_xll.BDH($B$975,$C$975,$B$1130,$B$1131,CONCATENATE("Per=",$B$1128),"Dts=H","Dir=H",CONCATENATE("Points=",$B$1129),"Sort=R","Days=A","Fill=B",CONCATENATE("FX=", $B$1127),"cols=5;rows=1")</f>
        <v/>
      </c>
      <c r="G2050">
        <v>0.6573</v>
      </c>
      <c r="H2050">
        <v>0.61260000000000003</v>
      </c>
      <c r="I2050">
        <v>0.57720000000000005</v>
      </c>
      <c r="J2050">
        <v>0.50700000000000001</v>
      </c>
      <c r="K2050" t="str">
        <f>""</f>
        <v/>
      </c>
      <c r="L2050" t="str">
        <f>""</f>
        <v/>
      </c>
      <c r="M2050" t="str">
        <f>""</f>
        <v/>
      </c>
      <c r="N2050" t="str">
        <f>""</f>
        <v/>
      </c>
      <c r="O2050" t="str">
        <f>""</f>
        <v/>
      </c>
    </row>
    <row r="2051" spans="1:15" x14ac:dyDescent="0.25">
      <c r="A2051" t="str">
        <f>$A$976</f>
        <v xml:space="preserve">                    Super Micro Computer Inc</v>
      </c>
      <c r="B2051" t="str">
        <f>$B$976</f>
        <v>SMCI US Equity</v>
      </c>
      <c r="C2051" t="str">
        <f>$C$976</f>
        <v>F0946</v>
      </c>
      <c r="D2051" t="str">
        <f>$D$976</f>
        <v>TOTAL_GHG_CO2_EMISSIONS</v>
      </c>
      <c r="E2051" t="str">
        <f>$E$976</f>
        <v>Dynamic</v>
      </c>
      <c r="F2051" t="str">
        <f ca="1">_xll.BDH($B$976,$C$976,$B$1130,$B$1131,CONCATENATE("Per=",$B$1128),"Dts=H","Dir=H",CONCATENATE("Points=",$B$1129),"Sort=R","Days=A","Fill=B",CONCATENATE("FX=", $B$1127),"cols=5;rows=1")</f>
        <v/>
      </c>
      <c r="H2051">
        <v>8.0000000000000002E-3</v>
      </c>
      <c r="K2051" t="str">
        <f>""</f>
        <v/>
      </c>
      <c r="L2051" t="str">
        <f>""</f>
        <v/>
      </c>
      <c r="M2051" t="str">
        <f>""</f>
        <v/>
      </c>
      <c r="N2051" t="str">
        <f>""</f>
        <v/>
      </c>
      <c r="O2051" t="str">
        <f>""</f>
        <v/>
      </c>
    </row>
    <row r="2052" spans="1:15" x14ac:dyDescent="0.25">
      <c r="A2052" t="str">
        <f>$A$977</f>
        <v xml:space="preserve">                    Teradata Corp</v>
      </c>
      <c r="B2052" t="str">
        <f>$B$977</f>
        <v>TDC US Equity</v>
      </c>
      <c r="C2052" t="str">
        <f>$C$977</f>
        <v>F0946</v>
      </c>
      <c r="D2052" t="str">
        <f>$D$977</f>
        <v>TOTAL_GHG_CO2_EMISSIONS</v>
      </c>
      <c r="E2052" t="str">
        <f>$E$977</f>
        <v>Dynamic</v>
      </c>
      <c r="F2052" t="str">
        <f ca="1">_xll.BDH($B$977,$C$977,$B$1130,$B$1131,CONCATENATE("Per=",$B$1128),"Dts=H","Dir=H",CONCATENATE("Points=",$B$1129),"Sort=R","Days=A","Fill=B",CONCATENATE("FX=", $B$1127),"cols=5;rows=1")</f>
        <v/>
      </c>
      <c r="G2052">
        <v>1.0200000000000001E-2</v>
      </c>
      <c r="H2052">
        <v>1.0800000000000001E-2</v>
      </c>
      <c r="I2052">
        <v>1.67E-2</v>
      </c>
      <c r="J2052">
        <v>1.8499999999999999E-2</v>
      </c>
      <c r="K2052" t="str">
        <f>""</f>
        <v/>
      </c>
      <c r="L2052" t="str">
        <f>""</f>
        <v/>
      </c>
      <c r="M2052" t="str">
        <f>""</f>
        <v/>
      </c>
      <c r="N2052" t="str">
        <f>""</f>
        <v/>
      </c>
      <c r="O2052" t="str">
        <f>""</f>
        <v/>
      </c>
    </row>
    <row r="2053" spans="1:15" x14ac:dyDescent="0.25">
      <c r="A2053" t="str">
        <f>$A$978</f>
        <v xml:space="preserve">                    Toshiba Corp</v>
      </c>
      <c r="B2053" t="str">
        <f>$B$978</f>
        <v>6502 JP Equity</v>
      </c>
      <c r="C2053" t="str">
        <f>$C$978</f>
        <v>F0946</v>
      </c>
      <c r="D2053" t="str">
        <f>$D$978</f>
        <v>TOTAL_GHG_CO2_EMISSIONS</v>
      </c>
      <c r="E2053" t="str">
        <f>$E$978</f>
        <v>Dynamic</v>
      </c>
      <c r="F2053" t="str">
        <f ca="1">_xll.BDH($B$978,$C$978,$B$1130,$B$1131,CONCATENATE("Per=",$B$1128),"Dts=H","Dir=H",CONCATENATE("Points=",$B$1129),"Sort=R","Days=A","Fill=B",CONCATENATE("FX=", $B$1127),"cols=5;rows=1")</f>
        <v/>
      </c>
      <c r="G2053">
        <v>1.0228999999999999</v>
      </c>
      <c r="H2053">
        <v>1.05</v>
      </c>
      <c r="I2053">
        <v>1.1399999999999999</v>
      </c>
      <c r="J2053">
        <v>1.24</v>
      </c>
      <c r="K2053" t="str">
        <f>""</f>
        <v/>
      </c>
      <c r="L2053" t="str">
        <f>""</f>
        <v/>
      </c>
      <c r="M2053" t="str">
        <f>""</f>
        <v/>
      </c>
      <c r="N2053" t="str">
        <f>""</f>
        <v/>
      </c>
      <c r="O2053" t="str">
        <f>""</f>
        <v/>
      </c>
    </row>
    <row r="2054" spans="1:15" x14ac:dyDescent="0.25">
      <c r="A2054" t="str">
        <f>$A$979</f>
        <v xml:space="preserve">                    Unisys Corp</v>
      </c>
      <c r="B2054" t="str">
        <f>$B$979</f>
        <v>UIS US Equity</v>
      </c>
      <c r="C2054" t="str">
        <f>$C$979</f>
        <v>F0946</v>
      </c>
      <c r="D2054" t="str">
        <f>$D$979</f>
        <v>TOTAL_GHG_CO2_EMISSIONS</v>
      </c>
      <c r="E2054" t="str">
        <f>$E$979</f>
        <v>Dynamic</v>
      </c>
      <c r="F2054" t="str">
        <f ca="1">_xll.BDH($B$979,$C$979,$B$1130,$B$1131,CONCATENATE("Per=",$B$1128),"Dts=H","Dir=H",CONCATENATE("Points=",$B$1129),"Sort=R","Days=A","Fill=B",CONCATENATE("FX=", $B$1127) )</f>
        <v/>
      </c>
      <c r="K2054" t="str">
        <f>""</f>
        <v/>
      </c>
      <c r="L2054" t="str">
        <f>""</f>
        <v/>
      </c>
      <c r="M2054" t="str">
        <f>""</f>
        <v/>
      </c>
      <c r="N2054" t="str">
        <f>""</f>
        <v/>
      </c>
      <c r="O2054" t="str">
        <f>""</f>
        <v/>
      </c>
    </row>
    <row r="2055" spans="1:15" x14ac:dyDescent="0.25">
      <c r="A2055" t="str">
        <f>$A$981</f>
        <v xml:space="preserve">            Apple Inc</v>
      </c>
      <c r="B2055" t="str">
        <f>$B$981</f>
        <v>AAPL US Equity</v>
      </c>
      <c r="C2055" t="str">
        <f>$C$981</f>
        <v>F0946</v>
      </c>
      <c r="D2055" t="str">
        <f>$D$981</f>
        <v>TOTAL_GHG_CO2_EMISSIONS</v>
      </c>
      <c r="E2055" t="str">
        <f>$E$981</f>
        <v>Dynamic</v>
      </c>
      <c r="F2055">
        <f ca="1">_xll.BDH($B$981,$C$981,$B$1130,$B$1131,CONCATENATE("Per=",$B$1128),"Dts=H","Dir=H",CONCATENATE("Points=",$B$1129),"Sort=R","Days=A","Fill=B",CONCATENATE("FX=", $B$1127),"cols=5;rows=1")</f>
        <v>1.1206</v>
      </c>
      <c r="G2055">
        <v>1.0584</v>
      </c>
      <c r="H2055">
        <v>0.93759999999999999</v>
      </c>
      <c r="I2055">
        <v>0.91269999999999996</v>
      </c>
      <c r="J2055">
        <v>0.83109999999999995</v>
      </c>
      <c r="K2055" t="str">
        <f>""</f>
        <v/>
      </c>
      <c r="L2055" t="str">
        <f>""</f>
        <v/>
      </c>
      <c r="M2055" t="str">
        <f>""</f>
        <v/>
      </c>
      <c r="N2055" t="str">
        <f>""</f>
        <v/>
      </c>
      <c r="O2055" t="str">
        <f>""</f>
        <v/>
      </c>
    </row>
    <row r="2056" spans="1:15" x14ac:dyDescent="0.25">
      <c r="A2056" t="str">
        <f>$A$982</f>
        <v xml:space="preserve">            Alphabet Inc</v>
      </c>
      <c r="B2056" t="str">
        <f>$B$982</f>
        <v>GOOGL US Equity</v>
      </c>
      <c r="C2056" t="str">
        <f>$C$982</f>
        <v>F0946</v>
      </c>
      <c r="D2056" t="str">
        <f>$D$982</f>
        <v>TOTAL_GHG_CO2_EMISSIONS</v>
      </c>
      <c r="E2056" t="str">
        <f>$E$982</f>
        <v>Dynamic</v>
      </c>
      <c r="F2056" t="str">
        <f ca="1">_xll.BDH($B$982,$C$982,$B$1130,$B$1131,CONCATENATE("Per=",$B$1128),"Dts=H","Dir=H",CONCATENATE("Points=",$B$1129),"Sort=R","Days=A","Fill=B",CONCATENATE("FX=", $B$1127),"cols=5;rows=1")</f>
        <v/>
      </c>
      <c r="G2056">
        <v>6.6212999999999997</v>
      </c>
      <c r="H2056">
        <v>5.9038000000000004</v>
      </c>
      <c r="I2056">
        <v>5.1836000000000002</v>
      </c>
      <c r="J2056">
        <v>4.4081999999999999</v>
      </c>
      <c r="K2056" t="str">
        <f>""</f>
        <v/>
      </c>
      <c r="L2056" t="str">
        <f>""</f>
        <v/>
      </c>
      <c r="M2056" t="str">
        <f>""</f>
        <v/>
      </c>
      <c r="N2056" t="str">
        <f>""</f>
        <v/>
      </c>
      <c r="O2056" t="str">
        <f>""</f>
        <v/>
      </c>
    </row>
    <row r="2057" spans="1:15" x14ac:dyDescent="0.25">
      <c r="A2057" t="str">
        <f>$A$983</f>
        <v xml:space="preserve">            Dolby Laboratories Inc</v>
      </c>
      <c r="B2057" t="str">
        <f>$B$983</f>
        <v>DLB US Equity</v>
      </c>
      <c r="C2057" t="str">
        <f>$C$983</f>
        <v>F0946</v>
      </c>
      <c r="D2057" t="str">
        <f>$D$983</f>
        <v>TOTAL_GHG_CO2_EMISSIONS</v>
      </c>
      <c r="E2057" t="str">
        <f>$E$983</f>
        <v>Dynamic</v>
      </c>
      <c r="F2057">
        <f ca="1">_xll.BDH($B$983,$C$983,$B$1130,$B$1131,CONCATENATE("Per=",$B$1128),"Dts=H","Dir=H",CONCATENATE("Points=",$B$1129),"Sort=R","Days=A","Fill=B",CONCATENATE("FX=", $B$1127),"cols=5;rows=1")</f>
        <v>5.3E-3</v>
      </c>
      <c r="G2057">
        <v>5.1999999999999998E-3</v>
      </c>
      <c r="H2057">
        <v>5.0000000000000001E-3</v>
      </c>
      <c r="I2057">
        <v>4.7999999999999996E-3</v>
      </c>
      <c r="K2057" t="str">
        <f>""</f>
        <v/>
      </c>
      <c r="L2057" t="str">
        <f>""</f>
        <v/>
      </c>
      <c r="M2057" t="str">
        <f>""</f>
        <v/>
      </c>
      <c r="N2057" t="str">
        <f>""</f>
        <v/>
      </c>
      <c r="O2057" t="str">
        <f>""</f>
        <v/>
      </c>
    </row>
    <row r="2058" spans="1:15" x14ac:dyDescent="0.25">
      <c r="A2058" t="str">
        <f>$A$984</f>
        <v xml:space="preserve">            HTC Corp</v>
      </c>
      <c r="B2058" t="str">
        <f>$B$984</f>
        <v>2498 TT Equity</v>
      </c>
      <c r="C2058" t="str">
        <f>$C$984</f>
        <v>F0946</v>
      </c>
      <c r="D2058" t="str">
        <f>$D$984</f>
        <v>TOTAL_GHG_CO2_EMISSIONS</v>
      </c>
      <c r="E2058" t="str">
        <f>$E$984</f>
        <v>Dynamic</v>
      </c>
      <c r="F2058">
        <f ca="1">_xll.BDH($B$984,$C$984,$B$1130,$B$1131,CONCATENATE("Per=",$B$1128),"Dts=H","Dir=H",CONCATENATE("Points=",$B$1129),"Sort=R","Days=A","Fill=B",CONCATENATE("FX=", $B$1127),"cols=5;rows=1")</f>
        <v>7.7000000000000002E-3</v>
      </c>
      <c r="G2058">
        <v>8.3000000000000001E-3</v>
      </c>
      <c r="H2058">
        <v>9.9000000000000008E-3</v>
      </c>
      <c r="I2058">
        <v>1.32E-2</v>
      </c>
      <c r="J2058">
        <v>2.3699999999999999E-2</v>
      </c>
      <c r="K2058" t="str">
        <f>""</f>
        <v/>
      </c>
      <c r="L2058" t="str">
        <f>""</f>
        <v/>
      </c>
      <c r="M2058" t="str">
        <f>""</f>
        <v/>
      </c>
      <c r="N2058" t="str">
        <f>""</f>
        <v/>
      </c>
      <c r="O2058" t="str">
        <f>""</f>
        <v/>
      </c>
    </row>
    <row r="2059" spans="1:15" x14ac:dyDescent="0.25">
      <c r="A2059" t="str">
        <f>$A$985</f>
        <v xml:space="preserve">            Lenovo Group Ltd</v>
      </c>
      <c r="B2059" t="str">
        <f>$B$985</f>
        <v>992 HK Equity</v>
      </c>
      <c r="C2059" t="str">
        <f>$C$985</f>
        <v>F0946</v>
      </c>
      <c r="D2059" t="str">
        <f>$D$985</f>
        <v>TOTAL_GHG_CO2_EMISSIONS</v>
      </c>
      <c r="E2059" t="str">
        <f>$E$985</f>
        <v>Dynamic</v>
      </c>
      <c r="F2059" t="str">
        <f ca="1">_xll.BDH($B$985,$C$985,$B$1130,$B$1131,CONCATENATE("Per=",$B$1128),"Dts=H","Dir=H",CONCATENATE("Points=",$B$1129),"Sort=R","Days=A","Fill=B",CONCATENATE("FX=", $B$1127),"cols=5;rows=1")</f>
        <v/>
      </c>
      <c r="G2059">
        <v>0.1978</v>
      </c>
      <c r="H2059">
        <v>0.18490000000000001</v>
      </c>
      <c r="I2059">
        <v>0.1704</v>
      </c>
      <c r="J2059">
        <v>0.2074</v>
      </c>
      <c r="K2059" t="str">
        <f>""</f>
        <v/>
      </c>
      <c r="L2059" t="str">
        <f>""</f>
        <v/>
      </c>
      <c r="M2059" t="str">
        <f>""</f>
        <v/>
      </c>
      <c r="N2059" t="str">
        <f>""</f>
        <v/>
      </c>
      <c r="O2059" t="str">
        <f>""</f>
        <v/>
      </c>
    </row>
    <row r="2060" spans="1:15" x14ac:dyDescent="0.25">
      <c r="A2060" t="str">
        <f>$A$986</f>
        <v xml:space="preserve">            LG Electronics Inc</v>
      </c>
      <c r="B2060" t="str">
        <f>$B$986</f>
        <v>066570 KS Equity</v>
      </c>
      <c r="C2060" t="str">
        <f>$C$986</f>
        <v>F0946</v>
      </c>
      <c r="D2060" t="str">
        <f>$D$986</f>
        <v>TOTAL_GHG_CO2_EMISSIONS</v>
      </c>
      <c r="E2060" t="str">
        <f>$E$986</f>
        <v>Dynamic</v>
      </c>
      <c r="F2060" t="str">
        <f ca="1">_xll.BDH($B$986,$C$986,$B$1130,$B$1131,CONCATENATE("Per=",$B$1128),"Dts=H","Dir=H",CONCATENATE("Points=",$B$1129),"Sort=R","Days=A","Fill=B",CONCATENATE("FX=", $B$1127),"cols=5;rows=1")</f>
        <v/>
      </c>
      <c r="G2060">
        <v>1.1519999999999999</v>
      </c>
      <c r="H2060">
        <v>1.294</v>
      </c>
      <c r="I2060">
        <v>1.4690000000000001</v>
      </c>
      <c r="J2060">
        <v>1.637</v>
      </c>
      <c r="K2060" t="str">
        <f>""</f>
        <v/>
      </c>
      <c r="L2060" t="str">
        <f>""</f>
        <v/>
      </c>
      <c r="M2060" t="str">
        <f>""</f>
        <v/>
      </c>
      <c r="N2060" t="str">
        <f>""</f>
        <v/>
      </c>
      <c r="O2060" t="str">
        <f>""</f>
        <v/>
      </c>
    </row>
    <row r="2061" spans="1:15" x14ac:dyDescent="0.25">
      <c r="A2061" t="str">
        <f>$A$987</f>
        <v xml:space="preserve">            Microsoft Corp</v>
      </c>
      <c r="B2061" t="str">
        <f>$B$987</f>
        <v>MSFT US Equity</v>
      </c>
      <c r="C2061" t="str">
        <f>$C$987</f>
        <v>F0946</v>
      </c>
      <c r="D2061" t="str">
        <f>$D$987</f>
        <v>TOTAL_GHG_CO2_EMISSIONS</v>
      </c>
      <c r="E2061" t="str">
        <f>$E$987</f>
        <v>Dynamic</v>
      </c>
      <c r="F2061" t="str">
        <f ca="1">_xll.BDH($B$987,$C$987,$B$1130,$B$1131,CONCATENATE("Per=",$B$1128),"Dts=H","Dir=H",CONCATENATE("Points=",$B$1129),"Sort=R","Days=A","Fill=B",CONCATENATE("FX=", $B$1127),"cols=5;rows=1")</f>
        <v/>
      </c>
      <c r="G2061">
        <v>6.5206999999999997</v>
      </c>
      <c r="H2061">
        <v>4.8689</v>
      </c>
      <c r="I2061">
        <v>4.2205000000000004</v>
      </c>
      <c r="J2061">
        <v>3.67</v>
      </c>
      <c r="K2061" t="str">
        <f>""</f>
        <v/>
      </c>
      <c r="L2061" t="str">
        <f>""</f>
        <v/>
      </c>
      <c r="M2061" t="str">
        <f>""</f>
        <v/>
      </c>
      <c r="N2061" t="str">
        <f>""</f>
        <v/>
      </c>
      <c r="O2061" t="str">
        <f>""</f>
        <v/>
      </c>
    </row>
    <row r="2062" spans="1:15" x14ac:dyDescent="0.25">
      <c r="A2062" t="str">
        <f>$A$988</f>
        <v xml:space="preserve">            Samsung Electronics Co Ltd</v>
      </c>
      <c r="B2062" t="str">
        <f>$B$988</f>
        <v>005930 KS Equity</v>
      </c>
      <c r="C2062" t="str">
        <f>$C$988</f>
        <v>F0946</v>
      </c>
      <c r="D2062" t="str">
        <f>$D$988</f>
        <v>TOTAL_GHG_CO2_EMISSIONS</v>
      </c>
      <c r="E2062" t="str">
        <f>$E$988</f>
        <v>Dynamic</v>
      </c>
      <c r="F2062" t="str">
        <f ca="1">_xll.BDH($B$988,$C$988,$B$1130,$B$1131,CONCATENATE("Per=",$B$1128),"Dts=H","Dir=H",CONCATENATE("Points=",$B$1129),"Sort=R","Days=A","Fill=B",CONCATENATE("FX=", $B$1127),"cols=5;rows=1")</f>
        <v/>
      </c>
      <c r="G2062">
        <v>20.170000000000002</v>
      </c>
      <c r="H2062">
        <v>17.579000000000001</v>
      </c>
      <c r="I2062">
        <v>16.065000000000001</v>
      </c>
      <c r="J2062">
        <v>15.173</v>
      </c>
      <c r="K2062" t="str">
        <f>""</f>
        <v/>
      </c>
      <c r="L2062" t="str">
        <f>""</f>
        <v/>
      </c>
      <c r="M2062" t="str">
        <f>""</f>
        <v/>
      </c>
      <c r="N2062" t="str">
        <f>""</f>
        <v/>
      </c>
      <c r="O2062" t="str">
        <f>""</f>
        <v/>
      </c>
    </row>
    <row r="2063" spans="1:15" x14ac:dyDescent="0.25">
      <c r="A2063" t="str">
        <f>$A$989</f>
        <v xml:space="preserve">            Sharp Corp/Japan</v>
      </c>
      <c r="B2063" t="str">
        <f>$B$989</f>
        <v>6753 JP Equity</v>
      </c>
      <c r="C2063" t="str">
        <f>$C$989</f>
        <v>F0946</v>
      </c>
      <c r="D2063" t="str">
        <f>$D$989</f>
        <v>TOTAL_GHG_CO2_EMISSIONS</v>
      </c>
      <c r="E2063" t="str">
        <f>$E$989</f>
        <v>Dynamic</v>
      </c>
      <c r="F2063" t="str">
        <f ca="1">_xll.BDH($B$989,$C$989,$B$1130,$B$1131,CONCATENATE("Per=",$B$1128),"Dts=H","Dir=H",CONCATENATE("Points=",$B$1129),"Sort=R","Days=A","Fill=B",CONCATENATE("FX=", $B$1127),"cols=5;rows=1")</f>
        <v/>
      </c>
      <c r="G2063">
        <v>0.98499999999999999</v>
      </c>
      <c r="H2063">
        <v>0.95099999999999996</v>
      </c>
      <c r="I2063">
        <v>0.97399999999999998</v>
      </c>
      <c r="J2063">
        <v>1.077</v>
      </c>
      <c r="K2063" t="str">
        <f>""</f>
        <v/>
      </c>
      <c r="L2063" t="str">
        <f>""</f>
        <v/>
      </c>
      <c r="M2063" t="str">
        <f>""</f>
        <v/>
      </c>
      <c r="N2063" t="str">
        <f>""</f>
        <v/>
      </c>
      <c r="O2063" t="str">
        <f>""</f>
        <v/>
      </c>
    </row>
    <row r="2064" spans="1:15" x14ac:dyDescent="0.25">
      <c r="A2064" t="str">
        <f>$A$990</f>
        <v xml:space="preserve">            Sony Group Corp</v>
      </c>
      <c r="B2064" t="str">
        <f>$B$990</f>
        <v>6758 JP Equity</v>
      </c>
      <c r="C2064" t="str">
        <f>$C$990</f>
        <v>F0946</v>
      </c>
      <c r="D2064" t="str">
        <f>$D$990</f>
        <v>TOTAL_GHG_CO2_EMISSIONS</v>
      </c>
      <c r="E2064" t="str">
        <f>$E$990</f>
        <v>Dynamic</v>
      </c>
      <c r="F2064" t="str">
        <f ca="1">_xll.BDH($B$990,$C$990,$B$1130,$B$1131,CONCATENATE("Per=",$B$1128),"Dts=H","Dir=H",CONCATENATE("Points=",$B$1129),"Sort=R","Days=A","Fill=B",CONCATENATE("FX=", $B$1127),"cols=5;rows=1")</f>
        <v/>
      </c>
      <c r="G2064">
        <v>1.2629999999999999</v>
      </c>
      <c r="H2064">
        <v>1.4711000000000001</v>
      </c>
      <c r="I2064">
        <v>1.3888</v>
      </c>
      <c r="J2064">
        <v>1.3766</v>
      </c>
      <c r="K2064" t="str">
        <f>""</f>
        <v/>
      </c>
      <c r="L2064" t="str">
        <f>""</f>
        <v/>
      </c>
      <c r="M2064" t="str">
        <f>""</f>
        <v/>
      </c>
      <c r="N2064" t="str">
        <f>""</f>
        <v/>
      </c>
      <c r="O2064" t="str">
        <f>""</f>
        <v/>
      </c>
    </row>
    <row r="2065" spans="1:15" x14ac:dyDescent="0.25">
      <c r="A2065" t="str">
        <f>$A$991</f>
        <v xml:space="preserve">            Xiaomi Corp</v>
      </c>
      <c r="B2065" t="str">
        <f>$B$991</f>
        <v>1810 HK Equity</v>
      </c>
      <c r="C2065" t="str">
        <f>$C$991</f>
        <v>F0946</v>
      </c>
      <c r="D2065" t="str">
        <f>$D$991</f>
        <v>TOTAL_GHG_CO2_EMISSIONS</v>
      </c>
      <c r="E2065" t="str">
        <f>$E$991</f>
        <v>Dynamic</v>
      </c>
      <c r="F2065">
        <f ca="1">_xll.BDH($B$991,$C$991,$B$1130,$B$1131,CONCATENATE("Per=",$B$1128),"Dts=H","Dir=H",CONCATENATE("Points=",$B$1129),"Sort=R","Days=A","Fill=B",CONCATENATE("FX=", $B$1127),"cols=5;rows=1")</f>
        <v>8.5699999999999998E-2</v>
      </c>
      <c r="G2065">
        <v>8.2799999999999999E-2</v>
      </c>
      <c r="H2065">
        <v>3.1300000000000001E-2</v>
      </c>
      <c r="I2065">
        <v>2.2800000000000001E-2</v>
      </c>
      <c r="J2065">
        <v>1.3100000000000001E-2</v>
      </c>
      <c r="K2065" t="str">
        <f>""</f>
        <v/>
      </c>
      <c r="L2065" t="str">
        <f>""</f>
        <v/>
      </c>
      <c r="M2065" t="str">
        <f>""</f>
        <v/>
      </c>
      <c r="N2065" t="str">
        <f>""</f>
        <v/>
      </c>
      <c r="O2065" t="str">
        <f>""</f>
        <v/>
      </c>
    </row>
    <row r="2066" spans="1:15" x14ac:dyDescent="0.25">
      <c r="A2066" t="str">
        <f>$A$992</f>
        <v xml:space="preserve">            ZTE Corp</v>
      </c>
      <c r="B2066" t="str">
        <f>$B$992</f>
        <v>763 HK Equity</v>
      </c>
      <c r="C2066" t="str">
        <f>$C$992</f>
        <v>F0946</v>
      </c>
      <c r="D2066" t="str">
        <f>$D$992</f>
        <v>TOTAL_GHG_CO2_EMISSIONS</v>
      </c>
      <c r="E2066" t="str">
        <f>$E$992</f>
        <v>Dynamic</v>
      </c>
      <c r="F2066" t="str">
        <f ca="1">_xll.BDH($B$992,$C$992,$B$1130,$B$1131,CONCATENATE("Per=",$B$1128),"Dts=H","Dir=H",CONCATENATE("Points=",$B$1129),"Sort=R","Days=A","Fill=B",CONCATENATE("FX=", $B$1127),"cols=5;rows=1")</f>
        <v/>
      </c>
      <c r="G2066">
        <v>0.80459999999999998</v>
      </c>
      <c r="H2066">
        <v>0.4511</v>
      </c>
      <c r="I2066">
        <v>0.21249999999999999</v>
      </c>
      <c r="J2066">
        <v>0.17530000000000001</v>
      </c>
      <c r="K2066" t="str">
        <f>""</f>
        <v/>
      </c>
      <c r="L2066" t="str">
        <f>""</f>
        <v/>
      </c>
      <c r="M2066" t="str">
        <f>""</f>
        <v/>
      </c>
      <c r="N2066" t="str">
        <f>""</f>
        <v/>
      </c>
      <c r="O2066" t="str">
        <f>""</f>
        <v/>
      </c>
    </row>
    <row r="2067" spans="1:15" x14ac:dyDescent="0.25">
      <c r="A2067" t="str">
        <f>$A$996</f>
        <v xml:space="preserve">                    ALLETE Inc</v>
      </c>
      <c r="B2067" t="str">
        <f>$B$996</f>
        <v>ALE US Equity</v>
      </c>
      <c r="C2067" t="str">
        <f>$C$996</f>
        <v>F0946</v>
      </c>
      <c r="D2067" t="str">
        <f>$D$996</f>
        <v>TOTAL_GHG_CO2_EMISSIONS</v>
      </c>
      <c r="E2067" t="str">
        <f>$E$996</f>
        <v>Dynamic</v>
      </c>
      <c r="F2067" t="str">
        <f ca="1">_xll.BDH($B$996,$C$996,$B$1130,$B$1131,CONCATENATE("Per=",$B$1128),"Dts=H","Dir=H",CONCATENATE("Points=",$B$1129),"Sort=R","Days=A","Fill=B",CONCATENATE("FX=", $B$1127),"cols=5;rows=1")</f>
        <v/>
      </c>
      <c r="G2067">
        <v>4.4574999999999996</v>
      </c>
      <c r="H2067">
        <v>3.5257999999999998</v>
      </c>
      <c r="I2067">
        <v>6.4736000000000002</v>
      </c>
      <c r="J2067">
        <v>7.5712000000000002</v>
      </c>
      <c r="K2067" t="str">
        <f>""</f>
        <v/>
      </c>
      <c r="L2067" t="str">
        <f>""</f>
        <v/>
      </c>
      <c r="M2067" t="str">
        <f>""</f>
        <v/>
      </c>
      <c r="N2067" t="str">
        <f>""</f>
        <v/>
      </c>
      <c r="O2067" t="str">
        <f>""</f>
        <v/>
      </c>
    </row>
    <row r="2068" spans="1:15" x14ac:dyDescent="0.25">
      <c r="A2068" t="str">
        <f>$A$997</f>
        <v xml:space="preserve">                    Ameren Corp</v>
      </c>
      <c r="B2068" t="str">
        <f>$B$997</f>
        <v>AEE US Equity</v>
      </c>
      <c r="C2068" t="str">
        <f>$C$997</f>
        <v>F0946</v>
      </c>
      <c r="D2068" t="str">
        <f>$D$997</f>
        <v>TOTAL_GHG_CO2_EMISSIONS</v>
      </c>
      <c r="E2068" t="str">
        <f>$E$997</f>
        <v>Dynamic</v>
      </c>
      <c r="F2068" t="str">
        <f ca="1">_xll.BDH($B$997,$C$997,$B$1130,$B$1131,CONCATENATE("Per=",$B$1128),"Dts=H","Dir=H",CONCATENATE("Points=",$B$1129),"Sort=R","Days=A","Fill=B",CONCATENATE("FX=", $B$1127),"cols=5;rows=1")</f>
        <v/>
      </c>
      <c r="G2068">
        <v>28.3049</v>
      </c>
      <c r="H2068">
        <v>26.025300000000001</v>
      </c>
      <c r="I2068">
        <v>24.476500000000001</v>
      </c>
      <c r="J2068">
        <v>29.662600000000001</v>
      </c>
      <c r="K2068" t="str">
        <f>""</f>
        <v/>
      </c>
      <c r="L2068" t="str">
        <f>""</f>
        <v/>
      </c>
      <c r="M2068" t="str">
        <f>""</f>
        <v/>
      </c>
      <c r="N2068" t="str">
        <f>""</f>
        <v/>
      </c>
      <c r="O2068" t="str">
        <f>""</f>
        <v/>
      </c>
    </row>
    <row r="2069" spans="1:15" x14ac:dyDescent="0.25">
      <c r="A2069" t="str">
        <f>$A$998</f>
        <v xml:space="preserve">                    American Electric Power Co Inc</v>
      </c>
      <c r="B2069" t="str">
        <f>$B$998</f>
        <v>AEP US Equity</v>
      </c>
      <c r="C2069" t="str">
        <f>$C$998</f>
        <v>F0946</v>
      </c>
      <c r="D2069" t="str">
        <f>$D$998</f>
        <v>TOTAL_GHG_CO2_EMISSIONS</v>
      </c>
      <c r="E2069" t="str">
        <f>$E$998</f>
        <v>Dynamic</v>
      </c>
      <c r="F2069" t="str">
        <f ca="1">_xll.BDH($B$998,$C$998,$B$1130,$B$1131,CONCATENATE("Per=",$B$1128),"Dts=H","Dir=H",CONCATENATE("Points=",$B$1129),"Sort=R","Days=A","Fill=B",CONCATENATE("FX=", $B$1127),"cols=5;rows=1")</f>
        <v/>
      </c>
      <c r="G2069">
        <v>56.719900000000003</v>
      </c>
      <c r="H2069">
        <v>49.680599999999998</v>
      </c>
      <c r="I2069">
        <v>79.290400000000005</v>
      </c>
      <c r="J2069">
        <v>91.100700000000003</v>
      </c>
      <c r="K2069" t="str">
        <f>""</f>
        <v/>
      </c>
      <c r="L2069" t="str">
        <f>""</f>
        <v/>
      </c>
      <c r="M2069" t="str">
        <f>""</f>
        <v/>
      </c>
      <c r="N2069" t="str">
        <f>""</f>
        <v/>
      </c>
      <c r="O2069" t="str">
        <f>""</f>
        <v/>
      </c>
    </row>
    <row r="2070" spans="1:15" x14ac:dyDescent="0.25">
      <c r="A2070" t="str">
        <f>$A$999</f>
        <v xml:space="preserve">                    Avista Corp</v>
      </c>
      <c r="B2070" t="str">
        <f>$B$999</f>
        <v>AVA US Equity</v>
      </c>
      <c r="C2070" t="str">
        <f>$C$999</f>
        <v>F0946</v>
      </c>
      <c r="D2070" t="str">
        <f>$D$999</f>
        <v>TOTAL_GHG_CO2_EMISSIONS</v>
      </c>
      <c r="E2070" t="str">
        <f>$E$999</f>
        <v>Dynamic</v>
      </c>
      <c r="F2070" t="str">
        <f ca="1">_xll.BDH($B$999,$C$999,$B$1130,$B$1131,CONCATENATE("Per=",$B$1128),"Dts=H","Dir=H",CONCATENATE("Points=",$B$1129),"Sort=R","Days=A","Fill=B",CONCATENATE("FX=", $B$1127),"cols=5;rows=1")</f>
        <v/>
      </c>
      <c r="H2070">
        <v>3.1520000000000001</v>
      </c>
      <c r="I2070">
        <v>3.6023999999999998</v>
      </c>
      <c r="J2070">
        <v>3.3026</v>
      </c>
      <c r="K2070" t="str">
        <f>""</f>
        <v/>
      </c>
      <c r="L2070" t="str">
        <f>""</f>
        <v/>
      </c>
      <c r="M2070" t="str">
        <f>""</f>
        <v/>
      </c>
      <c r="N2070" t="str">
        <f>""</f>
        <v/>
      </c>
      <c r="O2070" t="str">
        <f>""</f>
        <v/>
      </c>
    </row>
    <row r="2071" spans="1:15" x14ac:dyDescent="0.25">
      <c r="A2071" t="str">
        <f>$A$1000</f>
        <v xml:space="preserve">                    Alliant Energy Corp</v>
      </c>
      <c r="B2071" t="str">
        <f>$B$1000</f>
        <v>LNT US Equity</v>
      </c>
      <c r="C2071" t="str">
        <f>$C$1000</f>
        <v>F0946</v>
      </c>
      <c r="D2071" t="str">
        <f>$D$1000</f>
        <v>TOTAL_GHG_CO2_EMISSIONS</v>
      </c>
      <c r="E2071" t="str">
        <f>$E$1000</f>
        <v>Dynamic</v>
      </c>
      <c r="F2071" t="str">
        <f ca="1">_xll.BDH($B$1000,$C$1000,$B$1130,$B$1131,CONCATENATE("Per=",$B$1128),"Dts=H","Dir=H",CONCATENATE("Points=",$B$1129),"Sort=R","Days=A","Fill=B",CONCATENATE("FX=", $B$1127),"cols=5;rows=1")</f>
        <v/>
      </c>
      <c r="G2071">
        <v>15.690899999999999</v>
      </c>
      <c r="H2071">
        <v>12.628500000000001</v>
      </c>
      <c r="I2071">
        <v>14.301399999999999</v>
      </c>
      <c r="J2071">
        <v>17.485199999999999</v>
      </c>
      <c r="K2071" t="str">
        <f>""</f>
        <v/>
      </c>
      <c r="L2071" t="str">
        <f>""</f>
        <v/>
      </c>
      <c r="M2071" t="str">
        <f>""</f>
        <v/>
      </c>
      <c r="N2071" t="str">
        <f>""</f>
        <v/>
      </c>
      <c r="O2071" t="str">
        <f>""</f>
        <v/>
      </c>
    </row>
    <row r="2072" spans="1:15" x14ac:dyDescent="0.25">
      <c r="A2072" t="str">
        <f>$A$1001</f>
        <v xml:space="preserve">                    CenterPoint Energy Inc</v>
      </c>
      <c r="B2072" t="str">
        <f>$B$1001</f>
        <v>CNP US Equity</v>
      </c>
      <c r="C2072" t="str">
        <f>$C$1001</f>
        <v>F0946</v>
      </c>
      <c r="D2072" t="str">
        <f>$D$1001</f>
        <v>TOTAL_GHG_CO2_EMISSIONS</v>
      </c>
      <c r="E2072" t="str">
        <f>$E$1001</f>
        <v>Dynamic</v>
      </c>
      <c r="F2072" t="str">
        <f ca="1">_xll.BDH($B$1001,$C$1001,$B$1130,$B$1131,CONCATENATE("Per=",$B$1128),"Dts=H","Dir=H",CONCATENATE("Points=",$B$1129),"Sort=R","Days=A","Fill=B",CONCATENATE("FX=", $B$1127),"cols=5;rows=1")</f>
        <v/>
      </c>
      <c r="G2072">
        <v>7.0956999999999999</v>
      </c>
      <c r="H2072">
        <v>5.2957999999999998</v>
      </c>
      <c r="K2072" t="str">
        <f>""</f>
        <v/>
      </c>
      <c r="L2072" t="str">
        <f>""</f>
        <v/>
      </c>
      <c r="M2072" t="str">
        <f>""</f>
        <v/>
      </c>
      <c r="N2072" t="str">
        <f>""</f>
        <v/>
      </c>
      <c r="O2072" t="str">
        <f>""</f>
        <v/>
      </c>
    </row>
    <row r="2073" spans="1:15" x14ac:dyDescent="0.25">
      <c r="A2073" t="str">
        <f>$A$1002</f>
        <v xml:space="preserve">                    CMS Energy Corp</v>
      </c>
      <c r="B2073" t="str">
        <f>$B$1002</f>
        <v>CMS US Equity</v>
      </c>
      <c r="C2073" t="str">
        <f>$C$1002</f>
        <v>F0946</v>
      </c>
      <c r="D2073" t="str">
        <f>$D$1002</f>
        <v>TOTAL_GHG_CO2_EMISSIONS</v>
      </c>
      <c r="E2073" t="str">
        <f>$E$1002</f>
        <v>Dynamic</v>
      </c>
      <c r="F2073" t="str">
        <f ca="1">_xll.BDH($B$1002,$C$1002,$B$1130,$B$1131,CONCATENATE("Per=",$B$1128),"Dts=H","Dir=H",CONCATENATE("Points=",$B$1129),"Sort=R","Days=A","Fill=B",CONCATENATE("FX=", $B$1127),"cols=5;rows=1")</f>
        <v/>
      </c>
      <c r="G2073">
        <v>13.8416</v>
      </c>
      <c r="H2073">
        <v>11.527699999999999</v>
      </c>
      <c r="I2073">
        <v>17.809000000000001</v>
      </c>
      <c r="J2073">
        <v>19.161999999999999</v>
      </c>
      <c r="K2073" t="str">
        <f>""</f>
        <v/>
      </c>
      <c r="L2073" t="str">
        <f>""</f>
        <v/>
      </c>
      <c r="M2073" t="str">
        <f>""</f>
        <v/>
      </c>
      <c r="N2073" t="str">
        <f>""</f>
        <v/>
      </c>
      <c r="O2073" t="str">
        <f>""</f>
        <v/>
      </c>
    </row>
    <row r="2074" spans="1:15" x14ac:dyDescent="0.25">
      <c r="A2074" t="str">
        <f>$A$1003</f>
        <v xml:space="preserve">                    Dominion Energy Inc</v>
      </c>
      <c r="B2074" t="str">
        <f>$B$1003</f>
        <v>D US Equity</v>
      </c>
      <c r="C2074" t="str">
        <f>$C$1003</f>
        <v>F0946</v>
      </c>
      <c r="D2074" t="str">
        <f>$D$1003</f>
        <v>TOTAL_GHG_CO2_EMISSIONS</v>
      </c>
      <c r="E2074" t="str">
        <f>$E$1003</f>
        <v>Dynamic</v>
      </c>
      <c r="F2074" t="str">
        <f ca="1">_xll.BDH($B$1003,$C$1003,$B$1130,$B$1131,CONCATENATE("Per=",$B$1128),"Dts=H","Dir=H",CONCATENATE("Points=",$B$1129),"Sort=R","Days=A","Fill=B",CONCATENATE("FX=", $B$1127),"cols=5;rows=1")</f>
        <v/>
      </c>
      <c r="G2074">
        <v>35.0182</v>
      </c>
      <c r="H2074">
        <v>33.268999999999998</v>
      </c>
      <c r="I2074">
        <v>31.976500000000001</v>
      </c>
      <c r="J2074">
        <v>27.8706</v>
      </c>
      <c r="K2074" t="str">
        <f>""</f>
        <v/>
      </c>
      <c r="L2074" t="str">
        <f>""</f>
        <v/>
      </c>
      <c r="M2074" t="str">
        <f>""</f>
        <v/>
      </c>
      <c r="N2074" t="str">
        <f>""</f>
        <v/>
      </c>
      <c r="O2074" t="str">
        <f>""</f>
        <v/>
      </c>
    </row>
    <row r="2075" spans="1:15" x14ac:dyDescent="0.25">
      <c r="A2075" t="str">
        <f>$A$1004</f>
        <v xml:space="preserve">                    DTE Energy Co</v>
      </c>
      <c r="B2075" t="str">
        <f>$B$1004</f>
        <v>DTE US Equity</v>
      </c>
      <c r="C2075" t="str">
        <f>$C$1004</f>
        <v>F0946</v>
      </c>
      <c r="D2075" t="str">
        <f>$D$1004</f>
        <v>TOTAL_GHG_CO2_EMISSIONS</v>
      </c>
      <c r="E2075" t="str">
        <f>$E$1004</f>
        <v>Dynamic</v>
      </c>
      <c r="F2075" t="str">
        <f ca="1">_xll.BDH($B$1004,$C$1004,$B$1130,$B$1131,CONCATENATE("Per=",$B$1128),"Dts=H","Dir=H",CONCATENATE("Points=",$B$1129),"Sort=R","Days=A","Fill=B",CONCATENATE("FX=", $B$1127),"cols=5;rows=1")</f>
        <v/>
      </c>
      <c r="H2075">
        <v>24.837199999999999</v>
      </c>
      <c r="I2075">
        <v>32.433</v>
      </c>
      <c r="J2075">
        <v>36.183999999999997</v>
      </c>
      <c r="K2075" t="str">
        <f>""</f>
        <v/>
      </c>
      <c r="L2075" t="str">
        <f>""</f>
        <v/>
      </c>
      <c r="M2075" t="str">
        <f>""</f>
        <v/>
      </c>
      <c r="N2075" t="str">
        <f>""</f>
        <v/>
      </c>
      <c r="O2075" t="str">
        <f>""</f>
        <v/>
      </c>
    </row>
    <row r="2076" spans="1:15" x14ac:dyDescent="0.25">
      <c r="A2076" t="str">
        <f>$A$1005</f>
        <v xml:space="preserve">                    Duke Energy Corp</v>
      </c>
      <c r="B2076" t="str">
        <f>$B$1005</f>
        <v>DUK US Equity</v>
      </c>
      <c r="C2076" t="str">
        <f>$C$1005</f>
        <v>F0946</v>
      </c>
      <c r="D2076" t="str">
        <f>$D$1005</f>
        <v>TOTAL_GHG_CO2_EMISSIONS</v>
      </c>
      <c r="E2076" t="str">
        <f>$E$1005</f>
        <v>Dynamic</v>
      </c>
      <c r="F2076">
        <f ca="1">_xll.BDH($B$1005,$C$1005,$B$1130,$B$1131,CONCATENATE("Per=",$B$1128),"Dts=H","Dir=H",CONCATENATE("Points=",$B$1129),"Sort=R","Days=A","Fill=B",CONCATENATE("FX=", $B$1127),"cols=5;rows=1")</f>
        <v>77.910399999999996</v>
      </c>
      <c r="G2076">
        <v>78.0501</v>
      </c>
      <c r="H2076">
        <v>74.979699999999994</v>
      </c>
      <c r="I2076">
        <v>85.530199999999994</v>
      </c>
      <c r="J2076">
        <v>96.572000000000003</v>
      </c>
      <c r="K2076" t="str">
        <f>""</f>
        <v/>
      </c>
      <c r="L2076" t="str">
        <f>""</f>
        <v/>
      </c>
      <c r="M2076" t="str">
        <f>""</f>
        <v/>
      </c>
      <c r="N2076" t="str">
        <f>""</f>
        <v/>
      </c>
      <c r="O2076" t="str">
        <f>""</f>
        <v/>
      </c>
    </row>
    <row r="2077" spans="1:15" x14ac:dyDescent="0.25">
      <c r="A2077" t="str">
        <f>$A$1006</f>
        <v xml:space="preserve">                    Edison International</v>
      </c>
      <c r="B2077" t="str">
        <f>$B$1006</f>
        <v>EIX US Equity</v>
      </c>
      <c r="C2077" t="str">
        <f>$C$1006</f>
        <v>F0946</v>
      </c>
      <c r="D2077" t="str">
        <f>$D$1006</f>
        <v>TOTAL_GHG_CO2_EMISSIONS</v>
      </c>
      <c r="E2077" t="str">
        <f>$E$1006</f>
        <v>Dynamic</v>
      </c>
      <c r="F2077" t="str">
        <f ca="1">_xll.BDH($B$1006,$C$1006,$B$1130,$B$1131,CONCATENATE("Per=",$B$1128),"Dts=H","Dir=H",CONCATENATE("Points=",$B$1129),"Sort=R","Days=A","Fill=B",CONCATENATE("FX=", $B$1127),"cols=5;rows=1")</f>
        <v/>
      </c>
      <c r="G2077">
        <v>1.8</v>
      </c>
      <c r="H2077">
        <v>2.2000000000000002</v>
      </c>
      <c r="I2077">
        <v>2.2000000000000002</v>
      </c>
      <c r="J2077">
        <v>2.2000000000000002</v>
      </c>
      <c r="K2077" t="str">
        <f>""</f>
        <v/>
      </c>
      <c r="L2077" t="str">
        <f>""</f>
        <v/>
      </c>
      <c r="M2077" t="str">
        <f>""</f>
        <v/>
      </c>
      <c r="N2077" t="str">
        <f>""</f>
        <v/>
      </c>
      <c r="O2077" t="str">
        <f>""</f>
        <v/>
      </c>
    </row>
    <row r="2078" spans="1:15" x14ac:dyDescent="0.25">
      <c r="A2078" t="str">
        <f>$A$1007</f>
        <v xml:space="preserve">                    Entergy Corp</v>
      </c>
      <c r="B2078" t="str">
        <f>$B$1007</f>
        <v>ETR US Equity</v>
      </c>
      <c r="C2078" t="str">
        <f>$C$1007</f>
        <v>F0946</v>
      </c>
      <c r="D2078" t="str">
        <f>$D$1007</f>
        <v>TOTAL_GHG_CO2_EMISSIONS</v>
      </c>
      <c r="E2078" t="str">
        <f>$E$1007</f>
        <v>Dynamic</v>
      </c>
      <c r="F2078">
        <f ca="1">_xll.BDH($B$1007,$C$1007,$B$1130,$B$1131,CONCATENATE("Per=",$B$1128),"Dts=H","Dir=H",CONCATENATE("Points=",$B$1129),"Sort=R","Days=A","Fill=B",CONCATENATE("FX=", $B$1127),"cols=5;rows=1")</f>
        <v>39.503</v>
      </c>
      <c r="G2078">
        <v>35.672499999999999</v>
      </c>
      <c r="H2078">
        <v>33.064300000000003</v>
      </c>
      <c r="I2078">
        <v>37.5</v>
      </c>
      <c r="J2078">
        <v>40.049999999999997</v>
      </c>
      <c r="K2078" t="str">
        <f>""</f>
        <v/>
      </c>
      <c r="L2078" t="str">
        <f>""</f>
        <v/>
      </c>
      <c r="M2078" t="str">
        <f>""</f>
        <v/>
      </c>
      <c r="N2078" t="str">
        <f>""</f>
        <v/>
      </c>
      <c r="O2078" t="str">
        <f>""</f>
        <v/>
      </c>
    </row>
    <row r="2079" spans="1:15" x14ac:dyDescent="0.25">
      <c r="A2079" t="str">
        <f>$A$1008</f>
        <v xml:space="preserve">                    Evergy Inc</v>
      </c>
      <c r="B2079" t="str">
        <f>$B$1008</f>
        <v>EVRG US Equity</v>
      </c>
      <c r="C2079" t="str">
        <f>$C$1008</f>
        <v>F0946</v>
      </c>
      <c r="D2079" t="str">
        <f>$D$1008</f>
        <v>TOTAL_GHG_CO2_EMISSIONS</v>
      </c>
      <c r="E2079" t="str">
        <f>$E$1008</f>
        <v>Dynamic</v>
      </c>
      <c r="F2079" t="str">
        <f ca="1">_xll.BDH($B$1008,$C$1008,$B$1130,$B$1131,CONCATENATE("Per=",$B$1128),"Dts=H","Dir=H",CONCATENATE("Points=",$B$1129),"Sort=R","Days=A","Fill=B",CONCATENATE("FX=", $B$1127),"cols=5;rows=1")</f>
        <v/>
      </c>
      <c r="G2079">
        <v>26.5425</v>
      </c>
      <c r="K2079" t="str">
        <f>""</f>
        <v/>
      </c>
      <c r="L2079" t="str">
        <f>""</f>
        <v/>
      </c>
      <c r="M2079" t="str">
        <f>""</f>
        <v/>
      </c>
      <c r="N2079" t="str">
        <f>""</f>
        <v/>
      </c>
      <c r="O2079" t="str">
        <f>""</f>
        <v/>
      </c>
    </row>
    <row r="2080" spans="1:15" x14ac:dyDescent="0.25">
      <c r="A2080" t="str">
        <f>$A$1009</f>
        <v xml:space="preserve">                    Hawaiian Electric Industries I</v>
      </c>
      <c r="B2080" t="str">
        <f>$B$1009</f>
        <v>HE US Equity</v>
      </c>
      <c r="C2080" t="str">
        <f>$C$1009</f>
        <v>F0946</v>
      </c>
      <c r="D2080" t="str">
        <f>$D$1009</f>
        <v>TOTAL_GHG_CO2_EMISSIONS</v>
      </c>
      <c r="E2080" t="str">
        <f>$E$1009</f>
        <v>Dynamic</v>
      </c>
      <c r="F2080" t="str">
        <f ca="1">_xll.BDH($B$1009,$C$1009,$B$1130,$B$1131,CONCATENATE("Per=",$B$1128),"Dts=H","Dir=H",CONCATENATE("Points=",$B$1129),"Sort=R","Days=A","Fill=B",CONCATENATE("FX=", $B$1127),"cols=5;rows=1")</f>
        <v/>
      </c>
      <c r="G2080">
        <v>3.6901000000000002</v>
      </c>
      <c r="K2080" t="str">
        <f>""</f>
        <v/>
      </c>
      <c r="L2080" t="str">
        <f>""</f>
        <v/>
      </c>
      <c r="M2080" t="str">
        <f>""</f>
        <v/>
      </c>
      <c r="N2080" t="str">
        <f>""</f>
        <v/>
      </c>
      <c r="O2080" t="str">
        <f>""</f>
        <v/>
      </c>
    </row>
    <row r="2081" spans="1:15" x14ac:dyDescent="0.25">
      <c r="A2081" t="str">
        <f>$A$1010</f>
        <v xml:space="preserve">                    IDACORP Inc</v>
      </c>
      <c r="B2081" t="str">
        <f>$B$1010</f>
        <v>IDA US Equity</v>
      </c>
      <c r="C2081" t="str">
        <f>$C$1010</f>
        <v>F0946</v>
      </c>
      <c r="D2081" t="str">
        <f>$D$1010</f>
        <v>TOTAL_GHG_CO2_EMISSIONS</v>
      </c>
      <c r="E2081" t="str">
        <f>$E$1010</f>
        <v>Dynamic</v>
      </c>
      <c r="F2081">
        <f ca="1">_xll.BDH($B$1010,$C$1010,$B$1130,$B$1131,CONCATENATE("Per=",$B$1128),"Dts=H","Dir=H",CONCATENATE("Points=",$B$1129),"Sort=R","Days=A","Fill=B",CONCATENATE("FX=", $B$1127),"cols=5;rows=1")</f>
        <v>4.8773999999999997</v>
      </c>
      <c r="G2081">
        <v>4.2889999999999997</v>
      </c>
      <c r="H2081">
        <v>4.9273999999999996</v>
      </c>
      <c r="I2081">
        <v>4.0351999999999997</v>
      </c>
      <c r="J2081">
        <v>3.9584999999999999</v>
      </c>
      <c r="K2081" t="str">
        <f>""</f>
        <v/>
      </c>
      <c r="L2081" t="str">
        <f>""</f>
        <v/>
      </c>
      <c r="M2081" t="str">
        <f>""</f>
        <v/>
      </c>
      <c r="N2081" t="str">
        <f>""</f>
        <v/>
      </c>
      <c r="O2081" t="str">
        <f>""</f>
        <v/>
      </c>
    </row>
    <row r="2082" spans="1:15" x14ac:dyDescent="0.25">
      <c r="A2082" t="str">
        <f>$A$1011</f>
        <v xml:space="preserve">                    NorthWestern Corp</v>
      </c>
      <c r="B2082" t="str">
        <f>$B$1011</f>
        <v>NWE US Equity</v>
      </c>
      <c r="C2082" t="str">
        <f>$C$1011</f>
        <v>F0946</v>
      </c>
      <c r="D2082" t="str">
        <f>$D$1011</f>
        <v>TOTAL_GHG_CO2_EMISSIONS</v>
      </c>
      <c r="E2082" t="str">
        <f>$E$1011</f>
        <v>Dynamic</v>
      </c>
      <c r="F2082" t="str">
        <f ca="1">_xll.BDH($B$1011,$C$1011,$B$1130,$B$1131,CONCATENATE("Per=",$B$1128),"Dts=H","Dir=H",CONCATENATE("Points=",$B$1129),"Sort=R","Days=A","Fill=B",CONCATENATE("FX=", $B$1127),"cols=5;rows=1")</f>
        <v/>
      </c>
      <c r="H2082">
        <v>3.4809999999999999</v>
      </c>
      <c r="I2082">
        <v>3.9306999999999999</v>
      </c>
      <c r="J2082">
        <v>4.4657</v>
      </c>
      <c r="K2082" t="str">
        <f>""</f>
        <v/>
      </c>
      <c r="L2082" t="str">
        <f>""</f>
        <v/>
      </c>
      <c r="M2082" t="str">
        <f>""</f>
        <v/>
      </c>
      <c r="N2082" t="str">
        <f>""</f>
        <v/>
      </c>
      <c r="O2082" t="str">
        <f>""</f>
        <v/>
      </c>
    </row>
    <row r="2083" spans="1:15" x14ac:dyDescent="0.25">
      <c r="A2083" t="str">
        <f>$A$1012</f>
        <v xml:space="preserve">                    PG&amp;E Corp</v>
      </c>
      <c r="B2083" t="str">
        <f>$B$1012</f>
        <v>PCG US Equity</v>
      </c>
      <c r="C2083" t="str">
        <f>$C$1012</f>
        <v>F0946</v>
      </c>
      <c r="D2083" t="str">
        <f>$D$1012</f>
        <v>TOTAL_GHG_CO2_EMISSIONS</v>
      </c>
      <c r="E2083" t="str">
        <f>$E$1012</f>
        <v>Dynamic</v>
      </c>
      <c r="F2083" t="str">
        <f ca="1">_xll.BDH($B$1012,$C$1012,$B$1130,$B$1131,CONCATENATE("Per=",$B$1128),"Dts=H","Dir=H",CONCATENATE("Points=",$B$1129),"Sort=R","Days=A","Fill=B",CONCATENATE("FX=", $B$1127),"cols=5;rows=1")</f>
        <v/>
      </c>
      <c r="G2083">
        <v>5.2923999999999998</v>
      </c>
      <c r="H2083">
        <v>5.1374000000000004</v>
      </c>
      <c r="I2083">
        <v>7.4261999999999997</v>
      </c>
      <c r="J2083">
        <v>4.9316000000000004</v>
      </c>
      <c r="K2083" t="str">
        <f>""</f>
        <v/>
      </c>
      <c r="L2083" t="str">
        <f>""</f>
        <v/>
      </c>
      <c r="M2083" t="str">
        <f>""</f>
        <v/>
      </c>
      <c r="N2083" t="str">
        <f>""</f>
        <v/>
      </c>
      <c r="O2083" t="str">
        <f>""</f>
        <v/>
      </c>
    </row>
    <row r="2084" spans="1:15" x14ac:dyDescent="0.25">
      <c r="A2084" t="str">
        <f>$A$1013</f>
        <v xml:space="preserve">                    PNM Resources Inc</v>
      </c>
      <c r="B2084" t="str">
        <f>$B$1013</f>
        <v>PNM US Equity</v>
      </c>
      <c r="C2084" t="str">
        <f>$C$1013</f>
        <v>F0946</v>
      </c>
      <c r="D2084" t="str">
        <f>$D$1013</f>
        <v>TOTAL_GHG_CO2_EMISSIONS</v>
      </c>
      <c r="E2084" t="str">
        <f>$E$1013</f>
        <v>Dynamic</v>
      </c>
      <c r="F2084" t="str">
        <f ca="1">_xll.BDH($B$1013,$C$1013,$B$1130,$B$1131,CONCATENATE("Per=",$B$1128),"Dts=H","Dir=H",CONCATENATE("Points=",$B$1129),"Sort=R","Days=A","Fill=B",CONCATENATE("FX=", $B$1127) )</f>
        <v/>
      </c>
      <c r="K2084" t="str">
        <f>""</f>
        <v/>
      </c>
      <c r="L2084" t="str">
        <f>""</f>
        <v/>
      </c>
      <c r="M2084" t="str">
        <f>""</f>
        <v/>
      </c>
      <c r="N2084" t="str">
        <f>""</f>
        <v/>
      </c>
      <c r="O2084" t="str">
        <f>""</f>
        <v/>
      </c>
    </row>
    <row r="2085" spans="1:15" x14ac:dyDescent="0.25">
      <c r="A2085" t="str">
        <f>$A$1014</f>
        <v xml:space="preserve">                    PPL Corp</v>
      </c>
      <c r="B2085" t="str">
        <f>$B$1014</f>
        <v>PPL US Equity</v>
      </c>
      <c r="C2085" t="str">
        <f>$C$1014</f>
        <v>F0946</v>
      </c>
      <c r="D2085" t="str">
        <f>$D$1014</f>
        <v>TOTAL_GHG_CO2_EMISSIONS</v>
      </c>
      <c r="E2085" t="str">
        <f>$E$1014</f>
        <v>Dynamic</v>
      </c>
      <c r="F2085">
        <f ca="1">_xll.BDH($B$1014,$C$1014,$B$1130,$B$1131,CONCATENATE("Per=",$B$1128),"Dts=H","Dir=H",CONCATENATE("Points=",$B$1129),"Sort=R","Days=A","Fill=B",CONCATENATE("FX=", $B$1127),"cols=5;rows=1")</f>
        <v>26.9085</v>
      </c>
      <c r="G2085">
        <v>26.469200000000001</v>
      </c>
      <c r="H2085">
        <v>25.673400000000001</v>
      </c>
      <c r="I2085">
        <v>27.433199999999999</v>
      </c>
      <c r="J2085">
        <v>29.946999999999999</v>
      </c>
      <c r="K2085" t="str">
        <f>""</f>
        <v/>
      </c>
      <c r="L2085" t="str">
        <f>""</f>
        <v/>
      </c>
      <c r="M2085" t="str">
        <f>""</f>
        <v/>
      </c>
      <c r="N2085" t="str">
        <f>""</f>
        <v/>
      </c>
      <c r="O2085" t="str">
        <f>""</f>
        <v/>
      </c>
    </row>
    <row r="2086" spans="1:15" x14ac:dyDescent="0.25">
      <c r="A2086" t="str">
        <f>$A$1015</f>
        <v xml:space="preserve">                    Pinnacle West Capital Corp</v>
      </c>
      <c r="B2086" t="str">
        <f>$B$1015</f>
        <v>PNW US Equity</v>
      </c>
      <c r="C2086" t="str">
        <f>$C$1015</f>
        <v>F0946</v>
      </c>
      <c r="D2086" t="str">
        <f>$D$1015</f>
        <v>TOTAL_GHG_CO2_EMISSIONS</v>
      </c>
      <c r="E2086" t="str">
        <f>$E$1015</f>
        <v>Dynamic</v>
      </c>
      <c r="F2086" t="str">
        <f ca="1">_xll.BDH($B$1015,$C$1015,$B$1130,$B$1131,CONCATENATE("Per=",$B$1128),"Dts=H","Dir=H",CONCATENATE("Points=",$B$1129),"Sort=R","Days=A","Fill=B",CONCATENATE("FX=", $B$1127),"cols=5;rows=1")</f>
        <v/>
      </c>
      <c r="G2086">
        <v>11.461399999999999</v>
      </c>
      <c r="H2086">
        <v>11.3741</v>
      </c>
      <c r="I2086">
        <v>12.3127</v>
      </c>
      <c r="J2086">
        <v>12.022399999999999</v>
      </c>
      <c r="K2086" t="str">
        <f>""</f>
        <v/>
      </c>
      <c r="L2086" t="str">
        <f>""</f>
        <v/>
      </c>
      <c r="M2086" t="str">
        <f>""</f>
        <v/>
      </c>
      <c r="N2086" t="str">
        <f>""</f>
        <v/>
      </c>
      <c r="O2086" t="str">
        <f>""</f>
        <v/>
      </c>
    </row>
    <row r="2087" spans="1:15" x14ac:dyDescent="0.25">
      <c r="A2087" t="str">
        <f>$A$1016</f>
        <v xml:space="preserve">                    Portland General Electric Co</v>
      </c>
      <c r="B2087" t="str">
        <f>$B$1016</f>
        <v>POR US Equity</v>
      </c>
      <c r="C2087" t="str">
        <f>$C$1016</f>
        <v>F0946</v>
      </c>
      <c r="D2087" t="str">
        <f>$D$1016</f>
        <v>TOTAL_GHG_CO2_EMISSIONS</v>
      </c>
      <c r="E2087" t="str">
        <f>$E$1016</f>
        <v>Dynamic</v>
      </c>
      <c r="F2087">
        <f ca="1">_xll.BDH($B$1016,$C$1016,$B$1130,$B$1131,CONCATENATE("Per=",$B$1128),"Dts=H","Dir=H",CONCATENATE("Points=",$B$1129),"Sort=R","Days=A","Fill=B",CONCATENATE("FX=", $B$1127),"cols=5;rows=1")</f>
        <v>5.6471999999999998</v>
      </c>
      <c r="G2087">
        <v>5.9099000000000004</v>
      </c>
      <c r="K2087" t="str">
        <f>""</f>
        <v/>
      </c>
      <c r="L2087" t="str">
        <f>""</f>
        <v/>
      </c>
      <c r="M2087" t="str">
        <f>""</f>
        <v/>
      </c>
      <c r="N2087" t="str">
        <f>""</f>
        <v/>
      </c>
      <c r="O2087" t="str">
        <f>""</f>
        <v/>
      </c>
    </row>
    <row r="2088" spans="1:15" x14ac:dyDescent="0.25">
      <c r="A2088" t="str">
        <f>$A$1017</f>
        <v xml:space="preserve">                    Southern Co/The</v>
      </c>
      <c r="B2088" t="str">
        <f>$B$1017</f>
        <v>SO US Equity</v>
      </c>
      <c r="C2088" t="str">
        <f>$C$1017</f>
        <v>F0946</v>
      </c>
      <c r="D2088" t="str">
        <f>$D$1017</f>
        <v>TOTAL_GHG_CO2_EMISSIONS</v>
      </c>
      <c r="E2088" t="str">
        <f>$E$1017</f>
        <v>Dynamic</v>
      </c>
      <c r="F2088" t="str">
        <f ca="1">_xll.BDH($B$1017,$C$1017,$B$1130,$B$1131,CONCATENATE("Per=",$B$1128),"Dts=H","Dir=H",CONCATENATE("Points=",$B$1129),"Sort=R","Days=A","Fill=B",CONCATENATE("FX=", $B$1127),"cols=5;rows=1")</f>
        <v/>
      </c>
      <c r="G2088">
        <v>82.639499999999998</v>
      </c>
      <c r="H2088">
        <v>75.316599999999994</v>
      </c>
      <c r="I2088">
        <v>88.420699999999997</v>
      </c>
      <c r="J2088">
        <v>105.065</v>
      </c>
      <c r="K2088" t="str">
        <f>""</f>
        <v/>
      </c>
      <c r="L2088" t="str">
        <f>""</f>
        <v/>
      </c>
      <c r="M2088" t="str">
        <f>""</f>
        <v/>
      </c>
      <c r="N2088" t="str">
        <f>""</f>
        <v/>
      </c>
      <c r="O2088" t="str">
        <f>""</f>
        <v/>
      </c>
    </row>
    <row r="2089" spans="1:15" x14ac:dyDescent="0.25">
      <c r="A2089" t="str">
        <f>$A$1018</f>
        <v xml:space="preserve">                    WEC Energy Group Inc</v>
      </c>
      <c r="B2089" t="str">
        <f>$B$1018</f>
        <v>WEC US Equity</v>
      </c>
      <c r="C2089" t="str">
        <f>$C$1018</f>
        <v>F0946</v>
      </c>
      <c r="D2089" t="str">
        <f>$D$1018</f>
        <v>TOTAL_GHG_CO2_EMISSIONS</v>
      </c>
      <c r="E2089" t="str">
        <f>$E$1018</f>
        <v>Dynamic</v>
      </c>
      <c r="F2089" t="str">
        <f ca="1">_xll.BDH($B$1018,$C$1018,$B$1130,$B$1131,CONCATENATE("Per=",$B$1128),"Dts=H","Dir=H",CONCATENATE("Points=",$B$1129),"Sort=R","Days=A","Fill=B",CONCATENATE("FX=", $B$1127),"cols=5;rows=1")</f>
        <v/>
      </c>
      <c r="G2089">
        <v>21.757999999999999</v>
      </c>
      <c r="H2089">
        <v>20.241</v>
      </c>
      <c r="I2089">
        <v>22.177</v>
      </c>
      <c r="J2089">
        <v>27.103999999999999</v>
      </c>
      <c r="K2089" t="str">
        <f>""</f>
        <v/>
      </c>
      <c r="L2089" t="str">
        <f>""</f>
        <v/>
      </c>
      <c r="M2089" t="str">
        <f>""</f>
        <v/>
      </c>
      <c r="N2089" t="str">
        <f>""</f>
        <v/>
      </c>
      <c r="O2089" t="str">
        <f>""</f>
        <v/>
      </c>
    </row>
    <row r="2090" spans="1:15" x14ac:dyDescent="0.25">
      <c r="A2090" t="str">
        <f>$A$1019</f>
        <v xml:space="preserve">                    Xcel Energy Inc</v>
      </c>
      <c r="B2090" t="str">
        <f>$B$1019</f>
        <v>XEL US Equity</v>
      </c>
      <c r="C2090" t="str">
        <f>$C$1019</f>
        <v>F0946</v>
      </c>
      <c r="D2090" t="str">
        <f>$D$1019</f>
        <v>TOTAL_GHG_CO2_EMISSIONS</v>
      </c>
      <c r="E2090" t="str">
        <f>$E$1019</f>
        <v>Dynamic</v>
      </c>
      <c r="F2090">
        <f ca="1">_xll.BDH($B$1019,$C$1019,$B$1130,$B$1131,CONCATENATE("Per=",$B$1128),"Dts=H","Dir=H",CONCATENATE("Points=",$B$1129),"Sort=R","Days=A","Fill=B",CONCATENATE("FX=", $B$1127),"cols=5;rows=1")</f>
        <v>38.700000000000003</v>
      </c>
      <c r="G2090">
        <v>40.200000000000003</v>
      </c>
      <c r="H2090">
        <v>37.336500000000001</v>
      </c>
      <c r="I2090">
        <v>44.663600000000002</v>
      </c>
      <c r="J2090">
        <v>47.945999999999998</v>
      </c>
      <c r="K2090" t="str">
        <f>""</f>
        <v/>
      </c>
      <c r="L2090" t="str">
        <f>""</f>
        <v/>
      </c>
      <c r="M2090" t="str">
        <f>""</f>
        <v/>
      </c>
      <c r="N2090" t="str">
        <f>""</f>
        <v/>
      </c>
      <c r="O2090" t="str">
        <f>""</f>
        <v/>
      </c>
    </row>
    <row r="2091" spans="1:15" x14ac:dyDescent="0.25">
      <c r="A2091" t="str">
        <f>$A$1022</f>
        <v xml:space="preserve">                        A2A SpA</v>
      </c>
      <c r="B2091" t="str">
        <f>$B$1022</f>
        <v>A2A IM Equity</v>
      </c>
      <c r="C2091" t="str">
        <f>$C$1022</f>
        <v>F0946</v>
      </c>
      <c r="D2091" t="str">
        <f>$D$1022</f>
        <v>TOTAL_GHG_CO2_EMISSIONS</v>
      </c>
      <c r="E2091" t="str">
        <f>$E$1022</f>
        <v>Dynamic</v>
      </c>
      <c r="F2091">
        <f ca="1">_xll.BDH($B$1022,$C$1022,$B$1130,$B$1131,CONCATENATE("Per=",$B$1128),"Dts=H","Dir=H",CONCATENATE("Points=",$B$1129),"Sort=R","Days=A","Fill=B",CONCATENATE("FX=", $B$1127),"cols=5;rows=1")</f>
        <v>8.9094999999999995</v>
      </c>
      <c r="G2091">
        <v>7.4061000000000003</v>
      </c>
      <c r="H2091">
        <v>5.9627999999999997</v>
      </c>
      <c r="I2091">
        <v>7.0566000000000004</v>
      </c>
      <c r="J2091">
        <v>7.6012000000000004</v>
      </c>
      <c r="K2091" t="str">
        <f>""</f>
        <v/>
      </c>
      <c r="L2091" t="str">
        <f>""</f>
        <v/>
      </c>
      <c r="M2091" t="str">
        <f>""</f>
        <v/>
      </c>
      <c r="N2091" t="str">
        <f>""</f>
        <v/>
      </c>
      <c r="O2091" t="str">
        <f>""</f>
        <v/>
      </c>
    </row>
    <row r="2092" spans="1:15" x14ac:dyDescent="0.25">
      <c r="A2092" t="str">
        <f>$A$1023</f>
        <v xml:space="preserve">                        Acciona SA</v>
      </c>
      <c r="B2092" t="str">
        <f>$B$1023</f>
        <v>ANA SM Equity</v>
      </c>
      <c r="C2092" t="str">
        <f>$C$1023</f>
        <v>F0946</v>
      </c>
      <c r="D2092" t="str">
        <f>$D$1023</f>
        <v>TOTAL_GHG_CO2_EMISSIONS</v>
      </c>
      <c r="E2092" t="str">
        <f>$E$1023</f>
        <v>Dynamic</v>
      </c>
      <c r="F2092">
        <f ca="1">_xll.BDH($B$1023,$C$1023,$B$1130,$B$1131,CONCATENATE("Per=",$B$1128),"Dts=H","Dir=H",CONCATENATE("Points=",$B$1129),"Sort=R","Days=A","Fill=B",CONCATENATE("FX=", $B$1127),"cols=5;rows=1")</f>
        <v>0.2994</v>
      </c>
      <c r="G2092">
        <v>0.30449999999999999</v>
      </c>
      <c r="H2092">
        <v>0.2059</v>
      </c>
      <c r="I2092">
        <v>0.16600000000000001</v>
      </c>
      <c r="J2092">
        <v>0.438</v>
      </c>
      <c r="K2092" t="str">
        <f>""</f>
        <v/>
      </c>
      <c r="L2092" t="str">
        <f>""</f>
        <v/>
      </c>
      <c r="M2092" t="str">
        <f>""</f>
        <v/>
      </c>
      <c r="N2092" t="str">
        <f>""</f>
        <v/>
      </c>
      <c r="O2092" t="str">
        <f>""</f>
        <v/>
      </c>
    </row>
    <row r="2093" spans="1:15" x14ac:dyDescent="0.25">
      <c r="A2093" t="str">
        <f>$A$1024</f>
        <v xml:space="preserve">                        ACEA SpA</v>
      </c>
      <c r="B2093" t="str">
        <f>$B$1024</f>
        <v>ACE IM Equity</v>
      </c>
      <c r="C2093" t="str">
        <f>$C$1024</f>
        <v>F0946</v>
      </c>
      <c r="D2093" t="str">
        <f>$D$1024</f>
        <v>TOTAL_GHG_CO2_EMISSIONS</v>
      </c>
      <c r="E2093" t="str">
        <f>$E$1024</f>
        <v>Dynamic</v>
      </c>
      <c r="F2093">
        <f ca="1">_xll.BDH($B$1024,$C$1024,$B$1130,$B$1131,CONCATENATE("Per=",$B$1128),"Dts=H","Dir=H",CONCATENATE("Points=",$B$1129),"Sort=R","Days=A","Fill=B",CONCATENATE("FX=", $B$1127),"cols=5;rows=1")</f>
        <v>0.40439999999999998</v>
      </c>
      <c r="G2093">
        <v>0.76519999999999999</v>
      </c>
      <c r="H2093">
        <v>0.76390000000000002</v>
      </c>
      <c r="I2093">
        <v>0.71930000000000005</v>
      </c>
      <c r="J2093">
        <v>0.67989999999999995</v>
      </c>
      <c r="K2093" t="str">
        <f>""</f>
        <v/>
      </c>
      <c r="L2093" t="str">
        <f>""</f>
        <v/>
      </c>
      <c r="M2093" t="str">
        <f>""</f>
        <v/>
      </c>
      <c r="N2093" t="str">
        <f>""</f>
        <v/>
      </c>
      <c r="O2093" t="str">
        <f>""</f>
        <v/>
      </c>
    </row>
    <row r="2094" spans="1:15" x14ac:dyDescent="0.25">
      <c r="A2094" t="str">
        <f>$A$1025</f>
        <v xml:space="preserve">                        BKW AG</v>
      </c>
      <c r="B2094" t="str">
        <f>$B$1025</f>
        <v>BKW SW Equity</v>
      </c>
      <c r="C2094" t="str">
        <f>$C$1025</f>
        <v>F0946</v>
      </c>
      <c r="D2094" t="str">
        <f>$D$1025</f>
        <v>TOTAL_GHG_CO2_EMISSIONS</v>
      </c>
      <c r="E2094" t="str">
        <f>$E$1025</f>
        <v>Dynamic</v>
      </c>
      <c r="F2094">
        <f ca="1">_xll.BDH($B$1025,$C$1025,$B$1130,$B$1131,CONCATENATE("Per=",$B$1128),"Dts=H","Dir=H",CONCATENATE("Points=",$B$1129),"Sort=R","Days=A","Fill=B",CONCATENATE("FX=", $B$1127),"cols=5;rows=1")</f>
        <v>2.4400000000000002E-2</v>
      </c>
      <c r="K2094" t="str">
        <f>""</f>
        <v/>
      </c>
      <c r="L2094" t="str">
        <f>""</f>
        <v/>
      </c>
      <c r="M2094" t="str">
        <f>""</f>
        <v/>
      </c>
      <c r="N2094" t="str">
        <f>""</f>
        <v/>
      </c>
      <c r="O2094" t="str">
        <f>""</f>
        <v/>
      </c>
    </row>
    <row r="2095" spans="1:15" x14ac:dyDescent="0.25">
      <c r="A2095" t="str">
        <f>$A$1026</f>
        <v xml:space="preserve">                        Centrica PLC</v>
      </c>
      <c r="B2095" t="str">
        <f>$B$1026</f>
        <v>CNA LN Equity</v>
      </c>
      <c r="C2095" t="str">
        <f>$C$1026</f>
        <v>F0946</v>
      </c>
      <c r="D2095" t="str">
        <f>$D$1026</f>
        <v>TOTAL_GHG_CO2_EMISSIONS</v>
      </c>
      <c r="E2095" t="str">
        <f>$E$1026</f>
        <v>Dynamic</v>
      </c>
      <c r="F2095">
        <f ca="1">_xll.BDH($B$1026,$C$1026,$B$1130,$B$1131,CONCATENATE("Per=",$B$1128),"Dts=H","Dir=H",CONCATENATE("Points=",$B$1129),"Sort=R","Days=A","Fill=B",CONCATENATE("FX=", $B$1127),"cols=5;rows=1")</f>
        <v>2.0104000000000002</v>
      </c>
      <c r="G2095">
        <v>0.2361</v>
      </c>
      <c r="H2095">
        <v>1.9258</v>
      </c>
      <c r="I2095">
        <v>2.2835000000000001</v>
      </c>
      <c r="J2095">
        <v>1.7371000000000001</v>
      </c>
      <c r="K2095" t="str">
        <f>""</f>
        <v/>
      </c>
      <c r="L2095" t="str">
        <f>""</f>
        <v/>
      </c>
      <c r="M2095" t="str">
        <f>""</f>
        <v/>
      </c>
      <c r="N2095" t="str">
        <f>""</f>
        <v/>
      </c>
      <c r="O2095" t="str">
        <f>""</f>
        <v/>
      </c>
    </row>
    <row r="2096" spans="1:15" x14ac:dyDescent="0.25">
      <c r="A2096" t="str">
        <f>$A$1027</f>
        <v xml:space="preserve">                        CEZ AS</v>
      </c>
      <c r="B2096" t="str">
        <f>$B$1027</f>
        <v>CEZ CP Equity</v>
      </c>
      <c r="C2096" t="str">
        <f>$C$1027</f>
        <v>F0946</v>
      </c>
      <c r="D2096" t="str">
        <f>$D$1027</f>
        <v>TOTAL_GHG_CO2_EMISSIONS</v>
      </c>
      <c r="E2096" t="str">
        <f>$E$1027</f>
        <v>Dynamic</v>
      </c>
      <c r="F2096">
        <f ca="1">_xll.BDH($B$1027,$C$1027,$B$1130,$B$1131,CONCATENATE("Per=",$B$1128),"Dts=H","Dir=H",CONCATENATE("Points=",$B$1129),"Sort=R","Days=A","Fill=B",CONCATENATE("FX=", $B$1127),"cols=5;rows=1")</f>
        <v>18.161100000000001</v>
      </c>
      <c r="G2096">
        <v>19.1372</v>
      </c>
      <c r="H2096">
        <v>25.065899999999999</v>
      </c>
      <c r="K2096" t="str">
        <f>""</f>
        <v/>
      </c>
      <c r="L2096" t="str">
        <f>""</f>
        <v/>
      </c>
      <c r="M2096" t="str">
        <f>""</f>
        <v/>
      </c>
      <c r="N2096" t="str">
        <f>""</f>
        <v/>
      </c>
      <c r="O2096" t="str">
        <f>""</f>
        <v/>
      </c>
    </row>
    <row r="2097" spans="1:15" x14ac:dyDescent="0.25">
      <c r="A2097" t="str">
        <f>$A$1028</f>
        <v xml:space="preserve">                        Drax Group PLC</v>
      </c>
      <c r="B2097" t="str">
        <f>$B$1028</f>
        <v>DRX LN Equity</v>
      </c>
      <c r="C2097" t="str">
        <f>$C$1028</f>
        <v>F0946</v>
      </c>
      <c r="D2097" t="str">
        <f>$D$1028</f>
        <v>TOTAL_GHG_CO2_EMISSIONS</v>
      </c>
      <c r="E2097" t="str">
        <f>$E$1028</f>
        <v>Dynamic</v>
      </c>
      <c r="F2097">
        <f ca="1">_xll.BDH($B$1028,$C$1028,$B$1130,$B$1131,CONCATENATE("Per=",$B$1128),"Dts=H","Dir=H",CONCATENATE("Points=",$B$1129),"Sort=R","Days=A","Fill=B",CONCATENATE("FX=", $B$1127),"cols=5;rows=1")</f>
        <v>0.66900000000000004</v>
      </c>
      <c r="G2097">
        <v>1.2549999999999999</v>
      </c>
      <c r="H2097">
        <v>3.08</v>
      </c>
      <c r="I2097">
        <v>2.371</v>
      </c>
      <c r="J2097">
        <v>4.484</v>
      </c>
      <c r="K2097" t="str">
        <f>""</f>
        <v/>
      </c>
      <c r="L2097" t="str">
        <f>""</f>
        <v/>
      </c>
      <c r="M2097" t="str">
        <f>""</f>
        <v/>
      </c>
      <c r="N2097" t="str">
        <f>""</f>
        <v/>
      </c>
      <c r="O2097" t="str">
        <f>""</f>
        <v/>
      </c>
    </row>
    <row r="2098" spans="1:15" x14ac:dyDescent="0.25">
      <c r="A2098" t="str">
        <f>$A$1029</f>
        <v xml:space="preserve">                        EDP Renovaveis SA</v>
      </c>
      <c r="B2098" t="str">
        <f>$B$1029</f>
        <v>EDPR PL Equity</v>
      </c>
      <c r="C2098" t="str">
        <f>$C$1029</f>
        <v>F0946</v>
      </c>
      <c r="D2098" t="str">
        <f>$D$1029</f>
        <v>TOTAL_GHG_CO2_EMISSIONS</v>
      </c>
      <c r="E2098" t="str">
        <f>$E$1029</f>
        <v>Dynamic</v>
      </c>
      <c r="F2098">
        <f ca="1">_xll.BDH($B$1029,$C$1029,$B$1130,$B$1131,CONCATENATE("Per=",$B$1128),"Dts=H","Dir=H",CONCATENATE("Points=",$B$1129),"Sort=R","Days=A","Fill=B",CONCATENATE("FX=", $B$1127),"cols=5;rows=1")</f>
        <v>3.0800000000000001E-2</v>
      </c>
      <c r="G2098">
        <v>2.98E-2</v>
      </c>
      <c r="H2098">
        <v>3.0800000000000001E-2</v>
      </c>
      <c r="I2098">
        <v>2.8799999999999999E-2</v>
      </c>
      <c r="J2098">
        <v>3.27E-2</v>
      </c>
      <c r="K2098" t="str">
        <f>""</f>
        <v/>
      </c>
      <c r="L2098" t="str">
        <f>""</f>
        <v/>
      </c>
      <c r="M2098" t="str">
        <f>""</f>
        <v/>
      </c>
      <c r="N2098" t="str">
        <f>""</f>
        <v/>
      </c>
      <c r="O2098" t="str">
        <f>""</f>
        <v/>
      </c>
    </row>
    <row r="2099" spans="1:15" x14ac:dyDescent="0.25">
      <c r="A2099" t="str">
        <f>$A$1030</f>
        <v xml:space="preserve">                        Encavis AG</v>
      </c>
      <c r="B2099" t="str">
        <f>$B$1030</f>
        <v>ECV GR Equity</v>
      </c>
      <c r="C2099" t="str">
        <f>$C$1030</f>
        <v>F0946</v>
      </c>
      <c r="D2099" t="str">
        <f>$D$1030</f>
        <v>TOTAL_GHG_CO2_EMISSIONS</v>
      </c>
      <c r="E2099" t="str">
        <f>$E$1030</f>
        <v>Dynamic</v>
      </c>
      <c r="F2099" t="str">
        <f ca="1">_xll.BDH($B$1030,$C$1030,$B$1130,$B$1131,CONCATENATE("Per=",$B$1128),"Dts=H","Dir=H",CONCATENATE("Points=",$B$1129),"Sort=R","Days=A","Fill=B",CONCATENATE("FX=", $B$1127) )</f>
        <v/>
      </c>
      <c r="K2099" t="str">
        <f>""</f>
        <v/>
      </c>
      <c r="L2099" t="str">
        <f>""</f>
        <v/>
      </c>
      <c r="M2099" t="str">
        <f>""</f>
        <v/>
      </c>
      <c r="N2099" t="str">
        <f>""</f>
        <v/>
      </c>
      <c r="O2099" t="str">
        <f>""</f>
        <v/>
      </c>
    </row>
    <row r="2100" spans="1:15" x14ac:dyDescent="0.25">
      <c r="A2100" t="str">
        <f>$A$1031</f>
        <v xml:space="preserve">                        Endesa SA</v>
      </c>
      <c r="B2100" t="str">
        <f>$B$1031</f>
        <v>ELE SM Equity</v>
      </c>
      <c r="C2100" t="str">
        <f>$C$1031</f>
        <v>F0946</v>
      </c>
      <c r="D2100" t="str">
        <f>$D$1031</f>
        <v>TOTAL_GHG_CO2_EMISSIONS</v>
      </c>
      <c r="E2100" t="str">
        <f>$E$1031</f>
        <v>Dynamic</v>
      </c>
      <c r="F2100">
        <f ca="1">_xll.BDH($B$1031,$C$1031,$B$1130,$B$1131,CONCATENATE("Per=",$B$1128),"Dts=H","Dir=H",CONCATENATE("Points=",$B$1129),"Sort=R","Days=A","Fill=B",CONCATENATE("FX=", $B$1127),"cols=5;rows=1")</f>
        <v>14.0921</v>
      </c>
      <c r="G2100">
        <v>11.245799999999999</v>
      </c>
      <c r="H2100">
        <v>10.7555</v>
      </c>
      <c r="I2100">
        <v>18.194500000000001</v>
      </c>
      <c r="J2100">
        <v>32.668500000000002</v>
      </c>
      <c r="K2100" t="str">
        <f>""</f>
        <v/>
      </c>
      <c r="L2100" t="str">
        <f>""</f>
        <v/>
      </c>
      <c r="M2100" t="str">
        <f>""</f>
        <v/>
      </c>
      <c r="N2100" t="str">
        <f>""</f>
        <v/>
      </c>
      <c r="O2100" t="str">
        <f>""</f>
        <v/>
      </c>
    </row>
    <row r="2101" spans="1:15" x14ac:dyDescent="0.25">
      <c r="A2101" t="str">
        <f>$A$1032</f>
        <v xml:space="preserve">                        Enea SA</v>
      </c>
      <c r="B2101" t="str">
        <f>$B$1032</f>
        <v>ENA PW Equity</v>
      </c>
      <c r="C2101" t="str">
        <f>$C$1032</f>
        <v>F0946</v>
      </c>
      <c r="D2101" t="str">
        <f>$D$1032</f>
        <v>TOTAL_GHG_CO2_EMISSIONS</v>
      </c>
      <c r="E2101" t="str">
        <f>$E$1032</f>
        <v>Dynamic</v>
      </c>
      <c r="F2101">
        <f ca="1">_xll.BDH($B$1032,$C$1032,$B$1130,$B$1131,CONCATENATE("Per=",$B$1128),"Dts=H","Dir=H",CONCATENATE("Points=",$B$1129),"Sort=R","Days=A","Fill=B",CONCATENATE("FX=", $B$1127),"cols=5;rows=1")</f>
        <v>23.392299999999999</v>
      </c>
      <c r="G2101">
        <v>22.708400000000001</v>
      </c>
      <c r="H2101">
        <v>18.671299999999999</v>
      </c>
      <c r="I2101">
        <v>21.647600000000001</v>
      </c>
      <c r="J2101">
        <v>14.3653</v>
      </c>
      <c r="K2101" t="str">
        <f>""</f>
        <v/>
      </c>
      <c r="L2101" t="str">
        <f>""</f>
        <v/>
      </c>
      <c r="M2101" t="str">
        <f>""</f>
        <v/>
      </c>
      <c r="N2101" t="str">
        <f>""</f>
        <v/>
      </c>
      <c r="O2101" t="str">
        <f>""</f>
        <v/>
      </c>
    </row>
    <row r="2102" spans="1:15" x14ac:dyDescent="0.25">
      <c r="A2102" t="str">
        <f>$A$1033</f>
        <v xml:space="preserve">                        Enel SpA</v>
      </c>
      <c r="B2102" t="str">
        <f>$B$1033</f>
        <v>ENEL IM Equity</v>
      </c>
      <c r="C2102" t="str">
        <f>$C$1033</f>
        <v>F0946</v>
      </c>
      <c r="D2102" t="str">
        <f>$D$1033</f>
        <v>TOTAL_GHG_CO2_EMISSIONS</v>
      </c>
      <c r="E2102" t="str">
        <f>$E$1033</f>
        <v>Dynamic</v>
      </c>
      <c r="F2102">
        <f ca="1">_xll.BDH($B$1033,$C$1033,$B$1130,$B$1131,CONCATENATE("Per=",$B$1128),"Dts=H","Dir=H",CONCATENATE("Points=",$B$1129),"Sort=R","Days=A","Fill=B",CONCATENATE("FX=", $B$1127),"cols=5;rows=1")</f>
        <v>57.1</v>
      </c>
      <c r="G2102">
        <v>55.873399999999997</v>
      </c>
      <c r="H2102">
        <v>50.25</v>
      </c>
      <c r="I2102">
        <v>75.349999999999994</v>
      </c>
      <c r="J2102">
        <v>95.89</v>
      </c>
      <c r="K2102" t="str">
        <f>""</f>
        <v/>
      </c>
      <c r="L2102" t="str">
        <f>""</f>
        <v/>
      </c>
      <c r="M2102" t="str">
        <f>""</f>
        <v/>
      </c>
      <c r="N2102" t="str">
        <f>""</f>
        <v/>
      </c>
      <c r="O2102" t="str">
        <f>""</f>
        <v/>
      </c>
    </row>
    <row r="2103" spans="1:15" x14ac:dyDescent="0.25">
      <c r="A2103" t="str">
        <f>$A$1034</f>
        <v xml:space="preserve">                        EDP - Energias de Portugal SA</v>
      </c>
      <c r="B2103" t="str">
        <f>$B$1034</f>
        <v>EDP PL Equity</v>
      </c>
      <c r="C2103" t="str">
        <f>$C$1034</f>
        <v>F0946</v>
      </c>
      <c r="D2103" t="str">
        <f>$D$1034</f>
        <v>TOTAL_GHG_CO2_EMISSIONS</v>
      </c>
      <c r="E2103" t="str">
        <f>$E$1034</f>
        <v>Dynamic</v>
      </c>
      <c r="F2103">
        <f ca="1">_xll.BDH($B$1034,$C$1034,$B$1130,$B$1131,CONCATENATE("Per=",$B$1128),"Dts=H","Dir=H",CONCATENATE("Points=",$B$1129),"Sort=R","Days=A","Fill=B",CONCATENATE("FX=", $B$1127),"cols=5;rows=1")</f>
        <v>9.8740000000000006</v>
      </c>
      <c r="G2103">
        <v>10.61</v>
      </c>
      <c r="H2103">
        <v>9.9049999999999994</v>
      </c>
      <c r="I2103">
        <v>15.2089</v>
      </c>
      <c r="J2103">
        <v>19.031099999999999</v>
      </c>
      <c r="K2103" t="str">
        <f>""</f>
        <v/>
      </c>
      <c r="L2103" t="str">
        <f>""</f>
        <v/>
      </c>
      <c r="M2103" t="str">
        <f>""</f>
        <v/>
      </c>
      <c r="N2103" t="str">
        <f>""</f>
        <v/>
      </c>
      <c r="O2103" t="str">
        <f>""</f>
        <v/>
      </c>
    </row>
    <row r="2104" spans="1:15" x14ac:dyDescent="0.25">
      <c r="A2104" t="str">
        <f>$A$1035</f>
        <v xml:space="preserve">                        Energiedienst Holding AG</v>
      </c>
      <c r="B2104" t="str">
        <f>$B$1035</f>
        <v>EDHN SW Equity</v>
      </c>
      <c r="C2104" t="str">
        <f>$C$1035</f>
        <v>F0946</v>
      </c>
      <c r="D2104" t="str">
        <f>$D$1035</f>
        <v>TOTAL_GHG_CO2_EMISSIONS</v>
      </c>
      <c r="E2104" t="str">
        <f>$E$1035</f>
        <v>Dynamic</v>
      </c>
      <c r="F2104">
        <f ca="1">_xll.BDH($B$1035,$C$1035,$B$1130,$B$1131,CONCATENATE("Per=",$B$1128),"Dts=H","Dir=H",CONCATENATE("Points=",$B$1129),"Sort=R","Days=A","Fill=B",CONCATENATE("FX=", $B$1127),"cols=5;rows=1")</f>
        <v>3.5700000000000003E-2</v>
      </c>
      <c r="G2104">
        <v>4.07E-2</v>
      </c>
      <c r="K2104" t="str">
        <f>""</f>
        <v/>
      </c>
      <c r="L2104" t="str">
        <f>""</f>
        <v/>
      </c>
      <c r="M2104" t="str">
        <f>""</f>
        <v/>
      </c>
      <c r="N2104" t="str">
        <f>""</f>
        <v/>
      </c>
      <c r="O2104" t="str">
        <f>""</f>
        <v/>
      </c>
    </row>
    <row r="2105" spans="1:15" x14ac:dyDescent="0.25">
      <c r="A2105" t="str">
        <f>$A$1036</f>
        <v xml:space="preserve">                        Electricite de France SA</v>
      </c>
      <c r="B2105" t="str">
        <f>$B$1036</f>
        <v>EDF FP Equity</v>
      </c>
      <c r="C2105" t="str">
        <f>$C$1036</f>
        <v>F0946</v>
      </c>
      <c r="D2105" t="str">
        <f>$D$1036</f>
        <v>TOTAL_GHG_CO2_EMISSIONS</v>
      </c>
      <c r="E2105" t="str">
        <f>$E$1036</f>
        <v>Dynamic</v>
      </c>
      <c r="F2105">
        <f ca="1">_xll.BDH($B$1036,$C$1036,$B$1130,$B$1131,CONCATENATE("Per=",$B$1128),"Dts=H","Dir=H",CONCATENATE("Points=",$B$1129),"Sort=R","Days=A","Fill=B",CONCATENATE("FX=", $B$1127),"cols=5;rows=1")</f>
        <v>24.39</v>
      </c>
      <c r="G2105">
        <v>27.67</v>
      </c>
      <c r="H2105">
        <v>28.011800000000001</v>
      </c>
      <c r="I2105">
        <v>33.3795</v>
      </c>
      <c r="J2105">
        <v>36.169800000000002</v>
      </c>
      <c r="K2105" t="str">
        <f>""</f>
        <v/>
      </c>
      <c r="L2105" t="str">
        <f>""</f>
        <v/>
      </c>
      <c r="M2105" t="str">
        <f>""</f>
        <v/>
      </c>
      <c r="N2105" t="str">
        <f>""</f>
        <v/>
      </c>
      <c r="O2105" t="str">
        <f>""</f>
        <v/>
      </c>
    </row>
    <row r="2106" spans="1:15" x14ac:dyDescent="0.25">
      <c r="A2106" t="str">
        <f>$A$1037</f>
        <v xml:space="preserve">                        Engie SA</v>
      </c>
      <c r="B2106" t="str">
        <f>$B$1037</f>
        <v>ENGI FP Equity</v>
      </c>
      <c r="C2106" t="str">
        <f>$C$1037</f>
        <v>F0946</v>
      </c>
      <c r="D2106" t="str">
        <f>$D$1037</f>
        <v>TOTAL_GHG_CO2_EMISSIONS</v>
      </c>
      <c r="E2106" t="str">
        <f>$E$1037</f>
        <v>Dynamic</v>
      </c>
      <c r="F2106">
        <f ca="1">_xll.BDH($B$1037,$C$1037,$B$1130,$B$1131,CONCATENATE("Per=",$B$1128),"Dts=H","Dir=H",CONCATENATE("Points=",$B$1129),"Sort=R","Days=A","Fill=B",CONCATENATE("FX=", $B$1127),"cols=5;rows=1")</f>
        <v>30.584</v>
      </c>
      <c r="G2106">
        <v>39.4514</v>
      </c>
      <c r="H2106">
        <v>40.919600000000003</v>
      </c>
      <c r="I2106">
        <v>56.470799999999997</v>
      </c>
      <c r="J2106">
        <v>69.201999999999998</v>
      </c>
      <c r="K2106" t="str">
        <f>""</f>
        <v/>
      </c>
      <c r="L2106" t="str">
        <f>""</f>
        <v/>
      </c>
      <c r="M2106" t="str">
        <f>""</f>
        <v/>
      </c>
      <c r="N2106" t="str">
        <f>""</f>
        <v/>
      </c>
      <c r="O2106" t="str">
        <f>""</f>
        <v/>
      </c>
    </row>
    <row r="2107" spans="1:15" x14ac:dyDescent="0.25">
      <c r="A2107" t="str">
        <f>$A$1038</f>
        <v xml:space="preserve">                        EVN AG</v>
      </c>
      <c r="B2107" t="str">
        <f>$B$1038</f>
        <v>EVN AV Equity</v>
      </c>
      <c r="C2107" t="str">
        <f>$C$1038</f>
        <v>F0946</v>
      </c>
      <c r="D2107" t="str">
        <f>$D$1038</f>
        <v>TOTAL_GHG_CO2_EMISSIONS</v>
      </c>
      <c r="E2107" t="str">
        <f>$E$1038</f>
        <v>Dynamic</v>
      </c>
      <c r="F2107">
        <f ca="1">_xll.BDH($B$1038,$C$1038,$B$1130,$B$1131,CONCATENATE("Per=",$B$1128),"Dts=H","Dir=H",CONCATENATE("Points=",$B$1129),"Sort=R","Days=A","Fill=B",CONCATENATE("FX=", $B$1127),"cols=5;rows=1")</f>
        <v>2.4422000000000001</v>
      </c>
      <c r="G2107">
        <v>3.4198</v>
      </c>
      <c r="H2107">
        <v>2.4327000000000001</v>
      </c>
      <c r="I2107">
        <v>3.7105999999999999</v>
      </c>
      <c r="J2107">
        <v>2.7879</v>
      </c>
      <c r="K2107" t="str">
        <f>""</f>
        <v/>
      </c>
      <c r="L2107" t="str">
        <f>""</f>
        <v/>
      </c>
      <c r="M2107" t="str">
        <f>""</f>
        <v/>
      </c>
      <c r="N2107" t="str">
        <f>""</f>
        <v/>
      </c>
      <c r="O2107" t="str">
        <f>""</f>
        <v/>
      </c>
    </row>
    <row r="2108" spans="1:15" x14ac:dyDescent="0.25">
      <c r="A2108" t="str">
        <f>$A$1039</f>
        <v xml:space="preserve">                        Falck Renewables SpA</v>
      </c>
      <c r="B2108" t="str">
        <f>$B$1039</f>
        <v>FKR IM Equity</v>
      </c>
      <c r="C2108" t="str">
        <f>$C$1039</f>
        <v>F0946</v>
      </c>
      <c r="D2108" t="str">
        <f>$D$1039</f>
        <v>TOTAL_GHG_CO2_EMISSIONS</v>
      </c>
      <c r="E2108" t="str">
        <f>$E$1039</f>
        <v>Dynamic</v>
      </c>
      <c r="F2108" t="str">
        <f ca="1">_xll.BDH($B$1039,$C$1039,$B$1130,$B$1131,CONCATENATE("Per=",$B$1128),"Dts=H","Dir=H",CONCATENATE("Points=",$B$1129),"Sort=R","Days=A","Fill=B",CONCATENATE("FX=", $B$1127),"cols=5;rows=1")</f>
        <v/>
      </c>
      <c r="G2108">
        <v>0.17349999999999999</v>
      </c>
      <c r="H2108">
        <v>0.1585</v>
      </c>
      <c r="I2108">
        <v>0.11260000000000001</v>
      </c>
      <c r="J2108">
        <v>0.1144</v>
      </c>
      <c r="K2108" t="str">
        <f>""</f>
        <v/>
      </c>
      <c r="L2108" t="str">
        <f>""</f>
        <v/>
      </c>
      <c r="M2108" t="str">
        <f>""</f>
        <v/>
      </c>
      <c r="N2108" t="str">
        <f>""</f>
        <v/>
      </c>
      <c r="O2108" t="str">
        <f>""</f>
        <v/>
      </c>
    </row>
    <row r="2109" spans="1:15" x14ac:dyDescent="0.25">
      <c r="A2109" t="str">
        <f>$A$1040</f>
        <v xml:space="preserve">                        Fortum Oyj</v>
      </c>
      <c r="B2109" t="str">
        <f>$B$1040</f>
        <v>FORTUM FH Equity</v>
      </c>
      <c r="C2109" t="str">
        <f>$C$1040</f>
        <v>F0946</v>
      </c>
      <c r="D2109" t="str">
        <f>$D$1040</f>
        <v>TOTAL_GHG_CO2_EMISSIONS</v>
      </c>
      <c r="E2109" t="str">
        <f>$E$1040</f>
        <v>Dynamic</v>
      </c>
      <c r="F2109">
        <f ca="1">_xll.BDH($B$1040,$C$1040,$B$1130,$B$1131,CONCATENATE("Per=",$B$1128),"Dts=H","Dir=H",CONCATENATE("Points=",$B$1129),"Sort=R","Days=A","Fill=B",CONCATENATE("FX=", $B$1127),"cols=5;rows=1")</f>
        <v>17.04</v>
      </c>
      <c r="G2109">
        <v>69.732799999999997</v>
      </c>
      <c r="H2109">
        <v>49.675800000000002</v>
      </c>
      <c r="I2109">
        <v>19.404499999999999</v>
      </c>
      <c r="J2109">
        <v>20.303799999999999</v>
      </c>
      <c r="K2109" t="str">
        <f>""</f>
        <v/>
      </c>
      <c r="L2109" t="str">
        <f>""</f>
        <v/>
      </c>
      <c r="M2109" t="str">
        <f>""</f>
        <v/>
      </c>
      <c r="N2109" t="str">
        <f>""</f>
        <v/>
      </c>
      <c r="O2109" t="str">
        <f>""</f>
        <v/>
      </c>
    </row>
    <row r="2110" spans="1:15" x14ac:dyDescent="0.25">
      <c r="A2110" t="str">
        <f>$A$1041</f>
        <v xml:space="preserve">                        Iren SpA</v>
      </c>
      <c r="B2110" t="str">
        <f>$B$1041</f>
        <v>IRE IM Equity</v>
      </c>
      <c r="C2110" t="str">
        <f>$C$1041</f>
        <v>F0946</v>
      </c>
      <c r="D2110" t="str">
        <f>$D$1041</f>
        <v>TOTAL_GHG_CO2_EMISSIONS</v>
      </c>
      <c r="E2110" t="str">
        <f>$E$1041</f>
        <v>Dynamic</v>
      </c>
      <c r="F2110">
        <f ca="1">_xll.BDH($B$1041,$C$1041,$B$1130,$B$1131,CONCATENATE("Per=",$B$1128),"Dts=H","Dir=H",CONCATENATE("Points=",$B$1129),"Sort=R","Days=A","Fill=B",CONCATENATE("FX=", $B$1127),"cols=5;rows=1")</f>
        <v>3.5691000000000002</v>
      </c>
      <c r="G2110">
        <v>4.0902000000000003</v>
      </c>
      <c r="H2110">
        <v>3.9813999999999998</v>
      </c>
      <c r="I2110">
        <v>4.0486000000000004</v>
      </c>
      <c r="J2110">
        <v>3.4540000000000002</v>
      </c>
      <c r="K2110" t="str">
        <f>""</f>
        <v/>
      </c>
      <c r="L2110" t="str">
        <f>""</f>
        <v/>
      </c>
      <c r="M2110" t="str">
        <f>""</f>
        <v/>
      </c>
      <c r="N2110" t="str">
        <f>""</f>
        <v/>
      </c>
      <c r="O2110" t="str">
        <f>""</f>
        <v/>
      </c>
    </row>
    <row r="2111" spans="1:15" x14ac:dyDescent="0.25">
      <c r="A2111" t="str">
        <f>$A$1042</f>
        <v xml:space="preserve">                        Iberdrola SA</v>
      </c>
      <c r="B2111" t="str">
        <f>$B$1042</f>
        <v>IBE SM Equity</v>
      </c>
      <c r="C2111" t="str">
        <f>$C$1042</f>
        <v>F0946</v>
      </c>
      <c r="D2111" t="str">
        <f>$D$1042</f>
        <v>TOTAL_GHG_CO2_EMISSIONS</v>
      </c>
      <c r="E2111" t="str">
        <f>$E$1042</f>
        <v>Dynamic</v>
      </c>
      <c r="F2111">
        <f ca="1">_xll.BDH($B$1042,$C$1042,$B$1130,$B$1131,CONCATENATE("Per=",$B$1128),"Dts=H","Dir=H",CONCATENATE("Points=",$B$1129),"Sort=R","Days=A","Fill=B",CONCATENATE("FX=", $B$1127),"cols=5;rows=1")</f>
        <v>13.2257</v>
      </c>
      <c r="G2111">
        <v>15.341200000000001</v>
      </c>
      <c r="H2111">
        <v>14.8931</v>
      </c>
      <c r="I2111">
        <v>15.508800000000001</v>
      </c>
      <c r="J2111">
        <v>27.1129</v>
      </c>
      <c r="K2111" t="str">
        <f>""</f>
        <v/>
      </c>
      <c r="L2111" t="str">
        <f>""</f>
        <v/>
      </c>
      <c r="M2111" t="str">
        <f>""</f>
        <v/>
      </c>
      <c r="N2111" t="str">
        <f>""</f>
        <v/>
      </c>
      <c r="O2111" t="str">
        <f>""</f>
        <v/>
      </c>
    </row>
    <row r="2112" spans="1:15" x14ac:dyDescent="0.25">
      <c r="A2112" t="str">
        <f>$A$1043</f>
        <v xml:space="preserve">                        MVV Energie AG</v>
      </c>
      <c r="B2112" t="str">
        <f>$B$1043</f>
        <v>MVV1 GR Equity</v>
      </c>
      <c r="C2112" t="str">
        <f>$C$1043</f>
        <v>F0946</v>
      </c>
      <c r="D2112" t="str">
        <f>$D$1043</f>
        <v>TOTAL_GHG_CO2_EMISSIONS</v>
      </c>
      <c r="E2112" t="str">
        <f>$E$1043</f>
        <v>Dynamic</v>
      </c>
      <c r="F2112">
        <f ca="1">_xll.BDH($B$1043,$C$1043,$B$1130,$B$1131,CONCATENATE("Per=",$B$1128),"Dts=H","Dir=H",CONCATENATE("Points=",$B$1129),"Sort=R","Days=A","Fill=B",CONCATENATE("FX=", $B$1127),"cols=5;rows=1")</f>
        <v>3.794</v>
      </c>
      <c r="G2112">
        <v>3.64</v>
      </c>
      <c r="H2112">
        <v>3.5339999999999998</v>
      </c>
      <c r="I2112">
        <v>3.59</v>
      </c>
      <c r="J2112">
        <v>3.8769999999999998</v>
      </c>
      <c r="K2112" t="str">
        <f>""</f>
        <v/>
      </c>
      <c r="L2112" t="str">
        <f>""</f>
        <v/>
      </c>
      <c r="M2112" t="str">
        <f>""</f>
        <v/>
      </c>
      <c r="N2112" t="str">
        <f>""</f>
        <v/>
      </c>
      <c r="O2112" t="str">
        <f>""</f>
        <v/>
      </c>
    </row>
    <row r="2113" spans="1:15" x14ac:dyDescent="0.25">
      <c r="A2113" t="str">
        <f>$A$1044</f>
        <v xml:space="preserve">                        Naturgy Energy Group SA</v>
      </c>
      <c r="B2113" t="str">
        <f>$B$1044</f>
        <v>NTGY SM Equity</v>
      </c>
      <c r="C2113" t="str">
        <f>$C$1044</f>
        <v>F0946</v>
      </c>
      <c r="D2113" t="str">
        <f>$D$1044</f>
        <v>TOTAL_GHG_CO2_EMISSIONS</v>
      </c>
      <c r="E2113" t="str">
        <f>$E$1044</f>
        <v>Dynamic</v>
      </c>
      <c r="F2113">
        <f ca="1">_xll.BDH($B$1044,$C$1044,$B$1130,$B$1131,CONCATENATE("Per=",$B$1128),"Dts=H","Dir=H",CONCATENATE("Points=",$B$1129),"Sort=R","Days=A","Fill=B",CONCATENATE("FX=", $B$1127),"cols=5;rows=1")</f>
        <v>15.105</v>
      </c>
      <c r="G2113">
        <v>13.452299999999999</v>
      </c>
      <c r="H2113">
        <v>15.455500000000001</v>
      </c>
      <c r="I2113">
        <v>16.5139</v>
      </c>
      <c r="J2113">
        <v>19.399000000000001</v>
      </c>
      <c r="K2113" t="str">
        <f>""</f>
        <v/>
      </c>
      <c r="L2113" t="str">
        <f>""</f>
        <v/>
      </c>
      <c r="M2113" t="str">
        <f>""</f>
        <v/>
      </c>
      <c r="N2113" t="str">
        <f>""</f>
        <v/>
      </c>
      <c r="O2113" t="str">
        <f>""</f>
        <v/>
      </c>
    </row>
    <row r="2114" spans="1:15" x14ac:dyDescent="0.25">
      <c r="A2114" t="str">
        <f>$A$1045</f>
        <v xml:space="preserve">                        Neoen SA</v>
      </c>
      <c r="B2114" t="str">
        <f>$B$1045</f>
        <v>NEOEN FP Equity</v>
      </c>
      <c r="C2114" t="str">
        <f>$C$1045</f>
        <v>F0946</v>
      </c>
      <c r="D2114" t="str">
        <f>$D$1045</f>
        <v>TOTAL_GHG_CO2_EMISSIONS</v>
      </c>
      <c r="E2114" t="str">
        <f>$E$1045</f>
        <v>Dynamic</v>
      </c>
      <c r="F2114" t="str">
        <f ca="1">_xll.BDH($B$1045,$C$1045,$B$1130,$B$1131,CONCATENATE("Per=",$B$1128),"Dts=H","Dir=H",CONCATENATE("Points=",$B$1129),"Sort=R","Days=A","Fill=B",CONCATENATE("FX=", $B$1127),"cols=5;rows=1")</f>
        <v/>
      </c>
      <c r="H2114">
        <v>1.9E-3</v>
      </c>
      <c r="K2114" t="str">
        <f>""</f>
        <v/>
      </c>
      <c r="L2114" t="str">
        <f>""</f>
        <v/>
      </c>
      <c r="M2114" t="str">
        <f>""</f>
        <v/>
      </c>
      <c r="N2114" t="str">
        <f>""</f>
        <v/>
      </c>
      <c r="O2114" t="str">
        <f>""</f>
        <v/>
      </c>
    </row>
    <row r="2115" spans="1:15" x14ac:dyDescent="0.25">
      <c r="A2115" t="str">
        <f>$A$1046</f>
        <v xml:space="preserve">                        Orsted AS</v>
      </c>
      <c r="B2115" t="str">
        <f>$B$1046</f>
        <v>ORSTED DC Equity</v>
      </c>
      <c r="C2115" t="str">
        <f>$C$1046</f>
        <v>F0946</v>
      </c>
      <c r="D2115" t="str">
        <f>$D$1046</f>
        <v>TOTAL_GHG_CO2_EMISSIONS</v>
      </c>
      <c r="E2115" t="str">
        <f>$E$1046</f>
        <v>Dynamic</v>
      </c>
      <c r="F2115">
        <f ca="1">_xll.BDH($B$1046,$C$1046,$B$1130,$B$1131,CONCATENATE("Per=",$B$1128),"Dts=H","Dir=H",CONCATENATE("Points=",$B$1129),"Sort=R","Days=A","Fill=B",CONCATENATE("FX=", $B$1127),"cols=5;rows=1")</f>
        <v>2.5550000000000002</v>
      </c>
      <c r="G2115">
        <v>2.1949999999999998</v>
      </c>
      <c r="H2115">
        <v>1.962</v>
      </c>
      <c r="I2115">
        <v>1.9690000000000001</v>
      </c>
      <c r="J2115">
        <v>3.6339999999999999</v>
      </c>
      <c r="K2115" t="str">
        <f>""</f>
        <v/>
      </c>
      <c r="L2115" t="str">
        <f>""</f>
        <v/>
      </c>
      <c r="M2115" t="str">
        <f>""</f>
        <v/>
      </c>
      <c r="N2115" t="str">
        <f>""</f>
        <v/>
      </c>
      <c r="O2115" t="str">
        <f>""</f>
        <v/>
      </c>
    </row>
    <row r="2116" spans="1:15" x14ac:dyDescent="0.25">
      <c r="A2116" t="str">
        <f>$A$1047</f>
        <v xml:space="preserve">                        PGE Polska Grupa Energetyczna</v>
      </c>
      <c r="B2116" t="str">
        <f>$B$1047</f>
        <v>PGE PW Equity</v>
      </c>
      <c r="C2116" t="str">
        <f>$C$1047</f>
        <v>F0946</v>
      </c>
      <c r="D2116" t="str">
        <f>$D$1047</f>
        <v>TOTAL_GHG_CO2_EMISSIONS</v>
      </c>
      <c r="E2116" t="str">
        <f>$E$1047</f>
        <v>Dynamic</v>
      </c>
      <c r="F2116" t="str">
        <f ca="1">_xll.BDH($B$1047,$C$1047,$B$1130,$B$1131,CONCATENATE("Per=",$B$1128),"Dts=H","Dir=H",CONCATENATE("Points=",$B$1129),"Sort=R","Days=A","Fill=B",CONCATENATE("FX=", $B$1127),"cols=5;rows=1")</f>
        <v/>
      </c>
      <c r="G2116">
        <v>73.170199999999994</v>
      </c>
      <c r="H2116">
        <v>59.518799999999999</v>
      </c>
      <c r="I2116">
        <v>60.6633</v>
      </c>
      <c r="J2116">
        <v>58.916200000000003</v>
      </c>
      <c r="K2116" t="str">
        <f>""</f>
        <v/>
      </c>
      <c r="L2116" t="str">
        <f>""</f>
        <v/>
      </c>
      <c r="M2116" t="str">
        <f>""</f>
        <v/>
      </c>
      <c r="N2116" t="str">
        <f>""</f>
        <v/>
      </c>
      <c r="O2116" t="str">
        <f>""</f>
        <v/>
      </c>
    </row>
    <row r="2117" spans="1:15" x14ac:dyDescent="0.25">
      <c r="A2117" t="str">
        <f>$A$1048</f>
        <v xml:space="preserve">                        Public Power Corp SA</v>
      </c>
      <c r="B2117" t="str">
        <f>$B$1048</f>
        <v>PPC GA Equity</v>
      </c>
      <c r="C2117" t="str">
        <f>$C$1048</f>
        <v>F0946</v>
      </c>
      <c r="D2117" t="str">
        <f>$D$1048</f>
        <v>TOTAL_GHG_CO2_EMISSIONS</v>
      </c>
      <c r="E2117" t="str">
        <f>$E$1048</f>
        <v>Dynamic</v>
      </c>
      <c r="F2117" t="str">
        <f ca="1">_xll.BDH($B$1048,$C$1048,$B$1130,$B$1131,CONCATENATE("Per=",$B$1128),"Dts=H","Dir=H",CONCATENATE("Points=",$B$1129),"Sort=R","Days=A","Fill=B",CONCATENATE("FX=", $B$1127),"cols=5;rows=1")</f>
        <v/>
      </c>
      <c r="G2117">
        <v>13.6351</v>
      </c>
      <c r="H2117">
        <v>13.381600000000001</v>
      </c>
      <c r="K2117" t="str">
        <f>""</f>
        <v/>
      </c>
      <c r="L2117" t="str">
        <f>""</f>
        <v/>
      </c>
      <c r="M2117" t="str">
        <f>""</f>
        <v/>
      </c>
      <c r="N2117" t="str">
        <f>""</f>
        <v/>
      </c>
      <c r="O2117" t="str">
        <f>""</f>
        <v/>
      </c>
    </row>
    <row r="2118" spans="1:15" x14ac:dyDescent="0.25">
      <c r="A2118" t="str">
        <f>$A$1049</f>
        <v xml:space="preserve">                        Romande Energie Holding SA</v>
      </c>
      <c r="B2118" t="str">
        <f>$B$1049</f>
        <v>HREN SW Equity</v>
      </c>
      <c r="C2118" t="str">
        <f>$C$1049</f>
        <v>F0946</v>
      </c>
      <c r="D2118" t="str">
        <f>$D$1049</f>
        <v>TOTAL_GHG_CO2_EMISSIONS</v>
      </c>
      <c r="E2118" t="str">
        <f>$E$1049</f>
        <v>Dynamic</v>
      </c>
      <c r="F2118">
        <f ca="1">_xll.BDH($B$1049,$C$1049,$B$1130,$B$1131,CONCATENATE("Per=",$B$1128),"Dts=H","Dir=H",CONCATENATE("Points=",$B$1129),"Sort=R","Days=A","Fill=B",CONCATENATE("FX=", $B$1127),"cols=5;rows=1")</f>
        <v>1.01E-2</v>
      </c>
      <c r="H2118">
        <v>7.1999999999999998E-3</v>
      </c>
      <c r="J2118">
        <v>6.7000000000000002E-3</v>
      </c>
      <c r="K2118" t="str">
        <f>""</f>
        <v/>
      </c>
      <c r="L2118" t="str">
        <f>""</f>
        <v/>
      </c>
      <c r="M2118" t="str">
        <f>""</f>
        <v/>
      </c>
      <c r="N2118" t="str">
        <f>""</f>
        <v/>
      </c>
      <c r="O2118" t="str">
        <f>""</f>
        <v/>
      </c>
    </row>
    <row r="2119" spans="1:15" x14ac:dyDescent="0.25">
      <c r="A2119" t="str">
        <f>$A$1050</f>
        <v xml:space="preserve">                        RWE AG</v>
      </c>
      <c r="B2119" t="str">
        <f>$B$1050</f>
        <v>RWE GR Equity</v>
      </c>
      <c r="C2119" t="str">
        <f>$C$1050</f>
        <v>F0946</v>
      </c>
      <c r="D2119" t="str">
        <f>$D$1050</f>
        <v>TOTAL_GHG_CO2_EMISSIONS</v>
      </c>
      <c r="E2119" t="str">
        <f>$E$1050</f>
        <v>Dynamic</v>
      </c>
      <c r="F2119">
        <f ca="1">_xll.BDH($B$1050,$C$1050,$B$1130,$B$1131,CONCATENATE("Per=",$B$1128),"Dts=H","Dir=H",CONCATENATE("Points=",$B$1129),"Sort=R","Days=A","Fill=B",CONCATENATE("FX=", $B$1127),"cols=5;rows=1")</f>
        <v>92.4</v>
      </c>
      <c r="G2119">
        <v>89.6</v>
      </c>
      <c r="H2119">
        <v>72.932000000000002</v>
      </c>
      <c r="I2119">
        <v>96.42</v>
      </c>
      <c r="J2119">
        <v>125.4</v>
      </c>
      <c r="K2119" t="str">
        <f>""</f>
        <v/>
      </c>
      <c r="L2119" t="str">
        <f>""</f>
        <v/>
      </c>
      <c r="M2119" t="str">
        <f>""</f>
        <v/>
      </c>
      <c r="N2119" t="str">
        <f>""</f>
        <v/>
      </c>
      <c r="O2119" t="str">
        <f>""</f>
        <v/>
      </c>
    </row>
    <row r="2120" spans="1:15" x14ac:dyDescent="0.25">
      <c r="A2120" t="str">
        <f>$A$1051</f>
        <v xml:space="preserve">                        Scatec ASA</v>
      </c>
      <c r="B2120" t="str">
        <f>$B$1051</f>
        <v>SCATC NO Equity</v>
      </c>
      <c r="C2120" t="str">
        <f>$C$1051</f>
        <v>F0946</v>
      </c>
      <c r="D2120" t="str">
        <f>$D$1051</f>
        <v>TOTAL_GHG_CO2_EMISSIONS</v>
      </c>
      <c r="E2120" t="str">
        <f>$E$1051</f>
        <v>Dynamic</v>
      </c>
      <c r="F2120" t="str">
        <f ca="1">_xll.BDH($B$1051,$C$1051,$B$1130,$B$1131,CONCATENATE("Per=",$B$1128),"Dts=H","Dir=H",CONCATENATE("Points=",$B$1129),"Sort=R","Days=A","Fill=B",CONCATENATE("FX=", $B$1127),"cols=5;rows=1")</f>
        <v/>
      </c>
      <c r="G2120">
        <v>5.8999999999999999E-3</v>
      </c>
      <c r="H2120">
        <v>6.4000000000000003E-3</v>
      </c>
      <c r="I2120">
        <v>6.8999999999999999E-3</v>
      </c>
      <c r="J2120">
        <v>6.1000000000000004E-3</v>
      </c>
      <c r="K2120" t="str">
        <f>""</f>
        <v/>
      </c>
      <c r="L2120" t="str">
        <f>""</f>
        <v/>
      </c>
      <c r="M2120" t="str">
        <f>""</f>
        <v/>
      </c>
      <c r="N2120" t="str">
        <f>""</f>
        <v/>
      </c>
      <c r="O2120" t="str">
        <f>""</f>
        <v/>
      </c>
    </row>
    <row r="2121" spans="1:15" x14ac:dyDescent="0.25">
      <c r="A2121" t="str">
        <f>$A$1052</f>
        <v xml:space="preserve">                        SSE PLC</v>
      </c>
      <c r="B2121" t="str">
        <f>$B$1052</f>
        <v>SSE LN Equity</v>
      </c>
      <c r="C2121" t="str">
        <f>$C$1052</f>
        <v>F0946</v>
      </c>
      <c r="D2121" t="str">
        <f>$D$1052</f>
        <v>TOTAL_GHG_CO2_EMISSIONS</v>
      </c>
      <c r="E2121" t="str">
        <f>$E$1052</f>
        <v>Dynamic</v>
      </c>
      <c r="F2121" t="str">
        <f ca="1">_xll.BDH($B$1052,$C$1052,$B$1130,$B$1131,CONCATENATE("Per=",$B$1128),"Dts=H","Dir=H",CONCATENATE("Points=",$B$1129),"Sort=R","Days=A","Fill=B",CONCATENATE("FX=", $B$1127),"cols=5;rows=1")</f>
        <v/>
      </c>
      <c r="G2121">
        <v>6.2381000000000002</v>
      </c>
      <c r="H2121">
        <v>7.6338999999999997</v>
      </c>
      <c r="I2121">
        <v>8.9077000000000002</v>
      </c>
      <c r="J2121">
        <v>9.5139999999999993</v>
      </c>
      <c r="K2121" t="str">
        <f>""</f>
        <v/>
      </c>
      <c r="L2121" t="str">
        <f>""</f>
        <v/>
      </c>
      <c r="M2121" t="str">
        <f>""</f>
        <v/>
      </c>
      <c r="N2121" t="str">
        <f>""</f>
        <v/>
      </c>
      <c r="O2121" t="str">
        <f>""</f>
        <v/>
      </c>
    </row>
    <row r="2122" spans="1:15" x14ac:dyDescent="0.25">
      <c r="A2122" t="str">
        <f>$A$1053</f>
        <v xml:space="preserve">                        Tauron Polska Energia SA</v>
      </c>
      <c r="B2122" t="str">
        <f>$B$1053</f>
        <v>TPE PW Equity</v>
      </c>
      <c r="C2122" t="str">
        <f>$C$1053</f>
        <v>F0946</v>
      </c>
      <c r="D2122" t="str">
        <f>$D$1053</f>
        <v>TOTAL_GHG_CO2_EMISSIONS</v>
      </c>
      <c r="E2122" t="str">
        <f>$E$1053</f>
        <v>Dynamic</v>
      </c>
      <c r="F2122">
        <f ca="1">_xll.BDH($B$1053,$C$1053,$B$1130,$B$1131,CONCATENATE("Per=",$B$1128),"Dts=H","Dir=H",CONCATENATE("Points=",$B$1129),"Sort=R","Days=A","Fill=B",CONCATENATE("FX=", $B$1127),"cols=5;rows=1")</f>
        <v>15.428900000000001</v>
      </c>
      <c r="K2122" t="str">
        <f>""</f>
        <v/>
      </c>
      <c r="L2122" t="str">
        <f>""</f>
        <v/>
      </c>
      <c r="M2122" t="str">
        <f>""</f>
        <v/>
      </c>
      <c r="N2122" t="str">
        <f>""</f>
        <v/>
      </c>
      <c r="O2122" t="str">
        <f>""</f>
        <v/>
      </c>
    </row>
    <row r="2123" spans="1:15" x14ac:dyDescent="0.25">
      <c r="A2123" t="str">
        <f>$A$1054</f>
        <v xml:space="preserve">                        Terna Energy SA</v>
      </c>
      <c r="B2123" t="str">
        <f>$B$1054</f>
        <v>TENERGY GA Equity</v>
      </c>
      <c r="C2123" t="str">
        <f>$C$1054</f>
        <v>F0946</v>
      </c>
      <c r="D2123" t="str">
        <f>$D$1054</f>
        <v>TOTAL_GHG_CO2_EMISSIONS</v>
      </c>
      <c r="E2123" t="str">
        <f>$E$1054</f>
        <v>Dynamic</v>
      </c>
      <c r="F2123">
        <f ca="1">_xll.BDH($B$1054,$C$1054,$B$1130,$B$1131,CONCATENATE("Per=",$B$1128),"Dts=H","Dir=H",CONCATENATE("Points=",$B$1129),"Sort=R","Days=A","Fill=B",CONCATENATE("FX=", $B$1127),"cols=5;rows=1")</f>
        <v>3.0000000000000001E-3</v>
      </c>
      <c r="G2123">
        <v>4.3E-3</v>
      </c>
      <c r="H2123">
        <v>1.2E-2</v>
      </c>
      <c r="I2123">
        <v>9.1000000000000004E-3</v>
      </c>
      <c r="K2123" t="str">
        <f>""</f>
        <v/>
      </c>
      <c r="L2123" t="str">
        <f>""</f>
        <v/>
      </c>
      <c r="M2123" t="str">
        <f>""</f>
        <v/>
      </c>
      <c r="N2123" t="str">
        <f>""</f>
        <v/>
      </c>
      <c r="O2123" t="str">
        <f>""</f>
        <v/>
      </c>
    </row>
    <row r="2124" spans="1:15" x14ac:dyDescent="0.25">
      <c r="A2124" t="str">
        <f>$A$1055</f>
        <v xml:space="preserve">                        Uniper SE</v>
      </c>
      <c r="B2124" t="str">
        <f>$B$1055</f>
        <v>UN01 GR Equity</v>
      </c>
      <c r="C2124" t="str">
        <f>$C$1055</f>
        <v>F0946</v>
      </c>
      <c r="D2124" t="str">
        <f>$D$1055</f>
        <v>TOTAL_GHG_CO2_EMISSIONS</v>
      </c>
      <c r="E2124" t="str">
        <f>$E$1055</f>
        <v>Dynamic</v>
      </c>
      <c r="F2124">
        <f ca="1">_xll.BDH($B$1055,$C$1055,$B$1130,$B$1131,CONCATENATE("Per=",$B$1128),"Dts=H","Dir=H",CONCATENATE("Points=",$B$1129),"Sort=R","Days=A","Fill=B",CONCATENATE("FX=", $B$1127),"cols=5;rows=1")</f>
        <v>56.5</v>
      </c>
      <c r="G2124">
        <v>51.8093</v>
      </c>
      <c r="H2124">
        <v>43.618499999999997</v>
      </c>
      <c r="I2124">
        <v>48.12</v>
      </c>
      <c r="J2124">
        <v>60.049500000000002</v>
      </c>
      <c r="K2124" t="str">
        <f>""</f>
        <v/>
      </c>
      <c r="L2124" t="str">
        <f>""</f>
        <v/>
      </c>
      <c r="M2124" t="str">
        <f>""</f>
        <v/>
      </c>
      <c r="N2124" t="str">
        <f>""</f>
        <v/>
      </c>
      <c r="O2124" t="str">
        <f>""</f>
        <v/>
      </c>
    </row>
    <row r="2125" spans="1:15" x14ac:dyDescent="0.25">
      <c r="A2125" t="str">
        <f>$A$1056</f>
        <v xml:space="preserve">                        Verbund AG</v>
      </c>
      <c r="B2125" t="str">
        <f>$B$1056</f>
        <v>VER AV Equity</v>
      </c>
      <c r="C2125" t="str">
        <f>$C$1056</f>
        <v>F0946</v>
      </c>
      <c r="D2125" t="str">
        <f>$D$1056</f>
        <v>TOTAL_GHG_CO2_EMISSIONS</v>
      </c>
      <c r="E2125" t="str">
        <f>$E$1056</f>
        <v>Dynamic</v>
      </c>
      <c r="F2125">
        <f ca="1">_xll.BDH($B$1056,$C$1056,$B$1130,$B$1131,CONCATENATE("Per=",$B$1128),"Dts=H","Dir=H",CONCATENATE("Points=",$B$1129),"Sort=R","Days=A","Fill=B",CONCATENATE("FX=", $B$1127),"cols=5;rows=1")</f>
        <v>0.81299999999999994</v>
      </c>
      <c r="G2125">
        <v>0.6</v>
      </c>
      <c r="H2125">
        <v>1.0603</v>
      </c>
      <c r="I2125">
        <v>1.4642999999999999</v>
      </c>
      <c r="J2125">
        <v>1.5054000000000001</v>
      </c>
      <c r="K2125" t="str">
        <f>""</f>
        <v/>
      </c>
      <c r="L2125" t="str">
        <f>""</f>
        <v/>
      </c>
      <c r="M2125" t="str">
        <f>""</f>
        <v/>
      </c>
      <c r="N2125" t="str">
        <f>""</f>
        <v/>
      </c>
      <c r="O2125" t="str">
        <f>""</f>
        <v/>
      </c>
    </row>
    <row r="2126" spans="1:15" x14ac:dyDescent="0.25">
      <c r="A2126" t="str">
        <f>$A$1057</f>
        <v xml:space="preserve">                        Voltalia SA</v>
      </c>
      <c r="B2126" t="str">
        <f>$B$1057</f>
        <v>VLTSA FP Equity</v>
      </c>
      <c r="C2126" t="str">
        <f>$C$1057</f>
        <v>F0946</v>
      </c>
      <c r="D2126" t="str">
        <f>$D$1057</f>
        <v>TOTAL_GHG_CO2_EMISSIONS</v>
      </c>
      <c r="E2126" t="str">
        <f>$E$1057</f>
        <v>Dynamic</v>
      </c>
      <c r="F2126">
        <f ca="1">_xll.BDH($B$1057,$C$1057,$B$1130,$B$1131,CONCATENATE("Per=",$B$1128),"Dts=H","Dir=H",CONCATENATE("Points=",$B$1129),"Sort=R","Days=A","Fill=B",CONCATENATE("FX=", $B$1127),"cols=5;rows=1")</f>
        <v>3.5700000000000003E-2</v>
      </c>
      <c r="G2126">
        <v>3.9800000000000002E-2</v>
      </c>
      <c r="H2126">
        <v>3.9600000000000003E-2</v>
      </c>
      <c r="I2126">
        <v>5.2299999999999999E-2</v>
      </c>
      <c r="J2126">
        <v>4.7699999999999999E-2</v>
      </c>
      <c r="K2126" t="str">
        <f>""</f>
        <v/>
      </c>
      <c r="L2126" t="str">
        <f>""</f>
        <v/>
      </c>
      <c r="M2126" t="str">
        <f>""</f>
        <v/>
      </c>
      <c r="N2126" t="str">
        <f>""</f>
        <v/>
      </c>
      <c r="O2126" t="str">
        <f>""</f>
        <v/>
      </c>
    </row>
    <row r="2127" spans="1:15" x14ac:dyDescent="0.25">
      <c r="A2127" t="str">
        <f>$A$1059</f>
        <v xml:space="preserve">                        Aboitiz Power Corp</v>
      </c>
      <c r="B2127" t="str">
        <f>$B$1059</f>
        <v>AP PM Equity</v>
      </c>
      <c r="C2127" t="str">
        <f>$C$1059</f>
        <v>F0946</v>
      </c>
      <c r="D2127" t="str">
        <f>$D$1059</f>
        <v>TOTAL_GHG_CO2_EMISSIONS</v>
      </c>
      <c r="E2127" t="str">
        <f>$E$1059</f>
        <v>Dynamic</v>
      </c>
      <c r="F2127" t="str">
        <f ca="1">_xll.BDH($B$1059,$C$1059,$B$1130,$B$1131,CONCATENATE("Per=",$B$1128),"Dts=H","Dir=H",CONCATENATE("Points=",$B$1129),"Sort=R","Days=A","Fill=B",CONCATENATE("FX=", $B$1127) )</f>
        <v/>
      </c>
      <c r="K2127" t="str">
        <f>""</f>
        <v/>
      </c>
      <c r="L2127" t="str">
        <f>""</f>
        <v/>
      </c>
      <c r="M2127" t="str">
        <f>""</f>
        <v/>
      </c>
      <c r="N2127" t="str">
        <f>""</f>
        <v/>
      </c>
      <c r="O2127" t="str">
        <f>""</f>
        <v/>
      </c>
    </row>
    <row r="2128" spans="1:15" x14ac:dyDescent="0.25">
      <c r="A2128" t="str">
        <f>$A$1060</f>
        <v xml:space="preserve">                        AGL Energy Ltd</v>
      </c>
      <c r="B2128" t="str">
        <f>$B$1060</f>
        <v>AGL AU Equity</v>
      </c>
      <c r="C2128" t="str">
        <f>$C$1060</f>
        <v>F0946</v>
      </c>
      <c r="D2128" t="str">
        <f>$D$1060</f>
        <v>TOTAL_GHG_CO2_EMISSIONS</v>
      </c>
      <c r="E2128" t="str">
        <f>$E$1060</f>
        <v>Dynamic</v>
      </c>
      <c r="F2128" t="str">
        <f ca="1">_xll.BDH($B$1060,$C$1060,$B$1130,$B$1131,CONCATENATE("Per=",$B$1128),"Dts=H","Dir=H",CONCATENATE("Points=",$B$1129),"Sort=R","Days=A","Fill=B",CONCATENATE("FX=", $B$1127),"cols=5;rows=1")</f>
        <v/>
      </c>
      <c r="G2128">
        <v>40.052</v>
      </c>
      <c r="H2128">
        <v>40.670999999999999</v>
      </c>
      <c r="I2128">
        <v>42.741</v>
      </c>
      <c r="J2128">
        <v>43.247999999999998</v>
      </c>
      <c r="K2128" t="str">
        <f>""</f>
        <v/>
      </c>
      <c r="L2128" t="str">
        <f>""</f>
        <v/>
      </c>
      <c r="M2128" t="str">
        <f>""</f>
        <v/>
      </c>
      <c r="N2128" t="str">
        <f>""</f>
        <v/>
      </c>
      <c r="O2128" t="str">
        <f>""</f>
        <v/>
      </c>
    </row>
    <row r="2129" spans="1:15" x14ac:dyDescent="0.25">
      <c r="A2129" t="str">
        <f>$A$1061</f>
        <v xml:space="preserve">                        CGN Power Co Ltd</v>
      </c>
      <c r="B2129" t="str">
        <f>$B$1061</f>
        <v>1816 HK Equity</v>
      </c>
      <c r="C2129" t="str">
        <f>$C$1061</f>
        <v>F0946</v>
      </c>
      <c r="D2129" t="str">
        <f>$D$1061</f>
        <v>TOTAL_GHG_CO2_EMISSIONS</v>
      </c>
      <c r="E2129" t="str">
        <f>$E$1061</f>
        <v>Dynamic</v>
      </c>
      <c r="F2129" t="str">
        <f ca="1">_xll.BDH($B$1061,$C$1061,$B$1130,$B$1131,CONCATENATE("Per=",$B$1128),"Dts=H","Dir=H",CONCATENATE("Points=",$B$1129),"Sort=R","Days=A","Fill=B",CONCATENATE("FX=", $B$1127) )</f>
        <v/>
      </c>
      <c r="K2129" t="str">
        <f>""</f>
        <v/>
      </c>
      <c r="L2129" t="str">
        <f>""</f>
        <v/>
      </c>
      <c r="M2129" t="str">
        <f>""</f>
        <v/>
      </c>
      <c r="N2129" t="str">
        <f>""</f>
        <v/>
      </c>
      <c r="O2129" t="str">
        <f>""</f>
        <v/>
      </c>
    </row>
    <row r="2130" spans="1:15" x14ac:dyDescent="0.25">
      <c r="A2130" t="str">
        <f>$A$1062</f>
        <v xml:space="preserve">                        China Datang Corp Renewable Po</v>
      </c>
      <c r="B2130" t="str">
        <f>$B$1062</f>
        <v>1798 HK Equity</v>
      </c>
      <c r="C2130" t="str">
        <f>$C$1062</f>
        <v>F0946</v>
      </c>
      <c r="D2130" t="str">
        <f>$D$1062</f>
        <v>TOTAL_GHG_CO2_EMISSIONS</v>
      </c>
      <c r="E2130" t="str">
        <f>$E$1062</f>
        <v>Dynamic</v>
      </c>
      <c r="F2130">
        <f ca="1">_xll.BDH($B$1062,$C$1062,$B$1130,$B$1131,CONCATENATE("Per=",$B$1128),"Dts=H","Dir=H",CONCATENATE("Points=",$B$1129),"Sort=R","Days=A","Fill=B",CONCATENATE("FX=", $B$1127),"cols=5;rows=1")</f>
        <v>9.8000000000000004E-2</v>
      </c>
      <c r="G2130">
        <v>7.7700000000000005E-2</v>
      </c>
      <c r="H2130">
        <v>6.2199999999999998E-2</v>
      </c>
      <c r="I2130">
        <v>4.4400000000000002E-2</v>
      </c>
      <c r="J2130">
        <v>4.4999999999999998E-2</v>
      </c>
      <c r="K2130" t="str">
        <f>""</f>
        <v/>
      </c>
      <c r="L2130" t="str">
        <f>""</f>
        <v/>
      </c>
      <c r="M2130" t="str">
        <f>""</f>
        <v/>
      </c>
      <c r="N2130" t="str">
        <f>""</f>
        <v/>
      </c>
      <c r="O2130" t="str">
        <f>""</f>
        <v/>
      </c>
    </row>
    <row r="2131" spans="1:15" x14ac:dyDescent="0.25">
      <c r="A2131" t="str">
        <f>$A$1063</f>
        <v xml:space="preserve">                        China Everbright Environment G</v>
      </c>
      <c r="B2131" t="str">
        <f>$B$1063</f>
        <v>257 HK Equity</v>
      </c>
      <c r="C2131" t="str">
        <f>$C$1063</f>
        <v>F0946</v>
      </c>
      <c r="D2131" t="str">
        <f>$D$1063</f>
        <v>TOTAL_GHG_CO2_EMISSIONS</v>
      </c>
      <c r="E2131" t="str">
        <f>$E$1063</f>
        <v>Dynamic</v>
      </c>
      <c r="F2131">
        <f ca="1">_xll.BDH($B$1063,$C$1063,$B$1130,$B$1131,CONCATENATE("Per=",$B$1128),"Dts=H","Dir=H",CONCATENATE("Points=",$B$1129),"Sort=R","Days=A","Fill=B",CONCATENATE("FX=", $B$1127),"cols=5;rows=1")</f>
        <v>13.348599999999999</v>
      </c>
      <c r="G2131">
        <v>15.7628</v>
      </c>
      <c r="H2131">
        <v>11.171900000000001</v>
      </c>
      <c r="I2131">
        <v>22.9056</v>
      </c>
      <c r="J2131">
        <v>22.4922</v>
      </c>
      <c r="K2131" t="str">
        <f>""</f>
        <v/>
      </c>
      <c r="L2131" t="str">
        <f>""</f>
        <v/>
      </c>
      <c r="M2131" t="str">
        <f>""</f>
        <v/>
      </c>
      <c r="N2131" t="str">
        <f>""</f>
        <v/>
      </c>
      <c r="O2131" t="str">
        <f>""</f>
        <v/>
      </c>
    </row>
    <row r="2132" spans="1:15" x14ac:dyDescent="0.25">
      <c r="A2132" t="str">
        <f>$A$1064</f>
        <v xml:space="preserve">                        China Longyuan Power Group Cor</v>
      </c>
      <c r="B2132" t="str">
        <f>$B$1064</f>
        <v>916 HK Equity</v>
      </c>
      <c r="C2132" t="str">
        <f>$C$1064</f>
        <v>F0946</v>
      </c>
      <c r="D2132" t="str">
        <f>$D$1064</f>
        <v>TOTAL_GHG_CO2_EMISSIONS</v>
      </c>
      <c r="E2132" t="str">
        <f>$E$1064</f>
        <v>Dynamic</v>
      </c>
      <c r="F2132">
        <f ca="1">_xll.BDH($B$1064,$C$1064,$B$1130,$B$1131,CONCATENATE("Per=",$B$1128),"Dts=H","Dir=H",CONCATENATE("Points=",$B$1129),"Sort=R","Days=A","Fill=B",CONCATENATE("FX=", $B$1127),"cols=5;rows=1")</f>
        <v>10.230700000000001</v>
      </c>
      <c r="K2132" t="str">
        <f>""</f>
        <v/>
      </c>
      <c r="L2132" t="str">
        <f>""</f>
        <v/>
      </c>
      <c r="M2132" t="str">
        <f>""</f>
        <v/>
      </c>
      <c r="N2132" t="str">
        <f>""</f>
        <v/>
      </c>
      <c r="O2132" t="str">
        <f>""</f>
        <v/>
      </c>
    </row>
    <row r="2133" spans="1:15" x14ac:dyDescent="0.25">
      <c r="A2133" t="str">
        <f>$A$1065</f>
        <v xml:space="preserve">                        China Power International Deve</v>
      </c>
      <c r="B2133" t="str">
        <f>$B$1065</f>
        <v>2380 HK Equity</v>
      </c>
      <c r="C2133" t="str">
        <f>$C$1065</f>
        <v>F0946</v>
      </c>
      <c r="D2133" t="str">
        <f>$D$1065</f>
        <v>TOTAL_GHG_CO2_EMISSIONS</v>
      </c>
      <c r="E2133" t="str">
        <f>$E$1065</f>
        <v>Dynamic</v>
      </c>
      <c r="F2133">
        <f ca="1">_xll.BDH($B$1065,$C$1065,$B$1130,$B$1131,CONCATENATE("Per=",$B$1128),"Dts=H","Dir=H",CONCATENATE("Points=",$B$1129),"Sort=R","Days=A","Fill=B",CONCATENATE("FX=", $B$1127),"cols=5;rows=1")</f>
        <v>61.9</v>
      </c>
      <c r="G2133">
        <v>53.716000000000001</v>
      </c>
      <c r="H2133">
        <v>46.957000000000001</v>
      </c>
      <c r="I2133">
        <v>48.854999999999997</v>
      </c>
      <c r="J2133">
        <v>40.802</v>
      </c>
      <c r="K2133" t="str">
        <f>""</f>
        <v/>
      </c>
      <c r="L2133" t="str">
        <f>""</f>
        <v/>
      </c>
      <c r="M2133" t="str">
        <f>""</f>
        <v/>
      </c>
      <c r="N2133" t="str">
        <f>""</f>
        <v/>
      </c>
      <c r="O2133" t="str">
        <f>""</f>
        <v/>
      </c>
    </row>
    <row r="2134" spans="1:15" x14ac:dyDescent="0.25">
      <c r="A2134" t="str">
        <f>$A$1066</f>
        <v xml:space="preserve">                        China Resources Power Holdings</v>
      </c>
      <c r="B2134" t="str">
        <f>$B$1066</f>
        <v>836 HK Equity</v>
      </c>
      <c r="C2134" t="str">
        <f>$C$1066</f>
        <v>F0946</v>
      </c>
      <c r="D2134" t="str">
        <f>$D$1066</f>
        <v>TOTAL_GHG_CO2_EMISSIONS</v>
      </c>
      <c r="E2134" t="str">
        <f>$E$1066</f>
        <v>Dynamic</v>
      </c>
      <c r="F2134">
        <f ca="1">_xll.BDH($B$1066,$C$1066,$B$1130,$B$1131,CONCATENATE("Per=",$B$1128),"Dts=H","Dir=H",CONCATENATE("Points=",$B$1129),"Sort=R","Days=A","Fill=B",CONCATENATE("FX=", $B$1127),"cols=5;rows=1")</f>
        <v>152.61500000000001</v>
      </c>
      <c r="G2134">
        <v>153.08000000000001</v>
      </c>
      <c r="H2134">
        <v>140.71</v>
      </c>
      <c r="I2134">
        <v>134.02000000000001</v>
      </c>
      <c r="J2134">
        <v>133.30500000000001</v>
      </c>
      <c r="K2134" t="str">
        <f>""</f>
        <v/>
      </c>
      <c r="L2134" t="str">
        <f>""</f>
        <v/>
      </c>
      <c r="M2134" t="str">
        <f>""</f>
        <v/>
      </c>
      <c r="N2134" t="str">
        <f>""</f>
        <v/>
      </c>
      <c r="O2134" t="str">
        <f>""</f>
        <v/>
      </c>
    </row>
    <row r="2135" spans="1:15" x14ac:dyDescent="0.25">
      <c r="A2135" t="str">
        <f>$A$1067</f>
        <v xml:space="preserve">                        China Yangtze Power Co Ltd</v>
      </c>
      <c r="B2135" t="str">
        <f>$B$1067</f>
        <v>600900 CH Equity</v>
      </c>
      <c r="C2135" t="str">
        <f>$C$1067</f>
        <v>F0946</v>
      </c>
      <c r="D2135" t="str">
        <f>$D$1067</f>
        <v>TOTAL_GHG_CO2_EMISSIONS</v>
      </c>
      <c r="E2135" t="str">
        <f>$E$1067</f>
        <v>Dynamic</v>
      </c>
      <c r="F2135">
        <f ca="1">_xll.BDH($B$1067,$C$1067,$B$1130,$B$1131,CONCATENATE("Per=",$B$1128),"Dts=H","Dir=H",CONCATENATE("Points=",$B$1129),"Sort=R","Days=A","Fill=B",CONCATENATE("FX=", $B$1127),"cols=5;rows=1")</f>
        <v>2.1499999999999998E-2</v>
      </c>
      <c r="K2135" t="str">
        <f>""</f>
        <v/>
      </c>
      <c r="L2135" t="str">
        <f>""</f>
        <v/>
      </c>
      <c r="M2135" t="str">
        <f>""</f>
        <v/>
      </c>
      <c r="N2135" t="str">
        <f>""</f>
        <v/>
      </c>
      <c r="O2135" t="str">
        <f>""</f>
        <v/>
      </c>
    </row>
    <row r="2136" spans="1:15" x14ac:dyDescent="0.25">
      <c r="A2136" t="str">
        <f>$A$1068</f>
        <v xml:space="preserve">                        CK Infrastructure Holdings Ltd</v>
      </c>
      <c r="B2136" t="str">
        <f>$B$1068</f>
        <v>1038 HK Equity</v>
      </c>
      <c r="C2136" t="str">
        <f>$C$1068</f>
        <v>F0946</v>
      </c>
      <c r="D2136" t="str">
        <f>$D$1068</f>
        <v>TOTAL_GHG_CO2_EMISSIONS</v>
      </c>
      <c r="E2136" t="str">
        <f>$E$1068</f>
        <v>Dynamic</v>
      </c>
      <c r="F2136">
        <f ca="1">_xll.BDH($B$1068,$C$1068,$B$1130,$B$1131,CONCATENATE("Per=",$B$1128),"Dts=H","Dir=H",CONCATENATE("Points=",$B$1129),"Sort=R","Days=A","Fill=B",CONCATENATE("FX=", $B$1127),"cols=5;rows=1")</f>
        <v>9.1859000000000002</v>
      </c>
      <c r="G2136">
        <v>8.4993999999999996</v>
      </c>
      <c r="H2136">
        <v>9.9237000000000002</v>
      </c>
      <c r="I2136">
        <v>10.313700000000001</v>
      </c>
      <c r="J2136">
        <v>10.8649</v>
      </c>
      <c r="K2136" t="str">
        <f>""</f>
        <v/>
      </c>
      <c r="L2136" t="str">
        <f>""</f>
        <v/>
      </c>
      <c r="M2136" t="str">
        <f>""</f>
        <v/>
      </c>
      <c r="N2136" t="str">
        <f>""</f>
        <v/>
      </c>
      <c r="O2136" t="str">
        <f>""</f>
        <v/>
      </c>
    </row>
    <row r="2137" spans="1:15" x14ac:dyDescent="0.25">
      <c r="A2137" t="str">
        <f>$A$1069</f>
        <v xml:space="preserve">                        CLP Holdings Ltd</v>
      </c>
      <c r="B2137" t="str">
        <f>$B$1069</f>
        <v>2 HK Equity</v>
      </c>
      <c r="C2137" t="str">
        <f>$C$1069</f>
        <v>F0946</v>
      </c>
      <c r="D2137" t="str">
        <f>$D$1069</f>
        <v>TOTAL_GHG_CO2_EMISSIONS</v>
      </c>
      <c r="E2137" t="str">
        <f>$E$1069</f>
        <v>Dynamic</v>
      </c>
      <c r="F2137">
        <f ca="1">_xll.BDH($B$1069,$C$1069,$B$1130,$B$1131,CONCATENATE("Per=",$B$1128),"Dts=H","Dir=H",CONCATENATE("Points=",$B$1129),"Sort=R","Days=A","Fill=B",CONCATENATE("FX=", $B$1127),"cols=5;rows=1")</f>
        <v>44.360999999999997</v>
      </c>
      <c r="G2137">
        <v>47.926000000000002</v>
      </c>
      <c r="H2137">
        <v>45.348999999999997</v>
      </c>
      <c r="I2137">
        <v>50.676499999999997</v>
      </c>
      <c r="J2137">
        <v>52.304499999999997</v>
      </c>
      <c r="K2137" t="str">
        <f>""</f>
        <v/>
      </c>
      <c r="L2137" t="str">
        <f>""</f>
        <v/>
      </c>
      <c r="M2137" t="str">
        <f>""</f>
        <v/>
      </c>
      <c r="N2137" t="str">
        <f>""</f>
        <v/>
      </c>
      <c r="O2137" t="str">
        <f>""</f>
        <v/>
      </c>
    </row>
    <row r="2138" spans="1:15" x14ac:dyDescent="0.25">
      <c r="A2138" t="str">
        <f>$A$1070</f>
        <v xml:space="preserve">                        China National Nuclear Power C</v>
      </c>
      <c r="B2138" t="str">
        <f>$B$1070</f>
        <v>601985 CH Equity</v>
      </c>
      <c r="C2138" t="str">
        <f>$C$1070</f>
        <v>F0946</v>
      </c>
      <c r="D2138" t="str">
        <f>$D$1070</f>
        <v>TOTAL_GHG_CO2_EMISSIONS</v>
      </c>
      <c r="E2138" t="str">
        <f>$E$1070</f>
        <v>Dynamic</v>
      </c>
      <c r="F2138" t="str">
        <f ca="1">_xll.BDH($B$1070,$C$1070,$B$1130,$B$1131,CONCATENATE("Per=",$B$1128),"Dts=H","Dir=H",CONCATENATE("Points=",$B$1129),"Sort=R","Days=A","Fill=B",CONCATENATE("FX=", $B$1127) )</f>
        <v/>
      </c>
      <c r="K2138" t="str">
        <f>""</f>
        <v/>
      </c>
      <c r="L2138" t="str">
        <f>""</f>
        <v/>
      </c>
      <c r="M2138" t="str">
        <f>""</f>
        <v/>
      </c>
      <c r="N2138" t="str">
        <f>""</f>
        <v/>
      </c>
      <c r="O2138" t="str">
        <f>""</f>
        <v/>
      </c>
    </row>
    <row r="2139" spans="1:15" x14ac:dyDescent="0.25">
      <c r="A2139" t="str">
        <f>$A$1071</f>
        <v xml:space="preserve">                        Contact Energy Ltd</v>
      </c>
      <c r="B2139" t="str">
        <f>$B$1071</f>
        <v>CEN NZ Equity</v>
      </c>
      <c r="C2139" t="str">
        <f>$C$1071</f>
        <v>F0946</v>
      </c>
      <c r="D2139" t="str">
        <f>$D$1071</f>
        <v>TOTAL_GHG_CO2_EMISSIONS</v>
      </c>
      <c r="E2139" t="str">
        <f>$E$1071</f>
        <v>Dynamic</v>
      </c>
      <c r="F2139" t="str">
        <f ca="1">_xll.BDH($B$1071,$C$1071,$B$1130,$B$1131,CONCATENATE("Per=",$B$1128),"Dts=H","Dir=H",CONCATENATE("Points=",$B$1129),"Sort=R","Days=A","Fill=B",CONCATENATE("FX=", $B$1127),"cols=5;rows=1")</f>
        <v/>
      </c>
      <c r="G2139">
        <v>0.78820000000000001</v>
      </c>
      <c r="H2139">
        <v>1.0459000000000001</v>
      </c>
      <c r="I2139">
        <v>0.92430000000000001</v>
      </c>
      <c r="J2139">
        <v>0.98729999999999996</v>
      </c>
      <c r="K2139" t="str">
        <f>""</f>
        <v/>
      </c>
      <c r="L2139" t="str">
        <f>""</f>
        <v/>
      </c>
      <c r="M2139" t="str">
        <f>""</f>
        <v/>
      </c>
      <c r="N2139" t="str">
        <f>""</f>
        <v/>
      </c>
      <c r="O2139" t="str">
        <f>""</f>
        <v/>
      </c>
    </row>
    <row r="2140" spans="1:15" x14ac:dyDescent="0.25">
      <c r="A2140" t="str">
        <f>$A$1072</f>
        <v xml:space="preserve">                        Chugoku Electric Power Co Inc/</v>
      </c>
      <c r="B2140" t="str">
        <f>$B$1072</f>
        <v>9504 JP Equity</v>
      </c>
      <c r="C2140" t="str">
        <f>$C$1072</f>
        <v>F0946</v>
      </c>
      <c r="D2140" t="str">
        <f>$D$1072</f>
        <v>TOTAL_GHG_CO2_EMISSIONS</v>
      </c>
      <c r="E2140" t="str">
        <f>$E$1072</f>
        <v>Dynamic</v>
      </c>
      <c r="F2140" t="str">
        <f ca="1">_xll.BDH($B$1072,$C$1072,$B$1130,$B$1131,CONCATENATE("Per=",$B$1128),"Dts=H","Dir=H",CONCATENATE("Points=",$B$1129),"Sort=R","Days=A","Fill=B",CONCATENATE("FX=", $B$1127),"cols=5;rows=1")</f>
        <v/>
      </c>
      <c r="G2140">
        <v>18.5</v>
      </c>
      <c r="H2140">
        <v>17.39</v>
      </c>
      <c r="I2140">
        <v>19.110099999999999</v>
      </c>
      <c r="J2140">
        <v>20.34</v>
      </c>
      <c r="K2140" t="str">
        <f>""</f>
        <v/>
      </c>
      <c r="L2140" t="str">
        <f>""</f>
        <v/>
      </c>
      <c r="M2140" t="str">
        <f>""</f>
        <v/>
      </c>
      <c r="N2140" t="str">
        <f>""</f>
        <v/>
      </c>
      <c r="O2140" t="str">
        <f>""</f>
        <v/>
      </c>
    </row>
    <row r="2141" spans="1:15" x14ac:dyDescent="0.25">
      <c r="A2141" t="str">
        <f>$A$1073</f>
        <v xml:space="preserve">                        Datang International Power Gen</v>
      </c>
      <c r="B2141" t="str">
        <f>$B$1073</f>
        <v>991 HK Equity</v>
      </c>
      <c r="C2141" t="str">
        <f>$C$1073</f>
        <v>F0946</v>
      </c>
      <c r="D2141" t="str">
        <f>$D$1073</f>
        <v>TOTAL_GHG_CO2_EMISSIONS</v>
      </c>
      <c r="E2141" t="str">
        <f>$E$1073</f>
        <v>Dynamic</v>
      </c>
      <c r="F2141">
        <f ca="1">_xll.BDH($B$1073,$C$1073,$B$1130,$B$1131,CONCATENATE("Per=",$B$1128),"Dts=H","Dir=H",CONCATENATE("Points=",$B$1129),"Sort=R","Days=A","Fill=B",CONCATENATE("FX=", $B$1127),"cols=5;rows=1")</f>
        <v>191.95699999999999</v>
      </c>
      <c r="G2141">
        <v>200.708</v>
      </c>
      <c r="H2141">
        <v>232.97800000000001</v>
      </c>
      <c r="I2141">
        <v>198.53</v>
      </c>
      <c r="J2141">
        <v>377.67</v>
      </c>
      <c r="K2141" t="str">
        <f>""</f>
        <v/>
      </c>
      <c r="L2141" t="str">
        <f>""</f>
        <v/>
      </c>
      <c r="M2141" t="str">
        <f>""</f>
        <v/>
      </c>
      <c r="N2141" t="str">
        <f>""</f>
        <v/>
      </c>
      <c r="O2141" t="str">
        <f>""</f>
        <v/>
      </c>
    </row>
    <row r="2142" spans="1:15" x14ac:dyDescent="0.25">
      <c r="A2142" t="str">
        <f>$A$1074</f>
        <v xml:space="preserve">                        Electric Power Development Co</v>
      </c>
      <c r="B2142" t="str">
        <f>$B$1074</f>
        <v>9513 JP Equity</v>
      </c>
      <c r="C2142" t="str">
        <f>$C$1074</f>
        <v>F0946</v>
      </c>
      <c r="D2142" t="str">
        <f>$D$1074</f>
        <v>TOTAL_GHG_CO2_EMISSIONS</v>
      </c>
      <c r="E2142" t="str">
        <f>$E$1074</f>
        <v>Dynamic</v>
      </c>
      <c r="F2142" t="str">
        <f ca="1">_xll.BDH($B$1074,$C$1074,$B$1130,$B$1131,CONCATENATE("Per=",$B$1128),"Dts=H","Dir=H",CONCATENATE("Points=",$B$1129),"Sort=R","Days=A","Fill=B",CONCATENATE("FX=", $B$1127),"cols=5;rows=1")</f>
        <v/>
      </c>
      <c r="G2142">
        <v>48.09</v>
      </c>
      <c r="H2142">
        <v>52.552300000000002</v>
      </c>
      <c r="I2142">
        <v>52.311999999999998</v>
      </c>
      <c r="J2142">
        <v>53.959099999999999</v>
      </c>
      <c r="K2142" t="str">
        <f>""</f>
        <v/>
      </c>
      <c r="L2142" t="str">
        <f>""</f>
        <v/>
      </c>
      <c r="M2142" t="str">
        <f>""</f>
        <v/>
      </c>
      <c r="N2142" t="str">
        <f>""</f>
        <v/>
      </c>
      <c r="O2142" t="str">
        <f>""</f>
        <v/>
      </c>
    </row>
    <row r="2143" spans="1:15" x14ac:dyDescent="0.25">
      <c r="A2143" t="str">
        <f>$A$1075</f>
        <v xml:space="preserve">                        Electricity Generating PCL</v>
      </c>
      <c r="B2143" t="str">
        <f>$B$1075</f>
        <v>EGCO TB Equity</v>
      </c>
      <c r="C2143" t="str">
        <f>$C$1075</f>
        <v>F0946</v>
      </c>
      <c r="D2143" t="str">
        <f>$D$1075</f>
        <v>TOTAL_GHG_CO2_EMISSIONS</v>
      </c>
      <c r="E2143" t="str">
        <f>$E$1075</f>
        <v>Dynamic</v>
      </c>
      <c r="F2143" t="str">
        <f ca="1">_xll.BDH($B$1075,$C$1075,$B$1130,$B$1131,CONCATENATE("Per=",$B$1128),"Dts=H","Dir=H",CONCATENATE("Points=",$B$1129),"Sort=R","Days=A","Fill=B",CONCATENATE("FX=", $B$1127),"cols=5;rows=1")</f>
        <v/>
      </c>
      <c r="G2143">
        <v>6.2519999999999998</v>
      </c>
      <c r="H2143">
        <v>6.2882999999999996</v>
      </c>
      <c r="I2143">
        <v>6.8014999999999999</v>
      </c>
      <c r="J2143">
        <v>6.6734999999999998</v>
      </c>
      <c r="K2143" t="str">
        <f>""</f>
        <v/>
      </c>
      <c r="L2143" t="str">
        <f>""</f>
        <v/>
      </c>
      <c r="M2143" t="str">
        <f>""</f>
        <v/>
      </c>
      <c r="N2143" t="str">
        <f>""</f>
        <v/>
      </c>
      <c r="O2143" t="str">
        <f>""</f>
        <v/>
      </c>
    </row>
    <row r="2144" spans="1:15" x14ac:dyDescent="0.25">
      <c r="A2144" t="str">
        <f>$A$1076</f>
        <v xml:space="preserve">                        First Gen Corp</v>
      </c>
      <c r="B2144" t="str">
        <f>$B$1076</f>
        <v>FGEN PM Equity</v>
      </c>
      <c r="C2144" t="str">
        <f>$C$1076</f>
        <v>F0946</v>
      </c>
      <c r="D2144" t="str">
        <f>$D$1076</f>
        <v>TOTAL_GHG_CO2_EMISSIONS</v>
      </c>
      <c r="E2144" t="str">
        <f>$E$1076</f>
        <v>Dynamic</v>
      </c>
      <c r="F2144">
        <f ca="1">_xll.BDH($B$1076,$C$1076,$B$1130,$B$1131,CONCATENATE("Per=",$B$1128),"Dts=H","Dir=H",CONCATENATE("Points=",$B$1129),"Sort=R","Days=A","Fill=B",CONCATENATE("FX=", $B$1127),"cols=5;rows=1")</f>
        <v>6.6996000000000002</v>
      </c>
      <c r="G2144">
        <v>5.8272000000000004</v>
      </c>
      <c r="I2144">
        <v>5.2453000000000003</v>
      </c>
      <c r="J2144">
        <v>5.6811999999999996</v>
      </c>
      <c r="K2144" t="str">
        <f>""</f>
        <v/>
      </c>
      <c r="L2144" t="str">
        <f>""</f>
        <v/>
      </c>
      <c r="M2144" t="str">
        <f>""</f>
        <v/>
      </c>
      <c r="N2144" t="str">
        <f>""</f>
        <v/>
      </c>
      <c r="O2144" t="str">
        <f>""</f>
        <v/>
      </c>
    </row>
    <row r="2145" spans="1:15" x14ac:dyDescent="0.25">
      <c r="A2145" t="str">
        <f>$A$1077</f>
        <v xml:space="preserve">                        First Philippine Holdings Corp</v>
      </c>
      <c r="B2145" t="str">
        <f>$B$1077</f>
        <v>FPH PM Equity</v>
      </c>
      <c r="C2145" t="str">
        <f>$C$1077</f>
        <v>F0946</v>
      </c>
      <c r="D2145" t="str">
        <f>$D$1077</f>
        <v>TOTAL_GHG_CO2_EMISSIONS</v>
      </c>
      <c r="E2145" t="str">
        <f>$E$1077</f>
        <v>Dynamic</v>
      </c>
      <c r="F2145">
        <f ca="1">_xll.BDH($B$1077,$C$1077,$B$1130,$B$1131,CONCATENATE("Per=",$B$1128),"Dts=H","Dir=H",CONCATENATE("Points=",$B$1129),"Sort=R","Days=A","Fill=B",CONCATENATE("FX=", $B$1127),"cols=5;rows=1")</f>
        <v>6.7481</v>
      </c>
      <c r="G2145">
        <v>6.5586000000000002</v>
      </c>
      <c r="H2145">
        <v>5.5639000000000003</v>
      </c>
      <c r="I2145">
        <v>5.7647000000000004</v>
      </c>
      <c r="J2145">
        <v>5.7248000000000001</v>
      </c>
      <c r="K2145" t="str">
        <f>""</f>
        <v/>
      </c>
      <c r="L2145" t="str">
        <f>""</f>
        <v/>
      </c>
      <c r="M2145" t="str">
        <f>""</f>
        <v/>
      </c>
      <c r="N2145" t="str">
        <f>""</f>
        <v/>
      </c>
      <c r="O2145" t="str">
        <f>""</f>
        <v/>
      </c>
    </row>
    <row r="2146" spans="1:15" x14ac:dyDescent="0.25">
      <c r="A2146" t="str">
        <f>$A$1078</f>
        <v xml:space="preserve">                        GD Power Development Co Ltd</v>
      </c>
      <c r="B2146" t="str">
        <f>$B$1078</f>
        <v>600795 CH Equity</v>
      </c>
      <c r="C2146" t="str">
        <f>$C$1078</f>
        <v>F0946</v>
      </c>
      <c r="D2146" t="str">
        <f>$D$1078</f>
        <v>TOTAL_GHG_CO2_EMISSIONS</v>
      </c>
      <c r="E2146" t="str">
        <f>$E$1078</f>
        <v>Dynamic</v>
      </c>
      <c r="F2146">
        <f ca="1">_xll.BDH($B$1078,$C$1078,$B$1130,$B$1131,CONCATENATE("Per=",$B$1128),"Dts=H","Dir=H",CONCATENATE("Points=",$B$1129),"Sort=R","Days=A","Fill=B",CONCATENATE("FX=", $B$1127),"cols=5;rows=1")</f>
        <v>378.96</v>
      </c>
      <c r="K2146" t="str">
        <f>""</f>
        <v/>
      </c>
      <c r="L2146" t="str">
        <f>""</f>
        <v/>
      </c>
      <c r="M2146" t="str">
        <f>""</f>
        <v/>
      </c>
      <c r="N2146" t="str">
        <f>""</f>
        <v/>
      </c>
      <c r="O2146" t="str">
        <f>""</f>
        <v/>
      </c>
    </row>
    <row r="2147" spans="1:15" x14ac:dyDescent="0.25">
      <c r="A2147" t="str">
        <f>$A$1079</f>
        <v xml:space="preserve">                        HK Electric Investments &amp; HK E</v>
      </c>
      <c r="B2147" t="str">
        <f>$B$1079</f>
        <v>2638 HK Equity</v>
      </c>
      <c r="C2147" t="str">
        <f>$C$1079</f>
        <v>F0946</v>
      </c>
      <c r="D2147" t="str">
        <f>$D$1079</f>
        <v>TOTAL_GHG_CO2_EMISSIONS</v>
      </c>
      <c r="E2147" t="str">
        <f>$E$1079</f>
        <v>Dynamic</v>
      </c>
      <c r="F2147">
        <f ca="1">_xll.BDH($B$1079,$C$1079,$B$1130,$B$1131,CONCATENATE("Per=",$B$1128),"Dts=H","Dir=H",CONCATENATE("Points=",$B$1129),"Sort=R","Days=A","Fill=B",CONCATENATE("FX=", $B$1127),"cols=5;rows=1")</f>
        <v>6.77</v>
      </c>
      <c r="G2147">
        <v>7.39</v>
      </c>
      <c r="H2147">
        <v>7.19</v>
      </c>
      <c r="I2147">
        <v>8.51</v>
      </c>
      <c r="J2147">
        <v>8.41</v>
      </c>
      <c r="K2147" t="str">
        <f>""</f>
        <v/>
      </c>
      <c r="L2147" t="str">
        <f>""</f>
        <v/>
      </c>
      <c r="M2147" t="str">
        <f>""</f>
        <v/>
      </c>
      <c r="N2147" t="str">
        <f>""</f>
        <v/>
      </c>
      <c r="O2147" t="str">
        <f>""</f>
        <v/>
      </c>
    </row>
    <row r="2148" spans="1:15" x14ac:dyDescent="0.25">
      <c r="A2148" t="str">
        <f>$A$1080</f>
        <v xml:space="preserve">                        Huadian Power International Co</v>
      </c>
      <c r="B2148" t="str">
        <f>$B$1080</f>
        <v>1071 HK Equity</v>
      </c>
      <c r="C2148" t="str">
        <f>$C$1080</f>
        <v>F0946</v>
      </c>
      <c r="D2148" t="str">
        <f>$D$1080</f>
        <v>TOTAL_GHG_CO2_EMISSIONS</v>
      </c>
      <c r="E2148" t="str">
        <f>$E$1080</f>
        <v>Dynamic</v>
      </c>
      <c r="F2148">
        <f ca="1">_xll.BDH($B$1080,$C$1080,$B$1130,$B$1131,CONCATENATE("Per=",$B$1128),"Dts=H","Dir=H",CONCATENATE("Points=",$B$1129),"Sort=R","Days=A","Fill=B",CONCATENATE("FX=", $B$1127),"cols=5;rows=1")</f>
        <v>170.072</v>
      </c>
      <c r="G2148">
        <v>172.05</v>
      </c>
      <c r="H2148">
        <v>152.71199999999999</v>
      </c>
      <c r="I2148">
        <v>167.93100000000001</v>
      </c>
      <c r="J2148">
        <v>164.34800000000001</v>
      </c>
      <c r="K2148" t="str">
        <f>""</f>
        <v/>
      </c>
      <c r="L2148" t="str">
        <f>""</f>
        <v/>
      </c>
      <c r="M2148" t="str">
        <f>""</f>
        <v/>
      </c>
      <c r="N2148" t="str">
        <f>""</f>
        <v/>
      </c>
      <c r="O2148" t="str">
        <f>""</f>
        <v/>
      </c>
    </row>
    <row r="2149" spans="1:15" x14ac:dyDescent="0.25">
      <c r="A2149" t="str">
        <f>$A$1081</f>
        <v xml:space="preserve">                        Huaneng Power International In</v>
      </c>
      <c r="B2149" t="str">
        <f>$B$1081</f>
        <v>902 HK Equity</v>
      </c>
      <c r="C2149" t="str">
        <f>$C$1081</f>
        <v>F0946</v>
      </c>
      <c r="D2149" t="str">
        <f>$D$1081</f>
        <v>TOTAL_GHG_CO2_EMISSIONS</v>
      </c>
      <c r="E2149" t="str">
        <f>$E$1081</f>
        <v>Dynamic</v>
      </c>
      <c r="F2149" t="str">
        <f ca="1">_xll.BDH($B$1081,$C$1081,$B$1130,$B$1131,CONCATENATE("Per=",$B$1128),"Dts=H","Dir=H",CONCATENATE("Points=",$B$1129),"Sort=R","Days=A","Fill=B",CONCATENATE("FX=", $B$1127),"cols=5;rows=1")</f>
        <v/>
      </c>
      <c r="H2149">
        <v>333.40199999999999</v>
      </c>
      <c r="I2149">
        <v>336.30099999999999</v>
      </c>
      <c r="J2149">
        <v>348.22399999999999</v>
      </c>
      <c r="K2149" t="str">
        <f>""</f>
        <v/>
      </c>
      <c r="L2149" t="str">
        <f>""</f>
        <v/>
      </c>
      <c r="M2149" t="str">
        <f>""</f>
        <v/>
      </c>
      <c r="N2149" t="str">
        <f>""</f>
        <v/>
      </c>
      <c r="O2149" t="str">
        <f>""</f>
        <v/>
      </c>
    </row>
    <row r="2150" spans="1:15" x14ac:dyDescent="0.25">
      <c r="A2150" t="str">
        <f>$A$1082</f>
        <v xml:space="preserve">                        Hokuriku Electric Power Co</v>
      </c>
      <c r="B2150" t="str">
        <f>$B$1082</f>
        <v>9505 JP Equity</v>
      </c>
      <c r="C2150" t="str">
        <f>$C$1082</f>
        <v>F0946</v>
      </c>
      <c r="D2150" t="str">
        <f>$D$1082</f>
        <v>TOTAL_GHG_CO2_EMISSIONS</v>
      </c>
      <c r="E2150" t="str">
        <f>$E$1082</f>
        <v>Dynamic</v>
      </c>
      <c r="F2150" t="str">
        <f ca="1">_xll.BDH($B$1082,$C$1082,$B$1130,$B$1131,CONCATENATE("Per=",$B$1128),"Dts=H","Dir=H",CONCATENATE("Points=",$B$1129),"Sort=R","Days=A","Fill=B",CONCATENATE("FX=", $B$1127),"cols=5;rows=1")</f>
        <v/>
      </c>
      <c r="J2150">
        <v>15.459199999999999</v>
      </c>
      <c r="K2150" t="str">
        <f>""</f>
        <v/>
      </c>
      <c r="L2150" t="str">
        <f>""</f>
        <v/>
      </c>
      <c r="M2150" t="str">
        <f>""</f>
        <v/>
      </c>
      <c r="N2150" t="str">
        <f>""</f>
        <v/>
      </c>
      <c r="O2150" t="str">
        <f>""</f>
        <v/>
      </c>
    </row>
    <row r="2151" spans="1:15" x14ac:dyDescent="0.25">
      <c r="A2151" t="str">
        <f>$A$1083</f>
        <v xml:space="preserve">                        Kansai Electric Power Co Inc/T</v>
      </c>
      <c r="B2151" t="str">
        <f>$B$1083</f>
        <v>9503 JP Equity</v>
      </c>
      <c r="C2151" t="str">
        <f>$C$1083</f>
        <v>F0946</v>
      </c>
      <c r="D2151" t="str">
        <f>$D$1083</f>
        <v>TOTAL_GHG_CO2_EMISSIONS</v>
      </c>
      <c r="E2151" t="str">
        <f>$E$1083</f>
        <v>Dynamic</v>
      </c>
      <c r="F2151" t="str">
        <f ca="1">_xll.BDH($B$1083,$C$1083,$B$1130,$B$1131,CONCATENATE("Per=",$B$1128),"Dts=H","Dir=H",CONCATENATE("Points=",$B$1129),"Sort=R","Days=A","Fill=B",CONCATENATE("FX=", $B$1127),"cols=5;rows=1")</f>
        <v/>
      </c>
      <c r="G2151">
        <v>30.1494</v>
      </c>
      <c r="H2151">
        <v>37.111800000000002</v>
      </c>
      <c r="I2151">
        <v>38.529800000000002</v>
      </c>
      <c r="J2151">
        <v>42.106200000000001</v>
      </c>
      <c r="K2151" t="str">
        <f>""</f>
        <v/>
      </c>
      <c r="L2151" t="str">
        <f>""</f>
        <v/>
      </c>
      <c r="M2151" t="str">
        <f>""</f>
        <v/>
      </c>
      <c r="N2151" t="str">
        <f>""</f>
        <v/>
      </c>
      <c r="O2151" t="str">
        <f>""</f>
        <v/>
      </c>
    </row>
    <row r="2152" spans="1:15" x14ac:dyDescent="0.25">
      <c r="A2152" t="str">
        <f>$A$1084</f>
        <v xml:space="preserve">                        Korea Electric Power Corp</v>
      </c>
      <c r="B2152" t="str">
        <f>$B$1084</f>
        <v>015760 KS Equity</v>
      </c>
      <c r="C2152" t="str">
        <f>$C$1084</f>
        <v>F0946</v>
      </c>
      <c r="D2152" t="str">
        <f>$D$1084</f>
        <v>TOTAL_GHG_CO2_EMISSIONS</v>
      </c>
      <c r="E2152" t="str">
        <f>$E$1084</f>
        <v>Dynamic</v>
      </c>
      <c r="F2152" t="str">
        <f ca="1">_xll.BDH($B$1084,$C$1084,$B$1130,$B$1131,CONCATENATE("Per=",$B$1128),"Dts=H","Dir=H",CONCATENATE("Points=",$B$1129),"Sort=R","Days=A","Fill=B",CONCATENATE("FX=", $B$1127),"cols=5;rows=1")</f>
        <v/>
      </c>
      <c r="G2152">
        <v>175.08500000000001</v>
      </c>
      <c r="H2152">
        <v>175.59700000000001</v>
      </c>
      <c r="I2152">
        <v>202.20599999999999</v>
      </c>
      <c r="J2152">
        <v>216.006</v>
      </c>
      <c r="K2152" t="str">
        <f>""</f>
        <v/>
      </c>
      <c r="L2152" t="str">
        <f>""</f>
        <v/>
      </c>
      <c r="M2152" t="str">
        <f>""</f>
        <v/>
      </c>
      <c r="N2152" t="str">
        <f>""</f>
        <v/>
      </c>
      <c r="O2152" t="str">
        <f>""</f>
        <v/>
      </c>
    </row>
    <row r="2153" spans="1:15" x14ac:dyDescent="0.25">
      <c r="A2153" t="str">
        <f>$A$1085</f>
        <v xml:space="preserve">                        Kyushu Electric Power Co Inc</v>
      </c>
      <c r="B2153" t="str">
        <f>$B$1085</f>
        <v>9508 JP Equity</v>
      </c>
      <c r="C2153" t="str">
        <f>$C$1085</f>
        <v>F0946</v>
      </c>
      <c r="D2153" t="str">
        <f>$D$1085</f>
        <v>TOTAL_GHG_CO2_EMISSIONS</v>
      </c>
      <c r="E2153" t="str">
        <f>$E$1085</f>
        <v>Dynamic</v>
      </c>
      <c r="F2153" t="str">
        <f ca="1">_xll.BDH($B$1085,$C$1085,$B$1130,$B$1131,CONCATENATE("Per=",$B$1128),"Dts=H","Dir=H",CONCATENATE("Points=",$B$1129),"Sort=R","Days=A","Fill=B",CONCATENATE("FX=", $B$1127),"cols=5;rows=1")</f>
        <v/>
      </c>
      <c r="G2153">
        <v>17.490100000000002</v>
      </c>
      <c r="H2153">
        <v>22.110099999999999</v>
      </c>
      <c r="I2153">
        <v>19.040099999999999</v>
      </c>
      <c r="J2153">
        <v>17.560099999999998</v>
      </c>
      <c r="K2153" t="str">
        <f>""</f>
        <v/>
      </c>
      <c r="L2153" t="str">
        <f>""</f>
        <v/>
      </c>
      <c r="M2153" t="str">
        <f>""</f>
        <v/>
      </c>
      <c r="N2153" t="str">
        <f>""</f>
        <v/>
      </c>
      <c r="O2153" t="str">
        <f>""</f>
        <v/>
      </c>
    </row>
    <row r="2154" spans="1:15" x14ac:dyDescent="0.25">
      <c r="A2154" t="str">
        <f>$A$1086</f>
        <v xml:space="preserve">                        Malakoff Corp Bhd</v>
      </c>
      <c r="B2154" t="str">
        <f>$B$1086</f>
        <v>MLK MK Equity</v>
      </c>
      <c r="C2154" t="str">
        <f>$C$1086</f>
        <v>F0946</v>
      </c>
      <c r="D2154" t="str">
        <f>$D$1086</f>
        <v>TOTAL_GHG_CO2_EMISSIONS</v>
      </c>
      <c r="E2154" t="str">
        <f>$E$1086</f>
        <v>Dynamic</v>
      </c>
      <c r="F2154">
        <f ca="1">_xll.BDH($B$1086,$C$1086,$B$1130,$B$1131,CONCATENATE("Per=",$B$1128),"Dts=H","Dir=H",CONCATENATE("Points=",$B$1129),"Sort=R","Days=A","Fill=B",CONCATENATE("FX=", $B$1127),"cols=5;rows=1")</f>
        <v>16.885200000000001</v>
      </c>
      <c r="G2154">
        <v>16.36</v>
      </c>
      <c r="H2154">
        <v>19.84</v>
      </c>
      <c r="I2154">
        <v>20.13</v>
      </c>
      <c r="K2154" t="str">
        <f>""</f>
        <v/>
      </c>
      <c r="L2154" t="str">
        <f>""</f>
        <v/>
      </c>
      <c r="M2154" t="str">
        <f>""</f>
        <v/>
      </c>
      <c r="N2154" t="str">
        <f>""</f>
        <v/>
      </c>
      <c r="O2154" t="str">
        <f>""</f>
        <v/>
      </c>
    </row>
    <row r="2155" spans="1:15" x14ac:dyDescent="0.25">
      <c r="A2155" t="str">
        <f>$A$1087</f>
        <v xml:space="preserve">                        Manila Electric Co</v>
      </c>
      <c r="B2155" t="str">
        <f>$B$1087</f>
        <v>MER PM Equity</v>
      </c>
      <c r="C2155" t="str">
        <f>$C$1087</f>
        <v>F0946</v>
      </c>
      <c r="D2155" t="str">
        <f>$D$1087</f>
        <v>TOTAL_GHG_CO2_EMISSIONS</v>
      </c>
      <c r="E2155" t="str">
        <f>$E$1087</f>
        <v>Dynamic</v>
      </c>
      <c r="F2155" t="str">
        <f ca="1">_xll.BDH($B$1087,$C$1087,$B$1130,$B$1131,CONCATENATE("Per=",$B$1128),"Dts=H","Dir=H",CONCATENATE("Points=",$B$1129),"Sort=R","Days=A","Fill=B",CONCATENATE("FX=", $B$1127),"cols=5;rows=1")</f>
        <v/>
      </c>
      <c r="G2155">
        <v>8.5939999999999994</v>
      </c>
      <c r="H2155">
        <v>4.4238999999999997</v>
      </c>
      <c r="I2155">
        <v>3.4847999999999999</v>
      </c>
      <c r="J2155">
        <v>2.5998999999999999</v>
      </c>
      <c r="K2155" t="str">
        <f>""</f>
        <v/>
      </c>
      <c r="L2155" t="str">
        <f>""</f>
        <v/>
      </c>
      <c r="M2155" t="str">
        <f>""</f>
        <v/>
      </c>
      <c r="N2155" t="str">
        <f>""</f>
        <v/>
      </c>
      <c r="O2155" t="str">
        <f>""</f>
        <v/>
      </c>
    </row>
    <row r="2156" spans="1:15" x14ac:dyDescent="0.25">
      <c r="A2156" t="str">
        <f>$A$1088</f>
        <v xml:space="preserve">                        Mercury NZ Ltd</v>
      </c>
      <c r="B2156" t="str">
        <f>$B$1088</f>
        <v>MCY NZ Equity</v>
      </c>
      <c r="C2156" t="str">
        <f>$C$1088</f>
        <v>F0946</v>
      </c>
      <c r="D2156" t="str">
        <f>$D$1088</f>
        <v>TOTAL_GHG_CO2_EMISSIONS</v>
      </c>
      <c r="E2156" t="str">
        <f>$E$1088</f>
        <v>Dynamic</v>
      </c>
      <c r="F2156" t="str">
        <f ca="1">_xll.BDH($B$1088,$C$1088,$B$1130,$B$1131,CONCATENATE("Per=",$B$1128),"Dts=H","Dir=H",CONCATENATE("Points=",$B$1129),"Sort=R","Days=A","Fill=B",CONCATENATE("FX=", $B$1127),"cols=5;rows=1")</f>
        <v/>
      </c>
      <c r="H2156">
        <v>0.20180000000000001</v>
      </c>
      <c r="I2156">
        <v>0.22500000000000001</v>
      </c>
      <c r="J2156">
        <v>0.24890000000000001</v>
      </c>
      <c r="K2156" t="str">
        <f>""</f>
        <v/>
      </c>
      <c r="L2156" t="str">
        <f>""</f>
        <v/>
      </c>
      <c r="M2156" t="str">
        <f>""</f>
        <v/>
      </c>
      <c r="N2156" t="str">
        <f>""</f>
        <v/>
      </c>
      <c r="O2156" t="str">
        <f>""</f>
        <v/>
      </c>
    </row>
    <row r="2157" spans="1:15" x14ac:dyDescent="0.25">
      <c r="A2157" t="str">
        <f>$A$1089</f>
        <v xml:space="preserve">                        Meridian Energy Ltd</v>
      </c>
      <c r="B2157" t="str">
        <f>$B$1089</f>
        <v>MEL NZ Equity</v>
      </c>
      <c r="C2157" t="str">
        <f>$C$1089</f>
        <v>F0946</v>
      </c>
      <c r="D2157" t="str">
        <f>$D$1089</f>
        <v>TOTAL_GHG_CO2_EMISSIONS</v>
      </c>
      <c r="E2157" t="str">
        <f>$E$1089</f>
        <v>Dynamic</v>
      </c>
      <c r="F2157" t="str">
        <f ca="1">_xll.BDH($B$1089,$C$1089,$B$1130,$B$1131,CONCATENATE("Per=",$B$1128),"Dts=H","Dir=H",CONCATENATE("Points=",$B$1129),"Sort=R","Days=A","Fill=B",CONCATENATE("FX=", $B$1127),"cols=5;rows=1")</f>
        <v/>
      </c>
      <c r="G2157">
        <v>8.9999999999999998E-4</v>
      </c>
      <c r="H2157">
        <v>4.4999999999999997E-3</v>
      </c>
      <c r="I2157">
        <v>3.5999999999999999E-3</v>
      </c>
      <c r="J2157">
        <v>3.3999999999999998E-3</v>
      </c>
      <c r="K2157" t="str">
        <f>""</f>
        <v/>
      </c>
      <c r="L2157" t="str">
        <f>""</f>
        <v/>
      </c>
      <c r="M2157" t="str">
        <f>""</f>
        <v/>
      </c>
      <c r="N2157" t="str">
        <f>""</f>
        <v/>
      </c>
      <c r="O2157" t="str">
        <f>""</f>
        <v/>
      </c>
    </row>
    <row r="2158" spans="1:15" x14ac:dyDescent="0.25">
      <c r="A2158" t="str">
        <f>$A$1090</f>
        <v xml:space="preserve">                        NTPC Ltd</v>
      </c>
      <c r="B2158" t="str">
        <f>$B$1090</f>
        <v>NTPC IN Equity</v>
      </c>
      <c r="C2158" t="str">
        <f>$C$1090</f>
        <v>F0946</v>
      </c>
      <c r="D2158" t="str">
        <f>$D$1090</f>
        <v>TOTAL_GHG_CO2_EMISSIONS</v>
      </c>
      <c r="E2158" t="str">
        <f>$E$1090</f>
        <v>Dynamic</v>
      </c>
      <c r="F2158" t="str">
        <f ca="1">_xll.BDH($B$1090,$C$1090,$B$1130,$B$1131,CONCATENATE("Per=",$B$1128),"Dts=H","Dir=H",CONCATENATE("Points=",$B$1129),"Sort=R","Days=A","Fill=B",CONCATENATE("FX=", $B$1127),"cols=5;rows=1")</f>
        <v/>
      </c>
      <c r="G2158">
        <v>304.15600000000001</v>
      </c>
      <c r="H2158">
        <v>263.92200000000003</v>
      </c>
      <c r="I2158">
        <v>252.511</v>
      </c>
      <c r="J2158">
        <v>240.392</v>
      </c>
      <c r="K2158" t="str">
        <f>""</f>
        <v/>
      </c>
      <c r="L2158" t="str">
        <f>""</f>
        <v/>
      </c>
      <c r="M2158" t="str">
        <f>""</f>
        <v/>
      </c>
      <c r="N2158" t="str">
        <f>""</f>
        <v/>
      </c>
      <c r="O2158" t="str">
        <f>""</f>
        <v/>
      </c>
    </row>
    <row r="2159" spans="1:15" x14ac:dyDescent="0.25">
      <c r="A2159" t="str">
        <f>$A$1091</f>
        <v xml:space="preserve">                        Origin Energy Ltd</v>
      </c>
      <c r="B2159" t="str">
        <f>$B$1091</f>
        <v>ORG AU Equity</v>
      </c>
      <c r="C2159" t="str">
        <f>$C$1091</f>
        <v>F0946</v>
      </c>
      <c r="D2159" t="str">
        <f>$D$1091</f>
        <v>TOTAL_GHG_CO2_EMISSIONS</v>
      </c>
      <c r="E2159" t="str">
        <f>$E$1091</f>
        <v>Dynamic</v>
      </c>
      <c r="F2159" t="str">
        <f ca="1">_xll.BDH($B$1091,$C$1091,$B$1130,$B$1131,CONCATENATE("Per=",$B$1128),"Dts=H","Dir=H",CONCATENATE("Points=",$B$1129),"Sort=R","Days=A","Fill=B",CONCATENATE("FX=", $B$1127),"cols=5;rows=1")</f>
        <v/>
      </c>
      <c r="G2159">
        <v>15.3</v>
      </c>
      <c r="H2159">
        <v>17.194900000000001</v>
      </c>
      <c r="I2159">
        <v>18.468</v>
      </c>
      <c r="J2159">
        <v>20.359000000000002</v>
      </c>
      <c r="K2159" t="str">
        <f>""</f>
        <v/>
      </c>
      <c r="L2159" t="str">
        <f>""</f>
        <v/>
      </c>
      <c r="M2159" t="str">
        <f>""</f>
        <v/>
      </c>
      <c r="N2159" t="str">
        <f>""</f>
        <v/>
      </c>
      <c r="O2159" t="str">
        <f>""</f>
        <v/>
      </c>
    </row>
    <row r="2160" spans="1:15" x14ac:dyDescent="0.25">
      <c r="A2160" t="str">
        <f>$A$1092</f>
        <v xml:space="preserve">                        Power Assets Holdings Ltd</v>
      </c>
      <c r="B2160" t="str">
        <f>$B$1092</f>
        <v>6 HK Equity</v>
      </c>
      <c r="C2160" t="str">
        <f>$C$1092</f>
        <v>F0946</v>
      </c>
      <c r="D2160" t="str">
        <f>$D$1092</f>
        <v>TOTAL_GHG_CO2_EMISSIONS</v>
      </c>
      <c r="E2160" t="str">
        <f>$E$1092</f>
        <v>Dynamic</v>
      </c>
      <c r="F2160">
        <f ca="1">_xll.BDH($B$1092,$C$1092,$B$1130,$B$1131,CONCATENATE("Per=",$B$1128),"Dts=H","Dir=H",CONCATENATE("Points=",$B$1129),"Sort=R","Days=A","Fill=B",CONCATENATE("FX=", $B$1127),"cols=5;rows=1")</f>
        <v>8.0408000000000008</v>
      </c>
      <c r="G2160">
        <v>8.2948000000000004</v>
      </c>
      <c r="H2160">
        <v>8.0046999999999997</v>
      </c>
      <c r="I2160">
        <v>10.885</v>
      </c>
      <c r="J2160">
        <v>12.643000000000001</v>
      </c>
      <c r="K2160" t="str">
        <f>""</f>
        <v/>
      </c>
      <c r="L2160" t="str">
        <f>""</f>
        <v/>
      </c>
      <c r="M2160" t="str">
        <f>""</f>
        <v/>
      </c>
      <c r="N2160" t="str">
        <f>""</f>
        <v/>
      </c>
      <c r="O2160" t="str">
        <f>""</f>
        <v/>
      </c>
    </row>
    <row r="2161" spans="1:15" x14ac:dyDescent="0.25">
      <c r="A2161" t="str">
        <f>$A$1093</f>
        <v xml:space="preserve">                        Power Grid Corp of India Ltd</v>
      </c>
      <c r="B2161" t="str">
        <f>$B$1093</f>
        <v>PWGR IN Equity</v>
      </c>
      <c r="C2161" t="str">
        <f>$C$1093</f>
        <v>F0946</v>
      </c>
      <c r="D2161" t="str">
        <f>$D$1093</f>
        <v>TOTAL_GHG_CO2_EMISSIONS</v>
      </c>
      <c r="E2161" t="str">
        <f>$E$1093</f>
        <v>Dynamic</v>
      </c>
      <c r="F2161" t="str">
        <f ca="1">_xll.BDH($B$1093,$C$1093,$B$1130,$B$1131,CONCATENATE("Per=",$B$1128),"Dts=H","Dir=H",CONCATENATE("Points=",$B$1129),"Sort=R","Days=A","Fill=B",CONCATENATE("FX=", $B$1127) )</f>
        <v/>
      </c>
      <c r="K2161" t="str">
        <f>""</f>
        <v/>
      </c>
      <c r="L2161" t="str">
        <f>""</f>
        <v/>
      </c>
      <c r="M2161" t="str">
        <f>""</f>
        <v/>
      </c>
      <c r="N2161" t="str">
        <f>""</f>
        <v/>
      </c>
      <c r="O2161" t="str">
        <f>""</f>
        <v/>
      </c>
    </row>
    <row r="2162" spans="1:15" x14ac:dyDescent="0.25">
      <c r="A2162" t="str">
        <f>$A$1094</f>
        <v xml:space="preserve">                        Ratch Group PCL</v>
      </c>
      <c r="B2162" t="str">
        <f>$B$1094</f>
        <v>RATCH TB Equity</v>
      </c>
      <c r="C2162" t="str">
        <f>$C$1094</f>
        <v>F0946</v>
      </c>
      <c r="D2162" t="str">
        <f>$D$1094</f>
        <v>TOTAL_GHG_CO2_EMISSIONS</v>
      </c>
      <c r="E2162" t="str">
        <f>$E$1094</f>
        <v>Dynamic</v>
      </c>
      <c r="F2162" t="str">
        <f ca="1">_xll.BDH($B$1094,$C$1094,$B$1130,$B$1131,CONCATENATE("Per=",$B$1128),"Dts=H","Dir=H",CONCATENATE("Points=",$B$1129),"Sort=R","Days=A","Fill=B",CONCATENATE("FX=", $B$1127),"cols=5;rows=1")</f>
        <v/>
      </c>
      <c r="G2162">
        <v>6.476</v>
      </c>
      <c r="H2162">
        <v>6.2882999999999996</v>
      </c>
      <c r="I2162">
        <v>5.9192999999999998</v>
      </c>
      <c r="J2162">
        <v>6.9694000000000003</v>
      </c>
      <c r="K2162" t="str">
        <f>""</f>
        <v/>
      </c>
      <c r="L2162" t="str">
        <f>""</f>
        <v/>
      </c>
      <c r="M2162" t="str">
        <f>""</f>
        <v/>
      </c>
      <c r="N2162" t="str">
        <f>""</f>
        <v/>
      </c>
      <c r="O2162" t="str">
        <f>""</f>
        <v/>
      </c>
    </row>
    <row r="2163" spans="1:15" x14ac:dyDescent="0.25">
      <c r="A2163" t="str">
        <f>$A$1095</f>
        <v xml:space="preserve">                        Spark Infrastructure Group</v>
      </c>
      <c r="B2163" t="str">
        <f>$B$1095</f>
        <v>SKI AU Equity</v>
      </c>
      <c r="C2163" t="str">
        <f>$C$1095</f>
        <v>F0946</v>
      </c>
      <c r="D2163" t="str">
        <f>$D$1095</f>
        <v>TOTAL_GHG_CO2_EMISSIONS</v>
      </c>
      <c r="E2163" t="str">
        <f>$E$1095</f>
        <v>Dynamic</v>
      </c>
      <c r="F2163" t="str">
        <f ca="1">_xll.BDH($B$1095,$C$1095,$B$1130,$B$1131,CONCATENATE("Per=",$B$1128),"Dts=H","Dir=H",CONCATENATE("Points=",$B$1129),"Sort=R","Days=A","Fill=B",CONCATENATE("FX=", $B$1127),"cols=5;rows=1")</f>
        <v/>
      </c>
      <c r="J2163">
        <v>2.5575999999999999</v>
      </c>
      <c r="K2163" t="str">
        <f>""</f>
        <v/>
      </c>
      <c r="L2163" t="str">
        <f>""</f>
        <v/>
      </c>
      <c r="M2163" t="str">
        <f>""</f>
        <v/>
      </c>
      <c r="N2163" t="str">
        <f>""</f>
        <v/>
      </c>
      <c r="O2163" t="str">
        <f>""</f>
        <v/>
      </c>
    </row>
    <row r="2164" spans="1:15" x14ac:dyDescent="0.25">
      <c r="A2164" t="str">
        <f>$A$1096</f>
        <v xml:space="preserve">                        Tata Power Co Ltd/The</v>
      </c>
      <c r="B2164" t="str">
        <f>$B$1096</f>
        <v>TPWR IN Equity</v>
      </c>
      <c r="C2164" t="str">
        <f>$C$1096</f>
        <v>F0946</v>
      </c>
      <c r="D2164" t="str">
        <f>$D$1096</f>
        <v>TOTAL_GHG_CO2_EMISSIONS</v>
      </c>
      <c r="E2164" t="str">
        <f>$E$1096</f>
        <v>Dynamic</v>
      </c>
      <c r="F2164">
        <f ca="1">_xll.BDH($B$1096,$C$1096,$B$1130,$B$1131,CONCATENATE("Per=",$B$1128),"Dts=H","Dir=H",CONCATENATE("Points=",$B$1129),"Sort=R","Days=A","Fill=B",CONCATENATE("FX=", $B$1127),"cols=5;rows=1")</f>
        <v>28.786999999999999</v>
      </c>
      <c r="G2164">
        <v>27.614999999999998</v>
      </c>
      <c r="H2164">
        <v>34.530999999999999</v>
      </c>
      <c r="I2164">
        <v>34.975000000000001</v>
      </c>
      <c r="J2164">
        <v>36.067500000000003</v>
      </c>
      <c r="K2164" t="str">
        <f>""</f>
        <v/>
      </c>
      <c r="L2164" t="str">
        <f>""</f>
        <v/>
      </c>
      <c r="M2164" t="str">
        <f>""</f>
        <v/>
      </c>
      <c r="N2164" t="str">
        <f>""</f>
        <v/>
      </c>
      <c r="O2164" t="str">
        <f>""</f>
        <v/>
      </c>
    </row>
    <row r="2165" spans="1:15" x14ac:dyDescent="0.25">
      <c r="A2165" t="str">
        <f>$A$1097</f>
        <v xml:space="preserve">                        Tokyo Electric Power Co Holdin</v>
      </c>
      <c r="B2165" t="str">
        <f>$B$1097</f>
        <v>9501 JP Equity</v>
      </c>
      <c r="C2165" t="str">
        <f>$C$1097</f>
        <v>F0946</v>
      </c>
      <c r="D2165" t="str">
        <f>$D$1097</f>
        <v>TOTAL_GHG_CO2_EMISSIONS</v>
      </c>
      <c r="E2165" t="str">
        <f>$E$1097</f>
        <v>Dynamic</v>
      </c>
      <c r="F2165" t="str">
        <f ca="1">_xll.BDH($B$1097,$C$1097,$B$1130,$B$1131,CONCATENATE("Per=",$B$1128),"Dts=H","Dir=H",CONCATENATE("Points=",$B$1129),"Sort=R","Days=A","Fill=B",CONCATENATE("FX=", $B$1127),"cols=5;rows=1")</f>
        <v/>
      </c>
      <c r="G2165">
        <v>6.29</v>
      </c>
      <c r="H2165">
        <v>5.4</v>
      </c>
      <c r="I2165">
        <v>6.2409999999999997</v>
      </c>
      <c r="J2165">
        <v>84.37</v>
      </c>
      <c r="K2165" t="str">
        <f>""</f>
        <v/>
      </c>
      <c r="L2165" t="str">
        <f>""</f>
        <v/>
      </c>
      <c r="M2165" t="str">
        <f>""</f>
        <v/>
      </c>
      <c r="N2165" t="str">
        <f>""</f>
        <v/>
      </c>
      <c r="O2165" t="str">
        <f>""</f>
        <v/>
      </c>
    </row>
    <row r="2166" spans="1:15" x14ac:dyDescent="0.25">
      <c r="A2166" t="str">
        <f>$A$1098</f>
        <v xml:space="preserve">                        Tenaga Nasional Bhd</v>
      </c>
      <c r="B2166" t="str">
        <f>$B$1098</f>
        <v>TNB MK Equity</v>
      </c>
      <c r="C2166" t="str">
        <f>$C$1098</f>
        <v>F0946</v>
      </c>
      <c r="D2166" t="str">
        <f>$D$1098</f>
        <v>TOTAL_GHG_CO2_EMISSIONS</v>
      </c>
      <c r="E2166" t="str">
        <f>$E$1098</f>
        <v>Dynamic</v>
      </c>
      <c r="F2166">
        <f ca="1">_xll.BDH($B$1098,$C$1098,$B$1130,$B$1131,CONCATENATE("Per=",$B$1128),"Dts=H","Dir=H",CONCATENATE("Points=",$B$1129),"Sort=R","Days=A","Fill=B",CONCATENATE("FX=", $B$1127),"cols=5;rows=1")</f>
        <v>38.9</v>
      </c>
      <c r="G2166">
        <v>39.994700000000002</v>
      </c>
      <c r="H2166">
        <v>39.28</v>
      </c>
      <c r="I2166">
        <v>33.575800000000001</v>
      </c>
      <c r="J2166">
        <v>37.117600000000003</v>
      </c>
      <c r="K2166" t="str">
        <f>""</f>
        <v/>
      </c>
      <c r="L2166" t="str">
        <f>""</f>
        <v/>
      </c>
      <c r="M2166" t="str">
        <f>""</f>
        <v/>
      </c>
      <c r="N2166" t="str">
        <f>""</f>
        <v/>
      </c>
      <c r="O2166" t="str">
        <f>""</f>
        <v/>
      </c>
    </row>
    <row r="2167" spans="1:15" x14ac:dyDescent="0.25">
      <c r="A2167" t="str">
        <f>$A$1099</f>
        <v xml:space="preserve">                        Tohoku Electric Power Co Inc</v>
      </c>
      <c r="B2167" t="str">
        <f>$B$1099</f>
        <v>9506 JP Equity</v>
      </c>
      <c r="C2167" t="str">
        <f>$C$1099</f>
        <v>F0946</v>
      </c>
      <c r="D2167" t="str">
        <f>$D$1099</f>
        <v>TOTAL_GHG_CO2_EMISSIONS</v>
      </c>
      <c r="E2167" t="str">
        <f>$E$1099</f>
        <v>Dynamic</v>
      </c>
      <c r="F2167" t="str">
        <f ca="1">_xll.BDH($B$1099,$C$1099,$B$1130,$B$1131,CONCATENATE("Per=",$B$1128),"Dts=H","Dir=H",CONCATENATE("Points=",$B$1129),"Sort=R","Days=A","Fill=B",CONCATENATE("FX=", $B$1127),"cols=5;rows=1")</f>
        <v/>
      </c>
      <c r="G2167">
        <v>32.816000000000003</v>
      </c>
      <c r="H2167">
        <v>31.140999999999998</v>
      </c>
      <c r="I2167">
        <v>30.591000000000001</v>
      </c>
      <c r="J2167">
        <v>31.9</v>
      </c>
      <c r="K2167" t="str">
        <f>""</f>
        <v/>
      </c>
      <c r="L2167" t="str">
        <f>""</f>
        <v/>
      </c>
      <c r="M2167" t="str">
        <f>""</f>
        <v/>
      </c>
      <c r="N2167" t="str">
        <f>""</f>
        <v/>
      </c>
      <c r="O2167" t="str">
        <f>""</f>
        <v/>
      </c>
    </row>
    <row r="2168" spans="1:15" x14ac:dyDescent="0.25">
      <c r="A2168" t="str">
        <f>$A$1100</f>
        <v xml:space="preserve">                        Vector Ltd</v>
      </c>
      <c r="B2168" t="str">
        <f>$B$1100</f>
        <v>VCT NZ Equity</v>
      </c>
      <c r="C2168" t="str">
        <f>$C$1100</f>
        <v>F0946</v>
      </c>
      <c r="D2168" t="str">
        <f>$D$1100</f>
        <v>TOTAL_GHG_CO2_EMISSIONS</v>
      </c>
      <c r="E2168" t="str">
        <f>$E$1100</f>
        <v>Dynamic</v>
      </c>
      <c r="F2168" t="str">
        <f ca="1">_xll.BDH($B$1100,$C$1100,$B$1130,$B$1131,CONCATENATE("Per=",$B$1128),"Dts=H","Dir=H",CONCATENATE("Points=",$B$1129),"Sort=R","Days=A","Fill=B",CONCATENATE("FX=", $B$1127),"cols=5;rows=1")</f>
        <v/>
      </c>
      <c r="G2168">
        <v>6.0400000000000002E-2</v>
      </c>
      <c r="H2168">
        <v>5.3800000000000001E-2</v>
      </c>
      <c r="I2168">
        <v>0.32319999999999999</v>
      </c>
      <c r="J2168">
        <v>0.42630000000000001</v>
      </c>
      <c r="K2168" t="str">
        <f>""</f>
        <v/>
      </c>
      <c r="L2168" t="str">
        <f>""</f>
        <v/>
      </c>
      <c r="M2168" t="str">
        <f>""</f>
        <v/>
      </c>
      <c r="N2168" t="str">
        <f>""</f>
        <v/>
      </c>
      <c r="O2168" t="str">
        <f>""</f>
        <v/>
      </c>
    </row>
    <row r="2169" spans="1:15" x14ac:dyDescent="0.25">
      <c r="A2169" t="str">
        <f>$A$1101</f>
        <v xml:space="preserve">                        YTL Corp Bhd</v>
      </c>
      <c r="B2169" t="str">
        <f>$B$1101</f>
        <v>YTL MK Equity</v>
      </c>
      <c r="C2169" t="str">
        <f>$C$1101</f>
        <v>F0946</v>
      </c>
      <c r="D2169" t="str">
        <f>$D$1101</f>
        <v>TOTAL_GHG_CO2_EMISSIONS</v>
      </c>
      <c r="E2169" t="str">
        <f>$E$1101</f>
        <v>Dynamic</v>
      </c>
      <c r="F2169" t="str">
        <f ca="1">_xll.BDH($B$1101,$C$1101,$B$1130,$B$1131,CONCATENATE("Per=",$B$1128),"Dts=H","Dir=H",CONCATENATE("Points=",$B$1129),"Sort=R","Days=A","Fill=B",CONCATENATE("FX=", $B$1127),"cols=5;rows=1")</f>
        <v/>
      </c>
      <c r="G2169">
        <v>3.8330000000000002</v>
      </c>
      <c r="H2169">
        <v>3.363</v>
      </c>
      <c r="I2169">
        <v>3.6539999999999999</v>
      </c>
      <c r="K2169" t="str">
        <f>""</f>
        <v/>
      </c>
      <c r="L2169" t="str">
        <f>""</f>
        <v/>
      </c>
      <c r="M2169" t="str">
        <f>""</f>
        <v/>
      </c>
      <c r="N2169" t="str">
        <f>""</f>
        <v/>
      </c>
      <c r="O2169" t="str">
        <f>""</f>
        <v/>
      </c>
    </row>
    <row r="2170" spans="1:15" x14ac:dyDescent="0.25">
      <c r="A2170" t="str">
        <f>$A$1102</f>
        <v xml:space="preserve">                        YTL Power International Bhd</v>
      </c>
      <c r="B2170" t="str">
        <f>$B$1102</f>
        <v>YTLP MK Equity</v>
      </c>
      <c r="C2170" t="str">
        <f>$C$1102</f>
        <v>F0946</v>
      </c>
      <c r="D2170" t="str">
        <f>$D$1102</f>
        <v>TOTAL_GHG_CO2_EMISSIONS</v>
      </c>
      <c r="E2170" t="str">
        <f>$E$1102</f>
        <v>Dynamic</v>
      </c>
      <c r="F2170" t="str">
        <f ca="1">_xll.BDH($B$1102,$C$1102,$B$1130,$B$1131,CONCATENATE("Per=",$B$1128),"Dts=H","Dir=H",CONCATENATE("Points=",$B$1129),"Sort=R","Days=A","Fill=B",CONCATENATE("FX=", $B$1127) )</f>
        <v/>
      </c>
      <c r="K2170" t="str">
        <f>""</f>
        <v/>
      </c>
      <c r="L2170" t="str">
        <f>""</f>
        <v/>
      </c>
      <c r="M2170" t="str">
        <f>""</f>
        <v/>
      </c>
      <c r="N2170" t="str">
        <f>""</f>
        <v/>
      </c>
      <c r="O2170" t="str">
        <f>""</f>
        <v/>
      </c>
    </row>
    <row r="2171" spans="1:15" x14ac:dyDescent="0.25">
      <c r="A2171" t="str">
        <f>$A$1104</f>
        <v xml:space="preserve">                Avangrid Inc</v>
      </c>
      <c r="B2171" t="str">
        <f>$B$1104</f>
        <v>AGR US Equity</v>
      </c>
      <c r="C2171" t="str">
        <f>$C$1104</f>
        <v>F0946</v>
      </c>
      <c r="D2171" t="str">
        <f>$D$1104</f>
        <v>TOTAL_GHG_CO2_EMISSIONS</v>
      </c>
      <c r="E2171" t="str">
        <f>$E$1104</f>
        <v>Dynamic</v>
      </c>
      <c r="F2171">
        <f ca="1">_xll.BDH($B$1104,$C$1104,$B$1130,$B$1131,CONCATENATE("Per=",$B$1128),"Dts=H","Dir=H",CONCATENATE("Points=",$B$1129),"Sort=R","Days=A","Fill=B",CONCATENATE("FX=", $B$1127),"cols=5;rows=1")</f>
        <v>1.6009</v>
      </c>
      <c r="G2171">
        <v>1.9926999999999999</v>
      </c>
      <c r="H2171">
        <v>1.7137</v>
      </c>
      <c r="I2171">
        <v>2.1656</v>
      </c>
      <c r="J2171">
        <v>1.7256</v>
      </c>
      <c r="K2171" t="str">
        <f>""</f>
        <v/>
      </c>
      <c r="L2171" t="str">
        <f>""</f>
        <v/>
      </c>
      <c r="M2171" t="str">
        <f>""</f>
        <v/>
      </c>
      <c r="N2171" t="str">
        <f>""</f>
        <v/>
      </c>
      <c r="O2171" t="str">
        <f>""</f>
        <v/>
      </c>
    </row>
    <row r="2172" spans="1:15" x14ac:dyDescent="0.25">
      <c r="A2172" t="str">
        <f>$A$1105</f>
        <v xml:space="preserve">                Atmos Energy Corp</v>
      </c>
      <c r="B2172" t="str">
        <f>$B$1105</f>
        <v>ATO US Equity</v>
      </c>
      <c r="C2172" t="str">
        <f>$C$1105</f>
        <v>F0946</v>
      </c>
      <c r="D2172" t="str">
        <f>$D$1105</f>
        <v>TOTAL_GHG_CO2_EMISSIONS</v>
      </c>
      <c r="E2172" t="str">
        <f>$E$1105</f>
        <v>Dynamic</v>
      </c>
      <c r="F2172" t="str">
        <f ca="1">_xll.BDH($B$1105,$C$1105,$B$1130,$B$1131,CONCATENATE("Per=",$B$1128),"Dts=H","Dir=H",CONCATENATE("Points=",$B$1129),"Sort=R","Days=A","Fill=B",CONCATENATE("FX=", $B$1127) )</f>
        <v/>
      </c>
      <c r="K2172" t="str">
        <f>""</f>
        <v/>
      </c>
      <c r="L2172" t="str">
        <f>""</f>
        <v/>
      </c>
      <c r="M2172" t="str">
        <f>""</f>
        <v/>
      </c>
      <c r="N2172" t="str">
        <f>""</f>
        <v/>
      </c>
      <c r="O2172" t="str">
        <f>""</f>
        <v/>
      </c>
    </row>
    <row r="2173" spans="1:15" x14ac:dyDescent="0.25">
      <c r="A2173" t="str">
        <f>$A$1106</f>
        <v xml:space="preserve">                CenterPoint Energy Inc</v>
      </c>
      <c r="B2173" t="str">
        <f>$B$1106</f>
        <v>CNP US Equity</v>
      </c>
      <c r="C2173" t="str">
        <f>$C$1106</f>
        <v>F0946</v>
      </c>
      <c r="D2173" t="str">
        <f>$D$1106</f>
        <v>TOTAL_GHG_CO2_EMISSIONS</v>
      </c>
      <c r="E2173" t="str">
        <f>$E$1106</f>
        <v>Dynamic</v>
      </c>
      <c r="F2173" t="str">
        <f ca="1">_xll.BDH($B$1106,$C$1106,$B$1130,$B$1131,CONCATENATE("Per=",$B$1128),"Dts=H","Dir=H",CONCATENATE("Points=",$B$1129),"Sort=R","Days=A","Fill=B",CONCATENATE("FX=", $B$1127),"cols=5;rows=1")</f>
        <v/>
      </c>
      <c r="G2173">
        <v>7.0956999999999999</v>
      </c>
      <c r="H2173">
        <v>5.2957999999999998</v>
      </c>
      <c r="K2173" t="str">
        <f>""</f>
        <v/>
      </c>
      <c r="L2173" t="str">
        <f>""</f>
        <v/>
      </c>
      <c r="M2173" t="str">
        <f>""</f>
        <v/>
      </c>
      <c r="N2173" t="str">
        <f>""</f>
        <v/>
      </c>
      <c r="O2173" t="str">
        <f>""</f>
        <v/>
      </c>
    </row>
    <row r="2174" spans="1:15" x14ac:dyDescent="0.25">
      <c r="A2174" t="str">
        <f>$A$1107</f>
        <v xml:space="preserve">                Consolidated Edison Inc</v>
      </c>
      <c r="B2174" t="str">
        <f>$B$1107</f>
        <v>ED US Equity</v>
      </c>
      <c r="C2174" t="str">
        <f>$C$1107</f>
        <v>F0946</v>
      </c>
      <c r="D2174" t="str">
        <f>$D$1107</f>
        <v>TOTAL_GHG_CO2_EMISSIONS</v>
      </c>
      <c r="E2174" t="str">
        <f>$E$1107</f>
        <v>Dynamic</v>
      </c>
      <c r="F2174">
        <f ca="1">_xll.BDH($B$1107,$C$1107,$B$1130,$B$1131,CONCATENATE("Per=",$B$1128),"Dts=H","Dir=H",CONCATENATE("Points=",$B$1129),"Sort=R","Days=A","Fill=B",CONCATENATE("FX=", $B$1127),"cols=5;rows=1")</f>
        <v>3.835</v>
      </c>
      <c r="G2174">
        <v>4.0860000000000003</v>
      </c>
      <c r="H2174">
        <v>3.62</v>
      </c>
      <c r="I2174">
        <v>4.0670000000000002</v>
      </c>
      <c r="J2174">
        <v>4.3079999999999998</v>
      </c>
      <c r="K2174" t="str">
        <f>""</f>
        <v/>
      </c>
      <c r="L2174" t="str">
        <f>""</f>
        <v/>
      </c>
      <c r="M2174" t="str">
        <f>""</f>
        <v/>
      </c>
      <c r="N2174" t="str">
        <f>""</f>
        <v/>
      </c>
      <c r="O2174" t="str">
        <f>""</f>
        <v/>
      </c>
    </row>
    <row r="2175" spans="1:15" x14ac:dyDescent="0.25">
      <c r="A2175" t="str">
        <f>$A$1108</f>
        <v xml:space="preserve">                Eversource Energy</v>
      </c>
      <c r="B2175" t="str">
        <f>$B$1108</f>
        <v>ES US Equity</v>
      </c>
      <c r="C2175" t="str">
        <f>$C$1108</f>
        <v>F0946</v>
      </c>
      <c r="D2175" t="str">
        <f>$D$1108</f>
        <v>TOTAL_GHG_CO2_EMISSIONS</v>
      </c>
      <c r="E2175" t="str">
        <f>$E$1108</f>
        <v>Dynamic</v>
      </c>
      <c r="F2175" t="str">
        <f ca="1">_xll.BDH($B$1108,$C$1108,$B$1130,$B$1131,CONCATENATE("Per=",$B$1128),"Dts=H","Dir=H",CONCATENATE("Points=",$B$1129),"Sort=R","Days=A","Fill=B",CONCATENATE("FX=", $B$1127),"cols=5;rows=1")</f>
        <v/>
      </c>
      <c r="G2175">
        <v>0.70989999999999998</v>
      </c>
      <c r="H2175">
        <v>0.68530000000000002</v>
      </c>
      <c r="I2175">
        <v>0.65690000000000004</v>
      </c>
      <c r="J2175">
        <v>0.81220000000000003</v>
      </c>
      <c r="K2175" t="str">
        <f>""</f>
        <v/>
      </c>
      <c r="L2175" t="str">
        <f>""</f>
        <v/>
      </c>
      <c r="M2175" t="str">
        <f>""</f>
        <v/>
      </c>
      <c r="N2175" t="str">
        <f>""</f>
        <v/>
      </c>
      <c r="O2175" t="str">
        <f>""</f>
        <v/>
      </c>
    </row>
    <row r="2176" spans="1:15" x14ac:dyDescent="0.25">
      <c r="A2176" t="str">
        <f>$A$1109</f>
        <v xml:space="preserve">                NiSource Inc</v>
      </c>
      <c r="B2176" t="str">
        <f>$B$1109</f>
        <v>NI US Equity</v>
      </c>
      <c r="C2176" t="str">
        <f>$C$1109</f>
        <v>F0946</v>
      </c>
      <c r="D2176" t="str">
        <f>$D$1109</f>
        <v>TOTAL_GHG_CO2_EMISSIONS</v>
      </c>
      <c r="E2176" t="str">
        <f>$E$1109</f>
        <v>Dynamic</v>
      </c>
      <c r="F2176" t="str">
        <f ca="1">_xll.BDH($B$1109,$C$1109,$B$1130,$B$1131,CONCATENATE("Per=",$B$1128),"Dts=H","Dir=H",CONCATENATE("Points=",$B$1129),"Sort=R","Days=A","Fill=B",CONCATENATE("FX=", $B$1127),"cols=5;rows=1")</f>
        <v/>
      </c>
      <c r="G2176">
        <v>8.2469999999999999</v>
      </c>
      <c r="H2176">
        <v>7.3034999999999997</v>
      </c>
      <c r="I2176">
        <v>10.2441</v>
      </c>
      <c r="J2176">
        <v>12.624499999999999</v>
      </c>
      <c r="K2176" t="str">
        <f>""</f>
        <v/>
      </c>
      <c r="L2176" t="str">
        <f>""</f>
        <v/>
      </c>
      <c r="M2176" t="str">
        <f>""</f>
        <v/>
      </c>
      <c r="N2176" t="str">
        <f>""</f>
        <v/>
      </c>
      <c r="O2176" t="str">
        <f>""</f>
        <v/>
      </c>
    </row>
    <row r="2177" spans="1:15" x14ac:dyDescent="0.25">
      <c r="A2177" t="str">
        <f>$A$1110</f>
        <v xml:space="preserve">                National Fuel Gas Co</v>
      </c>
      <c r="B2177" t="str">
        <f>$B$1110</f>
        <v>NFG US Equity</v>
      </c>
      <c r="C2177" t="str">
        <f>$C$1110</f>
        <v>F0946</v>
      </c>
      <c r="D2177" t="str">
        <f>$D$1110</f>
        <v>TOTAL_GHG_CO2_EMISSIONS</v>
      </c>
      <c r="E2177" t="str">
        <f>$E$1110</f>
        <v>Dynamic</v>
      </c>
      <c r="F2177" t="str">
        <f ca="1">_xll.BDH($B$1110,$C$1110,$B$1130,$B$1131,CONCATENATE("Per=",$B$1128),"Dts=H","Dir=H",CONCATENATE("Points=",$B$1129),"Sort=R","Days=A","Fill=B",CONCATENATE("FX=", $B$1127),"cols=5;rows=1")</f>
        <v/>
      </c>
      <c r="G2177">
        <v>0.75800000000000001</v>
      </c>
      <c r="K2177" t="str">
        <f>""</f>
        <v/>
      </c>
      <c r="L2177" t="str">
        <f>""</f>
        <v/>
      </c>
      <c r="M2177" t="str">
        <f>""</f>
        <v/>
      </c>
      <c r="N2177" t="str">
        <f>""</f>
        <v/>
      </c>
      <c r="O2177" t="str">
        <f>""</f>
        <v/>
      </c>
    </row>
    <row r="2178" spans="1:15" x14ac:dyDescent="0.25">
      <c r="A2178" t="str">
        <f>$A$1111</f>
        <v xml:space="preserve">                New Jersey Resources Corp</v>
      </c>
      <c r="B2178" t="str">
        <f>$B$1111</f>
        <v>NJR US Equity</v>
      </c>
      <c r="C2178" t="str">
        <f>$C$1111</f>
        <v>F0946</v>
      </c>
      <c r="D2178" t="str">
        <f>$D$1111</f>
        <v>TOTAL_GHG_CO2_EMISSIONS</v>
      </c>
      <c r="E2178" t="str">
        <f>$E$1111</f>
        <v>Dynamic</v>
      </c>
      <c r="F2178" t="str">
        <f ca="1">_xll.BDH($B$1111,$C$1111,$B$1130,$B$1131,CONCATENATE("Per=",$B$1128),"Dts=H","Dir=H",CONCATENATE("Points=",$B$1129),"Sort=R","Days=A","Fill=B",CONCATENATE("FX=", $B$1127) )</f>
        <v/>
      </c>
      <c r="K2178" t="str">
        <f>""</f>
        <v/>
      </c>
      <c r="L2178" t="str">
        <f>""</f>
        <v/>
      </c>
      <c r="M2178" t="str">
        <f>""</f>
        <v/>
      </c>
      <c r="N2178" t="str">
        <f>""</f>
        <v/>
      </c>
      <c r="O2178" t="str">
        <f>""</f>
        <v/>
      </c>
    </row>
    <row r="2179" spans="1:15" x14ac:dyDescent="0.25">
      <c r="A2179" t="str">
        <f>$A$1112</f>
        <v xml:space="preserve">                ONE Gas Inc</v>
      </c>
      <c r="B2179" t="str">
        <f>$B$1112</f>
        <v>OGS US Equity</v>
      </c>
      <c r="C2179" t="str">
        <f>$C$1112</f>
        <v>F0946</v>
      </c>
      <c r="D2179" t="str">
        <f>$D$1112</f>
        <v>TOTAL_GHG_CO2_EMISSIONS</v>
      </c>
      <c r="E2179" t="str">
        <f>$E$1112</f>
        <v>Dynamic</v>
      </c>
      <c r="F2179" t="str">
        <f ca="1">_xll.BDH($B$1112,$C$1112,$B$1130,$B$1131,CONCATENATE("Per=",$B$1128),"Dts=H","Dir=H",CONCATENATE("Points=",$B$1129),"Sort=R","Days=A","Fill=B",CONCATENATE("FX=", $B$1127) )</f>
        <v/>
      </c>
      <c r="K2179" t="str">
        <f>""</f>
        <v/>
      </c>
      <c r="L2179" t="str">
        <f>""</f>
        <v/>
      </c>
      <c r="M2179" t="str">
        <f>""</f>
        <v/>
      </c>
      <c r="N2179" t="str">
        <f>""</f>
        <v/>
      </c>
      <c r="O2179" t="str">
        <f>""</f>
        <v/>
      </c>
    </row>
    <row r="2180" spans="1:15" x14ac:dyDescent="0.25">
      <c r="A2180" t="str">
        <f>$A$1113</f>
        <v xml:space="preserve">                PPL Corp</v>
      </c>
      <c r="B2180" t="str">
        <f>$B$1113</f>
        <v>PPL US Equity</v>
      </c>
      <c r="C2180" t="str">
        <f>$C$1113</f>
        <v>F0946</v>
      </c>
      <c r="D2180" t="str">
        <f>$D$1113</f>
        <v>TOTAL_GHG_CO2_EMISSIONS</v>
      </c>
      <c r="E2180" t="str">
        <f>$E$1113</f>
        <v>Dynamic</v>
      </c>
      <c r="F2180">
        <f ca="1">_xll.BDH($B$1113,$C$1113,$B$1130,$B$1131,CONCATENATE("Per=",$B$1128),"Dts=H","Dir=H",CONCATENATE("Points=",$B$1129),"Sort=R","Days=A","Fill=B",CONCATENATE("FX=", $B$1127),"cols=5;rows=1")</f>
        <v>26.9085</v>
      </c>
      <c r="G2180">
        <v>26.469200000000001</v>
      </c>
      <c r="H2180">
        <v>25.673400000000001</v>
      </c>
      <c r="I2180">
        <v>27.433199999999999</v>
      </c>
      <c r="J2180">
        <v>29.946999999999999</v>
      </c>
      <c r="K2180" t="str">
        <f>""</f>
        <v/>
      </c>
      <c r="L2180" t="str">
        <f>""</f>
        <v/>
      </c>
      <c r="M2180" t="str">
        <f>""</f>
        <v/>
      </c>
      <c r="N2180" t="str">
        <f>""</f>
        <v/>
      </c>
      <c r="O2180" t="str">
        <f>""</f>
        <v/>
      </c>
    </row>
    <row r="2181" spans="1:15" x14ac:dyDescent="0.25">
      <c r="A2181" t="str">
        <f>$A$1114</f>
        <v xml:space="preserve">                Sempra Energy</v>
      </c>
      <c r="B2181" t="str">
        <f>$B$1114</f>
        <v>SRE US Equity</v>
      </c>
      <c r="C2181" t="str">
        <f>$C$1114</f>
        <v>F0946</v>
      </c>
      <c r="D2181" t="str">
        <f>$D$1114</f>
        <v>TOTAL_GHG_CO2_EMISSIONS</v>
      </c>
      <c r="E2181" t="str">
        <f>$E$1114</f>
        <v>Dynamic</v>
      </c>
      <c r="F2181">
        <f ca="1">_xll.BDH($B$1114,$C$1114,$B$1130,$B$1131,CONCATENATE("Per=",$B$1128),"Dts=H","Dir=H",CONCATENATE("Points=",$B$1129),"Sort=R","Days=A","Fill=B",CONCATENATE("FX=", $B$1127),"cols=5;rows=1")</f>
        <v>7.5590000000000002</v>
      </c>
      <c r="G2181">
        <v>7.0774999999999997</v>
      </c>
      <c r="H2181">
        <v>6.8833000000000002</v>
      </c>
      <c r="I2181">
        <v>5.4382999999999999</v>
      </c>
      <c r="J2181">
        <v>6.4820000000000002</v>
      </c>
      <c r="K2181" t="str">
        <f>""</f>
        <v/>
      </c>
      <c r="L2181" t="str">
        <f>""</f>
        <v/>
      </c>
      <c r="M2181" t="str">
        <f>""</f>
        <v/>
      </c>
      <c r="N2181" t="str">
        <f>""</f>
        <v/>
      </c>
      <c r="O2181" t="str">
        <f>""</f>
        <v/>
      </c>
    </row>
    <row r="2182" spans="1:15" x14ac:dyDescent="0.25">
      <c r="A2182" t="str">
        <f>$A$1115</f>
        <v xml:space="preserve">                Spire Inc</v>
      </c>
      <c r="B2182" t="str">
        <f>$B$1115</f>
        <v>SR US Equity</v>
      </c>
      <c r="C2182" t="str">
        <f>$C$1115</f>
        <v>F0946</v>
      </c>
      <c r="D2182" t="str">
        <f>$D$1115</f>
        <v>TOTAL_GHG_CO2_EMISSIONS</v>
      </c>
      <c r="E2182" t="str">
        <f>$E$1115</f>
        <v>Dynamic</v>
      </c>
      <c r="F2182">
        <f ca="1">_xll.BDH($B$1115,$C$1115,$B$1130,$B$1131,CONCATENATE("Per=",$B$1128),"Dts=H","Dir=H",CONCATENATE("Points=",$B$1129),"Sort=R","Days=A","Fill=B",CONCATENATE("FX=", $B$1127),"cols=5;rows=1")</f>
        <v>0.37069999999999997</v>
      </c>
      <c r="G2182">
        <v>0.38900000000000001</v>
      </c>
      <c r="H2182">
        <v>0.31990000000000002</v>
      </c>
      <c r="I2182">
        <v>0.3392</v>
      </c>
      <c r="J2182">
        <v>0.36059999999999998</v>
      </c>
      <c r="K2182" t="str">
        <f>""</f>
        <v/>
      </c>
      <c r="L2182" t="str">
        <f>""</f>
        <v/>
      </c>
      <c r="M2182" t="str">
        <f>""</f>
        <v/>
      </c>
      <c r="N2182" t="str">
        <f>""</f>
        <v/>
      </c>
      <c r="O2182" t="str">
        <f>""</f>
        <v/>
      </c>
    </row>
    <row r="2183" spans="1:15" x14ac:dyDescent="0.25">
      <c r="A2183" t="str">
        <f>$A$1116</f>
        <v xml:space="preserve">                UGI Corp</v>
      </c>
      <c r="B2183" t="str">
        <f>$B$1116</f>
        <v>UGI US Equity</v>
      </c>
      <c r="C2183" t="str">
        <f>$C$1116</f>
        <v>F0946</v>
      </c>
      <c r="D2183" t="str">
        <f>$D$1116</f>
        <v>TOTAL_GHG_CO2_EMISSIONS</v>
      </c>
      <c r="E2183" t="str">
        <f>$E$1116</f>
        <v>Dynamic</v>
      </c>
      <c r="F2183" t="str">
        <f ca="1">_xll.BDH($B$1116,$C$1116,$B$1130,$B$1131,CONCATENATE("Per=",$B$1128),"Dts=H","Dir=H",CONCATENATE("Points=",$B$1129),"Sort=R","Days=A","Fill=B",CONCATENATE("FX=", $B$1127),"cols=5;rows=1")</f>
        <v/>
      </c>
      <c r="G2183">
        <v>0.85160000000000002</v>
      </c>
      <c r="H2183">
        <v>1.2703</v>
      </c>
      <c r="I2183">
        <v>2.0729000000000002</v>
      </c>
      <c r="J2183">
        <v>0.59550000000000003</v>
      </c>
      <c r="K2183" t="str">
        <f>""</f>
        <v/>
      </c>
      <c r="L2183" t="str">
        <f>""</f>
        <v/>
      </c>
      <c r="M2183" t="str">
        <f>""</f>
        <v/>
      </c>
      <c r="N2183" t="str">
        <f>""</f>
        <v/>
      </c>
      <c r="O2183" t="str">
        <f>""</f>
        <v/>
      </c>
    </row>
    <row r="2184" spans="1:15" x14ac:dyDescent="0.25">
      <c r="A2184" t="str">
        <f>""</f>
        <v/>
      </c>
      <c r="B2184" t="str">
        <f>""</f>
        <v/>
      </c>
      <c r="C2184" t="str">
        <f>""</f>
        <v/>
      </c>
      <c r="D2184" t="str">
        <f>""</f>
        <v/>
      </c>
      <c r="E2184" t="str">
        <f>""</f>
        <v/>
      </c>
      <c r="K2184" t="str">
        <f>""</f>
        <v/>
      </c>
      <c r="L2184" t="str">
        <f>""</f>
        <v/>
      </c>
      <c r="M2184" t="str">
        <f>""</f>
        <v/>
      </c>
      <c r="N2184" t="str">
        <f>""</f>
        <v/>
      </c>
      <c r="O2184" t="str">
        <f>""</f>
        <v/>
      </c>
    </row>
    <row r="2185" spans="1:15" x14ac:dyDescent="0.25">
      <c r="A2185" t="str">
        <f>""</f>
        <v/>
      </c>
      <c r="B2185" t="str">
        <f>""</f>
        <v/>
      </c>
      <c r="C2185" t="str">
        <f>""</f>
        <v/>
      </c>
      <c r="D2185" t="str">
        <f>""</f>
        <v/>
      </c>
      <c r="E2185" t="str">
        <f>""</f>
        <v/>
      </c>
      <c r="K2185" t="str">
        <f>""</f>
        <v/>
      </c>
      <c r="L2185" t="str">
        <f>""</f>
        <v/>
      </c>
      <c r="M2185" t="str">
        <f>""</f>
        <v/>
      </c>
      <c r="N2185" t="str">
        <f>""</f>
        <v/>
      </c>
      <c r="O2185" t="str">
        <f>""</f>
        <v/>
      </c>
    </row>
    <row r="2186" spans="1:15" x14ac:dyDescent="0.25">
      <c r="A2186" t="str">
        <f>""</f>
        <v/>
      </c>
      <c r="B2186" t="str">
        <f>""</f>
        <v/>
      </c>
      <c r="C2186" t="str">
        <f>""</f>
        <v/>
      </c>
      <c r="D2186" t="str">
        <f>""</f>
        <v/>
      </c>
      <c r="E2186" t="str">
        <f>""</f>
        <v/>
      </c>
      <c r="K2186" t="str">
        <f>""</f>
        <v/>
      </c>
      <c r="L2186" t="str">
        <f>""</f>
        <v/>
      </c>
      <c r="M2186" t="str">
        <f>""</f>
        <v/>
      </c>
      <c r="N2186" t="str">
        <f>""</f>
        <v/>
      </c>
      <c r="O2186" t="str">
        <f>""</f>
        <v/>
      </c>
    </row>
    <row r="2187" spans="1:15" x14ac:dyDescent="0.25">
      <c r="A2187" t="str">
        <f>""</f>
        <v/>
      </c>
      <c r="B2187" t="str">
        <f>""</f>
        <v/>
      </c>
      <c r="C2187" t="str">
        <f>""</f>
        <v/>
      </c>
      <c r="D2187" t="str">
        <f>""</f>
        <v/>
      </c>
      <c r="E2187" t="str">
        <f>""</f>
        <v/>
      </c>
      <c r="K2187" t="str">
        <f>""</f>
        <v/>
      </c>
      <c r="L2187" t="str">
        <f>""</f>
        <v/>
      </c>
      <c r="M2187" t="str">
        <f>""</f>
        <v/>
      </c>
      <c r="N2187" t="str">
        <f>""</f>
        <v/>
      </c>
      <c r="O2187" t="str">
        <f>""</f>
        <v/>
      </c>
    </row>
    <row r="2188" spans="1:15" x14ac:dyDescent="0.25">
      <c r="A2188" t="str">
        <f>""</f>
        <v/>
      </c>
      <c r="B2188" t="str">
        <f>""</f>
        <v/>
      </c>
      <c r="C2188" t="str">
        <f>""</f>
        <v/>
      </c>
      <c r="D2188" t="str">
        <f>""</f>
        <v/>
      </c>
      <c r="E2188" t="str">
        <f>""</f>
        <v/>
      </c>
      <c r="K2188" t="str">
        <f>""</f>
        <v/>
      </c>
      <c r="L2188" t="str">
        <f>""</f>
        <v/>
      </c>
      <c r="M2188" t="str">
        <f>""</f>
        <v/>
      </c>
      <c r="N2188" t="str">
        <f>""</f>
        <v/>
      </c>
      <c r="O2188" t="str">
        <f>""</f>
        <v/>
      </c>
    </row>
    <row r="2189" spans="1:15" x14ac:dyDescent="0.25">
      <c r="A2189" t="str">
        <f>"~~~~~~~~~~~~~~~~~~~~~"</f>
        <v>~~~~~~~~~~~~~~~~~~~~~</v>
      </c>
      <c r="B2189" t="str">
        <f>"~~~~~~~~~~~~~~~~~~~~~"</f>
        <v>~~~~~~~~~~~~~~~~~~~~~</v>
      </c>
      <c r="C2189" t="str">
        <f>"~~~~~~~~~~~~~~~~~~~~~"</f>
        <v>~~~~~~~~~~~~~~~~~~~~~</v>
      </c>
      <c r="D2189" t="str">
        <f>"~~~~~~~~~~~~~~~~~~~~~"</f>
        <v>~~~~~~~~~~~~~~~~~~~~~</v>
      </c>
      <c r="E2189" t="str">
        <f>"~~~~~~~~~~~~~~~~~~~~~"</f>
        <v>~~~~~~~~~~~~~~~~~~~~~</v>
      </c>
      <c r="K2189" t="str">
        <f>""</f>
        <v/>
      </c>
      <c r="L2189" t="str">
        <f>""</f>
        <v/>
      </c>
      <c r="M2189" t="str">
        <f>""</f>
        <v/>
      </c>
      <c r="N2189" t="str">
        <f>""</f>
        <v/>
      </c>
      <c r="O2189" t="str">
        <f>""</f>
        <v/>
      </c>
    </row>
    <row r="2190" spans="1:15" x14ac:dyDescent="0.25">
      <c r="A2190" t="str">
        <f>"Rows below for column date calculation"</f>
        <v>Rows below for column date calculation</v>
      </c>
      <c r="K2190" t="str">
        <f>""</f>
        <v/>
      </c>
      <c r="L2190" t="str">
        <f>""</f>
        <v/>
      </c>
      <c r="M2190" t="str">
        <f>""</f>
        <v/>
      </c>
      <c r="N2190" t="str">
        <f>""</f>
        <v/>
      </c>
      <c r="O2190" t="str">
        <f>""</f>
        <v/>
      </c>
    </row>
    <row r="2191" spans="1:15" x14ac:dyDescent="0.25">
      <c r="A2191" t="str">
        <f>"Downloaded at"</f>
        <v>Downloaded at</v>
      </c>
      <c r="B2191">
        <f>DATE(2023, 7,2)</f>
        <v>45109</v>
      </c>
      <c r="C2191" t="str">
        <f>""</f>
        <v/>
      </c>
      <c r="D2191" t="str">
        <f>""</f>
        <v/>
      </c>
      <c r="E2191" t="str">
        <f>""</f>
        <v/>
      </c>
      <c r="K2191" t="str">
        <f>""</f>
        <v/>
      </c>
      <c r="L2191" t="str">
        <f>""</f>
        <v/>
      </c>
      <c r="M2191" t="str">
        <f>""</f>
        <v/>
      </c>
      <c r="N2191" t="str">
        <f>""</f>
        <v/>
      </c>
      <c r="O2191" t="str">
        <f>""</f>
        <v/>
      </c>
    </row>
    <row r="2192" spans="1:15" x14ac:dyDescent="0.25">
      <c r="A2192" t="str">
        <f>"This is End Date"</f>
        <v>This is End Date</v>
      </c>
      <c r="B2192">
        <f ca="1">$B$1131</f>
        <v>45110</v>
      </c>
      <c r="C2192" t="str">
        <f>""</f>
        <v/>
      </c>
      <c r="D2192" t="str">
        <f>""</f>
        <v/>
      </c>
      <c r="E2192" t="str">
        <f>""</f>
        <v/>
      </c>
      <c r="K2192" t="str">
        <f>""</f>
        <v/>
      </c>
      <c r="L2192" t="str">
        <f>""</f>
        <v/>
      </c>
      <c r="M2192" t="str">
        <f>""</f>
        <v/>
      </c>
      <c r="N2192" t="str">
        <f>""</f>
        <v/>
      </c>
      <c r="O2192" t="str">
        <f>""</f>
        <v/>
      </c>
    </row>
    <row r="2193" spans="1:15" x14ac:dyDescent="0.25">
      <c r="A2193" t="str">
        <f>"Description"</f>
        <v>Description</v>
      </c>
      <c r="B2193" t="str">
        <f>"Ticker"</f>
        <v>Ticker</v>
      </c>
      <c r="C2193" t="str">
        <f>"Field ID"</f>
        <v>Field ID</v>
      </c>
      <c r="D2193" t="str">
        <f>"Field Mnemonic"</f>
        <v>Field Mnemonic</v>
      </c>
      <c r="E2193" t="str">
        <f>"Data State"</f>
        <v>Data State</v>
      </c>
      <c r="K2193" t="str">
        <f>""</f>
        <v/>
      </c>
      <c r="L2193" t="str">
        <f>""</f>
        <v/>
      </c>
      <c r="M2193" t="str">
        <f>""</f>
        <v/>
      </c>
      <c r="N2193" t="str">
        <f>""</f>
        <v/>
      </c>
      <c r="O2193" t="str">
        <f>""</f>
        <v/>
      </c>
    </row>
    <row r="2194" spans="1:15" x14ac:dyDescent="0.25">
      <c r="A2194" t="str">
        <f>"Snapshot Date"</f>
        <v>Snapshot Date</v>
      </c>
      <c r="B2194">
        <f>DATE(2023, 7,2)</f>
        <v>45109</v>
      </c>
      <c r="C2194" t="str">
        <f>""</f>
        <v/>
      </c>
      <c r="D2194" t="str">
        <f>""</f>
        <v/>
      </c>
      <c r="E2194" t="str">
        <f>""</f>
        <v/>
      </c>
      <c r="K2194" t="str">
        <f>""</f>
        <v/>
      </c>
      <c r="L2194" t="str">
        <f>""</f>
        <v/>
      </c>
      <c r="M2194" t="str">
        <f>""</f>
        <v/>
      </c>
      <c r="N2194" t="str">
        <f>""</f>
        <v/>
      </c>
      <c r="O2194" t="str">
        <f>""</f>
        <v/>
      </c>
    </row>
    <row r="2195" spans="1:15" x14ac:dyDescent="0.25">
      <c r="A2195" t="str">
        <f>"Snapshot header"</f>
        <v>Snapshot header</v>
      </c>
      <c r="B2195">
        <f>2</f>
        <v>2</v>
      </c>
      <c r="C2195" t="str">
        <f>"2022"</f>
        <v>2022</v>
      </c>
      <c r="D2195" t="str">
        <f>"2021"</f>
        <v>2021</v>
      </c>
      <c r="E2195" t="str">
        <f>"2020"</f>
        <v>2020</v>
      </c>
      <c r="F2195" t="str">
        <f>"2019"</f>
        <v>2019</v>
      </c>
      <c r="G2195" t="str">
        <f>"2018"</f>
        <v>2018</v>
      </c>
      <c r="K2195" t="str">
        <f>""</f>
        <v/>
      </c>
      <c r="L2195" t="str">
        <f>""</f>
        <v/>
      </c>
      <c r="M2195" t="str">
        <f>""</f>
        <v/>
      </c>
      <c r="N2195" t="str">
        <f>""</f>
        <v/>
      </c>
      <c r="O2195" t="str">
        <f>""</f>
        <v/>
      </c>
    </row>
    <row r="2196" spans="1:15" x14ac:dyDescent="0.25">
      <c r="A2196" t="str">
        <f>"BDH snapshot header0"</f>
        <v>BDH snapshot header0</v>
      </c>
      <c r="B2196">
        <f>IF(OR(ISERROR($C$2196),ISBLANK($C$2196),ISNUMBER(SEARCH("N/A",$C$2196) ),ISERROR($C$2197),ISBLANK($C$2197)),0,1)</f>
        <v>0</v>
      </c>
      <c r="C2196" t="str">
        <f>_xll.BDH($B$7,$C$7,$B$1130,$B$2194,"PER=CY","Dts=S","DtFmt=FI", "rows=2","Dir=H","Points=5","Sort=R","Days=A","Fill=B","FX=USD" )</f>
        <v>#N/A Invalid Parameter: Invalid override field id specified</v>
      </c>
      <c r="K2196" t="str">
        <f>""</f>
        <v/>
      </c>
      <c r="L2196" t="str">
        <f>""</f>
        <v/>
      </c>
      <c r="M2196" t="str">
        <f>""</f>
        <v/>
      </c>
      <c r="N2196" t="str">
        <f>""</f>
        <v/>
      </c>
      <c r="O2196" t="str">
        <f>""</f>
        <v/>
      </c>
    </row>
    <row r="2197" spans="1:15" x14ac:dyDescent="0.25">
      <c r="A2197" t="str">
        <f>"BDH snapshot result0"</f>
        <v>BDH snapshot result0</v>
      </c>
      <c r="K2197" t="str">
        <f>""</f>
        <v/>
      </c>
      <c r="L2197" t="str">
        <f>""</f>
        <v/>
      </c>
      <c r="M2197" t="str">
        <f>""</f>
        <v/>
      </c>
      <c r="N2197" t="str">
        <f>""</f>
        <v/>
      </c>
      <c r="O2197" t="str">
        <f>""</f>
        <v/>
      </c>
    </row>
    <row r="2198" spans="1:15" x14ac:dyDescent="0.25">
      <c r="A2198" t="str">
        <f>"BDH snapshot header1"</f>
        <v>BDH snapshot header1</v>
      </c>
      <c r="B2198">
        <f>IF(OR(ISERROR($C$2198),ISBLANK($C$2198),ISNUMBER(SEARCH("N/A",$C$2198) ),ISERROR($C$2199),ISBLANK($C$2199)),0,1)</f>
        <v>0</v>
      </c>
      <c r="C2198" t="str">
        <f>_xll.BDH($B$8,$C$8,$B$1130,$B$2194,"PER=CY","Dts=S","DtFmt=FI", "rows=2","Dir=H","Points=5","Sort=R","Days=A","Fill=B","FX=USD" )</f>
        <v>#N/A Invalid Parameter: Invalid override field id specified</v>
      </c>
      <c r="K2198" t="str">
        <f>""</f>
        <v/>
      </c>
      <c r="L2198" t="str">
        <f>""</f>
        <v/>
      </c>
      <c r="M2198" t="str">
        <f>""</f>
        <v/>
      </c>
      <c r="N2198" t="str">
        <f>""</f>
        <v/>
      </c>
      <c r="O2198" t="str">
        <f>""</f>
        <v/>
      </c>
    </row>
    <row r="2199" spans="1:15" x14ac:dyDescent="0.25">
      <c r="A2199" t="str">
        <f>"BDH snapshot result1"</f>
        <v>BDH snapshot result1</v>
      </c>
      <c r="K2199" t="str">
        <f>""</f>
        <v/>
      </c>
      <c r="L2199" t="str">
        <f>""</f>
        <v/>
      </c>
      <c r="M2199" t="str">
        <f>""</f>
        <v/>
      </c>
      <c r="N2199" t="str">
        <f>""</f>
        <v/>
      </c>
      <c r="O2199" t="str">
        <f>""</f>
        <v/>
      </c>
    </row>
    <row r="2200" spans="1:15" x14ac:dyDescent="0.25">
      <c r="A2200" t="str">
        <f>"BDH snapshot header2"</f>
        <v>BDH snapshot header2</v>
      </c>
      <c r="B2200">
        <f>IF(OR(ISERROR($C$2200),ISBLANK($C$2200),ISNUMBER(SEARCH("N/A",$C$2200) ),ISERROR($C$2201),ISBLANK($C$2201)),0,1)</f>
        <v>0</v>
      </c>
      <c r="C2200" t="str">
        <f>_xll.BDH($B$9,$C$9,$B$1130,$B$2194,"PER=CY","Dts=S","DtFmt=FI", "rows=2","Dir=H","Points=5","Sort=R","Days=A","Fill=B","FX=USD" )</f>
        <v>#N/A Invalid Parameter: Invalid override field id specified</v>
      </c>
      <c r="K2200" t="str">
        <f>""</f>
        <v/>
      </c>
      <c r="L2200" t="str">
        <f>""</f>
        <v/>
      </c>
      <c r="M2200" t="str">
        <f>""</f>
        <v/>
      </c>
      <c r="N2200" t="str">
        <f>""</f>
        <v/>
      </c>
      <c r="O2200" t="str">
        <f>""</f>
        <v/>
      </c>
    </row>
    <row r="2201" spans="1:15" x14ac:dyDescent="0.25">
      <c r="A2201" t="str">
        <f>"BDH snapshot result2"</f>
        <v>BDH snapshot result2</v>
      </c>
      <c r="K2201" t="str">
        <f>""</f>
        <v/>
      </c>
      <c r="L2201" t="str">
        <f>""</f>
        <v/>
      </c>
      <c r="M2201" t="str">
        <f>""</f>
        <v/>
      </c>
      <c r="N2201" t="str">
        <f>""</f>
        <v/>
      </c>
      <c r="O2201" t="str">
        <f>""</f>
        <v/>
      </c>
    </row>
    <row r="2202" spans="1:15" x14ac:dyDescent="0.25">
      <c r="A2202" t="str">
        <f>"BDH snapshot"</f>
        <v>BDH snapshot</v>
      </c>
      <c r="B2202">
        <f>IF($B$2196&gt;=1,$B$2196,IF($B$2198&gt;=1,$B$2198,IF($B$2200&gt;=1,$B$2200,$B$2195)))</f>
        <v>2</v>
      </c>
      <c r="C2202" t="str">
        <f>IF($B$2196&gt;=1,$C$2196,IF($B$2198&gt;=1,$C$2198,IF($B$2200&gt;=1,$C$2200,$C$2195)))</f>
        <v>2022</v>
      </c>
      <c r="D2202" t="str">
        <f>IF($B$2196&gt;=1,$D$2196,IF($B$2198&gt;=1,$D$2198,IF($B$2200&gt;=1,$D$2200,$D$2195)))</f>
        <v>2021</v>
      </c>
      <c r="E2202" t="str">
        <f>IF($B$2196&gt;=1,$E$2196,IF($B$2198&gt;=1,$E$2198,IF($B$2200&gt;=1,$E$2200,$E$2195)))</f>
        <v>2020</v>
      </c>
      <c r="F2202" t="str">
        <f>IF($B$2196&gt;=1,$F$2196,IF($B$2198&gt;=1,$F$2198,IF($B$2200&gt;=1,$F$2200,$F$2195)))</f>
        <v>2019</v>
      </c>
      <c r="G2202" t="str">
        <f>IF($B$2196&gt;=1,$G$2196,IF($B$2198&gt;=1,$G$2198,IF($B$2200&gt;=1,$G$2200,$G$2195)))</f>
        <v>2018</v>
      </c>
      <c r="K2202" t="str">
        <f>""</f>
        <v/>
      </c>
      <c r="L2202" t="str">
        <f>""</f>
        <v/>
      </c>
      <c r="M2202" t="str">
        <f>""</f>
        <v/>
      </c>
      <c r="N2202" t="str">
        <f>""</f>
        <v/>
      </c>
      <c r="O2202" t="str">
        <f>""</f>
        <v/>
      </c>
    </row>
    <row r="2203" spans="1:15" x14ac:dyDescent="0.25">
      <c r="A2203" t="str">
        <f>"BDH snapshot title"</f>
        <v>BDH snapshot title</v>
      </c>
      <c r="B2203">
        <f>$B$2202</f>
        <v>2</v>
      </c>
      <c r="C2203" t="str">
        <f>SUBSTITUTE(SUBSTITUTE($C$2202,"CY1 ",""),"C","")</f>
        <v>2022</v>
      </c>
      <c r="D2203" t="str">
        <f>SUBSTITUTE(SUBSTITUTE($D$2202,"CY1 ",""),"C","")</f>
        <v>2021</v>
      </c>
      <c r="E2203" t="str">
        <f>SUBSTITUTE(SUBSTITUTE($E$2202,"CY1 ",""),"C","")</f>
        <v>2020</v>
      </c>
      <c r="F2203" t="str">
        <f>SUBSTITUTE(SUBSTITUTE($F$2202,"CY1 ",""),"C","")</f>
        <v>2019</v>
      </c>
      <c r="G2203" t="str">
        <f>SUBSTITUTE(SUBSTITUTE($G$2202,"CY1 ",""),"C","")</f>
        <v>2018</v>
      </c>
      <c r="K2203" t="str">
        <f>""</f>
        <v/>
      </c>
      <c r="L2203" t="str">
        <f>""</f>
        <v/>
      </c>
      <c r="M2203" t="str">
        <f>""</f>
        <v/>
      </c>
      <c r="N2203" t="str">
        <f>""</f>
        <v/>
      </c>
      <c r="O2203" t="str">
        <f>""</f>
        <v/>
      </c>
    </row>
    <row r="2204" spans="1:15" x14ac:dyDescent="0.25">
      <c r="A2204" t="str">
        <f>"BDH dynamic header0"</f>
        <v>BDH dynamic header0</v>
      </c>
      <c r="B2204">
        <f ca="1">IF(OR(ISERROR($C$2204),ISBLANK($C$2204),ISNUMBER(SEARCH("N/A",$C$2204) ),ISERROR($C$2205),ISBLANK($C$2205)),0,1)</f>
        <v>0</v>
      </c>
      <c r="C2204" t="str">
        <f ca="1">_xll.BDH($B$7,$C$7,$B$1130,$B$1131,"PER=CY","Dts=S","DtFmt=FI", "rows=2","Dir=H","Points=5","Sort=R","Days=A","Fill=B","FX=USD" )</f>
        <v>#N/A Invalid Parameter: Invalid override field id specified</v>
      </c>
      <c r="K2204" t="str">
        <f>""</f>
        <v/>
      </c>
      <c r="L2204" t="str">
        <f>""</f>
        <v/>
      </c>
      <c r="M2204" t="str">
        <f>""</f>
        <v/>
      </c>
      <c r="N2204" t="str">
        <f>""</f>
        <v/>
      </c>
      <c r="O2204" t="str">
        <f>""</f>
        <v/>
      </c>
    </row>
    <row r="2205" spans="1:15" x14ac:dyDescent="0.25">
      <c r="A2205" t="str">
        <f>"BDH dynamic result0"</f>
        <v>BDH dynamic result0</v>
      </c>
      <c r="K2205" t="str">
        <f>""</f>
        <v/>
      </c>
      <c r="L2205" t="str">
        <f>""</f>
        <v/>
      </c>
      <c r="M2205" t="str">
        <f>""</f>
        <v/>
      </c>
      <c r="N2205" t="str">
        <f>""</f>
        <v/>
      </c>
      <c r="O2205" t="str">
        <f>""</f>
        <v/>
      </c>
    </row>
    <row r="2206" spans="1:15" x14ac:dyDescent="0.25">
      <c r="A2206" t="str">
        <f>"BDH dynamic header1"</f>
        <v>BDH dynamic header1</v>
      </c>
      <c r="B2206">
        <f ca="1">IF(OR(ISERROR($C$2206),ISBLANK($C$2206),ISNUMBER(SEARCH("N/A",$C$2206) ),ISERROR($C$2207),ISBLANK($C$2207)),0,1)</f>
        <v>0</v>
      </c>
      <c r="C2206" t="str">
        <f ca="1">_xll.BDH($B$8,$C$8,$B$1130,$B$1131,"PER=CY","Dts=S","DtFmt=FI", "rows=2","Dir=H","Points=5","Sort=R","Days=A","Fill=B","FX=USD" )</f>
        <v>#N/A Invalid Parameter: Invalid override field id specified</v>
      </c>
      <c r="K2206" t="str">
        <f>""</f>
        <v/>
      </c>
      <c r="L2206" t="str">
        <f>""</f>
        <v/>
      </c>
      <c r="M2206" t="str">
        <f>""</f>
        <v/>
      </c>
      <c r="N2206" t="str">
        <f>""</f>
        <v/>
      </c>
      <c r="O2206" t="str">
        <f>""</f>
        <v/>
      </c>
    </row>
    <row r="2207" spans="1:15" x14ac:dyDescent="0.25">
      <c r="A2207" t="str">
        <f>"BDH dynamic result1"</f>
        <v>BDH dynamic result1</v>
      </c>
      <c r="K2207" t="str">
        <f>""</f>
        <v/>
      </c>
      <c r="L2207" t="str">
        <f>""</f>
        <v/>
      </c>
      <c r="M2207" t="str">
        <f>""</f>
        <v/>
      </c>
      <c r="N2207" t="str">
        <f>""</f>
        <v/>
      </c>
      <c r="O2207" t="str">
        <f>""</f>
        <v/>
      </c>
    </row>
    <row r="2208" spans="1:15" x14ac:dyDescent="0.25">
      <c r="A2208" t="str">
        <f>"BDH dynamic header2"</f>
        <v>BDH dynamic header2</v>
      </c>
      <c r="B2208">
        <f ca="1">IF(OR(ISERROR($C$2208),ISBLANK($C$2208),ISNUMBER(SEARCH("N/A",$C$2208) ),ISERROR($C$2209),ISBLANK($C$2209)),0,1)</f>
        <v>0</v>
      </c>
      <c r="C2208" t="str">
        <f ca="1">_xll.BDH($B$9,$C$9,$B$1130,$B$1131,"PER=CY","Dts=S","DtFmt=FI", "rows=2","Dir=H","Points=5","Sort=R","Days=A","Fill=B","FX=USD" )</f>
        <v>#N/A Invalid Parameter: Invalid override field id specified</v>
      </c>
      <c r="K2208" t="str">
        <f>""</f>
        <v/>
      </c>
      <c r="L2208" t="str">
        <f>""</f>
        <v/>
      </c>
      <c r="M2208" t="str">
        <f>""</f>
        <v/>
      </c>
      <c r="N2208" t="str">
        <f>""</f>
        <v/>
      </c>
      <c r="O2208" t="str">
        <f>""</f>
        <v/>
      </c>
    </row>
    <row r="2209" spans="1:15" x14ac:dyDescent="0.25">
      <c r="A2209" t="str">
        <f>"BDH dynamic result2"</f>
        <v>BDH dynamic result2</v>
      </c>
      <c r="K2209" t="str">
        <f>""</f>
        <v/>
      </c>
      <c r="L2209" t="str">
        <f>""</f>
        <v/>
      </c>
      <c r="M2209" t="str">
        <f>""</f>
        <v/>
      </c>
      <c r="N2209" t="str">
        <f>""</f>
        <v/>
      </c>
      <c r="O2209" t="str">
        <f>""</f>
        <v/>
      </c>
    </row>
    <row r="2210" spans="1:15" x14ac:dyDescent="0.25">
      <c r="A2210" t="str">
        <f>"BDH dynamic"</f>
        <v>BDH dynamic</v>
      </c>
      <c r="B2210">
        <f ca="1">IF($B$2204&gt;=1,$B$2204,IF($B$2206&gt;=1,$B$2206,IF($B$2208&gt;=1,$B$2208,$B$2195)))</f>
        <v>2</v>
      </c>
      <c r="C2210" t="str">
        <f ca="1">IF($B$2204&gt;=1,$C$2204,IF($B$2206&gt;=1,$C$2206,IF($B$2208&gt;=1,$C$2208,$C$2195)))</f>
        <v>2022</v>
      </c>
      <c r="D2210" t="str">
        <f ca="1">IF($B$2204&gt;=1,$D$2204,IF($B$2206&gt;=1,$D$2206,IF($B$2208&gt;=1,$D$2208,$D$2195)))</f>
        <v>2021</v>
      </c>
      <c r="E2210" t="str">
        <f ca="1">IF($B$2204&gt;=1,$E$2204,IF($B$2206&gt;=1,$E$2206,IF($B$2208&gt;=1,$E$2208,$E$2195)))</f>
        <v>2020</v>
      </c>
      <c r="F2210" t="str">
        <f ca="1">IF($B$2204&gt;=1,$F$2204,IF($B$2206&gt;=1,$F$2206,IF($B$2208&gt;=1,$F$2208,$F$2195)))</f>
        <v>2019</v>
      </c>
      <c r="G2210" t="str">
        <f ca="1">IF($B$2204&gt;=1,$G$2204,IF($B$2206&gt;=1,$G$2206,IF($B$2208&gt;=1,$G$2208,$G$2195)))</f>
        <v>2018</v>
      </c>
      <c r="K2210" t="str">
        <f>""</f>
        <v/>
      </c>
      <c r="L2210" t="str">
        <f>""</f>
        <v/>
      </c>
      <c r="M2210" t="str">
        <f>""</f>
        <v/>
      </c>
      <c r="N2210" t="str">
        <f>""</f>
        <v/>
      </c>
      <c r="O2210" t="str">
        <f>""</f>
        <v/>
      </c>
    </row>
    <row r="2211" spans="1:15" x14ac:dyDescent="0.25">
      <c r="A2211" t="str">
        <f>"BDH dynamic title"</f>
        <v>BDH dynamic title</v>
      </c>
      <c r="B2211">
        <f ca="1">$B$2210</f>
        <v>2</v>
      </c>
      <c r="C2211" t="str">
        <f ca="1">SUBSTITUTE(SUBSTITUTE($C$2210,"CY1 ",""),"C","")</f>
        <v>2022</v>
      </c>
      <c r="D2211" t="str">
        <f ca="1">SUBSTITUTE(SUBSTITUTE($D$2210,"CY1 ",""),"C","")</f>
        <v>2021</v>
      </c>
      <c r="E2211" t="str">
        <f ca="1">SUBSTITUTE(SUBSTITUTE($E$2210,"CY1 ",""),"C","")</f>
        <v>2020</v>
      </c>
      <c r="F2211" t="str">
        <f ca="1">SUBSTITUTE(SUBSTITUTE($F$2210,"CY1 ",""),"C","")</f>
        <v>2019</v>
      </c>
      <c r="G2211" t="str">
        <f ca="1">SUBSTITUTE(SUBSTITUTE($G$2210,"CY1 ",""),"C","")</f>
        <v>2018</v>
      </c>
      <c r="K2211" t="str">
        <f>""</f>
        <v/>
      </c>
      <c r="L2211" t="str">
        <f>""</f>
        <v/>
      </c>
      <c r="M2211" t="str">
        <f>""</f>
        <v/>
      </c>
      <c r="N2211" t="str">
        <f>""</f>
        <v/>
      </c>
      <c r="O2211" t="str">
        <f>""</f>
        <v/>
      </c>
    </row>
    <row r="2212" spans="1:15" x14ac:dyDescent="0.25">
      <c r="A2212" t="str">
        <f>"No error found"</f>
        <v>No error found</v>
      </c>
      <c r="B2212" t="str">
        <f>""</f>
        <v/>
      </c>
      <c r="C2212" t="str">
        <f>""</f>
        <v/>
      </c>
      <c r="D2212" t="str">
        <f>""</f>
        <v/>
      </c>
      <c r="E2212" t="str">
        <f>""</f>
        <v/>
      </c>
      <c r="K2212" t="str">
        <f>""</f>
        <v/>
      </c>
      <c r="L2212" t="str">
        <f>""</f>
        <v/>
      </c>
      <c r="M2212" t="str">
        <f>""</f>
        <v/>
      </c>
      <c r="N2212" t="str">
        <f>""</f>
        <v/>
      </c>
      <c r="O2212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libeconpc</cp:lastModifiedBy>
  <dcterms:created xsi:type="dcterms:W3CDTF">2013-04-03T15:49:21Z</dcterms:created>
  <dcterms:modified xsi:type="dcterms:W3CDTF">2023-07-03T04:56:32Z</dcterms:modified>
</cp:coreProperties>
</file>